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4E7213B1-7040-4A52-8BC0-E43C6DFD1CE6}" xr6:coauthVersionLast="45" xr6:coauthVersionMax="45" xr10:uidLastSave="{00000000-0000-0000-0000-000000000000}"/>
  <bookViews>
    <workbookView xWindow="-110" yWindow="-110" windowWidth="19420" windowHeight="10420" tabRatio="805" xr2:uid="{00000000-000D-0000-FFFF-FFFF00000000}"/>
  </bookViews>
  <sheets>
    <sheet name="TOC0" sheetId="405" r:id="rId1"/>
    <sheet name="TOC" sheetId="1" r:id="rId2"/>
    <sheet name="Sign Test" sheetId="338" r:id="rId3"/>
    <sheet name="Sign Test 1" sheetId="676" r:id="rId4"/>
    <sheet name="Sign A" sheetId="810" r:id="rId5"/>
    <sheet name="Sign B" sheetId="811" r:id="rId6"/>
    <sheet name="Trinom" sheetId="815" r:id="rId7"/>
    <sheet name="Moods" sheetId="575" r:id="rId8"/>
    <sheet name="Wilcoxon 1" sheetId="346" r:id="rId9"/>
    <sheet name="Wilcoxon 2" sheetId="348" r:id="rId10"/>
    <sheet name="Wilcoxon 3" sheetId="347" r:id="rId11"/>
    <sheet name="Wilcoxon 4" sheetId="349" r:id="rId12"/>
    <sheet name="Wil Exact" sheetId="604" r:id="rId13"/>
    <sheet name="Wil Exact 1" sheetId="603" r:id="rId14"/>
    <sheet name="Wil Exact 2" sheetId="611" r:id="rId15"/>
    <sheet name="Mann 1" sheetId="795" r:id="rId16"/>
    <sheet name="Mann 1a" sheetId="796" r:id="rId17"/>
    <sheet name="Mann 2" sheetId="797" r:id="rId18"/>
    <sheet name="Mann 3" sheetId="798" r:id="rId19"/>
    <sheet name="Mann 4" sheetId="715" r:id="rId20"/>
    <sheet name="Mann Exact" sheetId="612" r:id="rId21"/>
    <sheet name="Mann Exact 1" sheetId="613" r:id="rId22"/>
    <sheet name="MW" sheetId="812" r:id="rId23"/>
    <sheet name="Cliff" sheetId="819" r:id="rId24"/>
    <sheet name="MW Pow 1" sheetId="816" r:id="rId25"/>
    <sheet name="MW Pow 2" sheetId="817" r:id="rId26"/>
    <sheet name="Wilcox Pair 1" sheetId="799" r:id="rId27"/>
    <sheet name="Wilcox Pair 2" sheetId="800" r:id="rId28"/>
    <sheet name="Wilcox Pair 3" sheetId="802" r:id="rId29"/>
    <sheet name="SR CI 1" sheetId="803" r:id="rId30"/>
    <sheet name="SR CI 2" sheetId="804" r:id="rId31"/>
    <sheet name="Signed Rank" sheetId="805" r:id="rId32"/>
    <sheet name="Signed Rank 1" sheetId="806" r:id="rId33"/>
    <sheet name="Signed Rank 2" sheetId="807" r:id="rId34"/>
    <sheet name="SR Exact" sheetId="808" r:id="rId35"/>
    <sheet name="Multiple SR" sheetId="813" r:id="rId36"/>
    <sheet name="SR Size" sheetId="818" r:id="rId37"/>
    <sheet name="Wilcoxon Table" sheetId="35" r:id="rId38"/>
    <sheet name="Mann Table" sheetId="36" r:id="rId39"/>
    <sheet name="RSign Table" sheetId="801" r:id="rId40"/>
    <sheet name="Signed Rank Table" sheetId="37" r:id="rId41"/>
  </sheets>
  <definedNames>
    <definedName name="DataRange" localSheetId="6">#REF!</definedName>
    <definedName name="DataRange">#REF!</definedName>
    <definedName name="DatRange1" localSheetId="6">#REF!</definedName>
    <definedName name="DatRang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1" i="801" l="1"/>
  <c r="G51" i="801"/>
  <c r="F51" i="801"/>
  <c r="E51" i="801"/>
  <c r="D51" i="801"/>
  <c r="C51" i="801"/>
  <c r="B51" i="801"/>
  <c r="H50" i="801"/>
  <c r="G50" i="801"/>
  <c r="F50" i="801"/>
  <c r="E50" i="801"/>
  <c r="D50" i="801"/>
  <c r="C50" i="801"/>
  <c r="B50" i="801"/>
  <c r="H49" i="801"/>
  <c r="G49" i="801"/>
  <c r="F49" i="801"/>
  <c r="E49" i="801"/>
  <c r="D49" i="801"/>
  <c r="C49" i="801"/>
  <c r="B49" i="801"/>
  <c r="H48" i="801"/>
  <c r="G48" i="801"/>
  <c r="F48" i="801"/>
  <c r="E48" i="801"/>
  <c r="D48" i="801"/>
  <c r="C48" i="801"/>
  <c r="B48" i="801"/>
  <c r="H47" i="801"/>
  <c r="G47" i="801"/>
  <c r="F47" i="801"/>
  <c r="E47" i="801"/>
  <c r="D47" i="801"/>
  <c r="C47" i="801"/>
  <c r="B47" i="801"/>
  <c r="H46" i="801"/>
  <c r="G46" i="801"/>
  <c r="F46" i="801"/>
  <c r="E46" i="801"/>
  <c r="D46" i="801"/>
  <c r="C46" i="801"/>
  <c r="B46" i="801"/>
  <c r="H45" i="801"/>
  <c r="G45" i="801"/>
  <c r="F45" i="801"/>
  <c r="E45" i="801"/>
  <c r="D45" i="801"/>
  <c r="C45" i="801"/>
  <c r="B45" i="801"/>
  <c r="H44" i="801"/>
  <c r="G44" i="801"/>
  <c r="F44" i="801"/>
  <c r="E44" i="801"/>
  <c r="D44" i="801"/>
  <c r="C44" i="801"/>
  <c r="B44" i="801"/>
  <c r="H43" i="801"/>
  <c r="G43" i="801"/>
  <c r="F43" i="801"/>
  <c r="E43" i="801"/>
  <c r="D43" i="801"/>
  <c r="C43" i="801"/>
  <c r="B43" i="801"/>
  <c r="H42" i="801"/>
  <c r="G42" i="801"/>
  <c r="F42" i="801"/>
  <c r="E42" i="801"/>
  <c r="D42" i="801"/>
  <c r="C42" i="801"/>
  <c r="B42" i="801"/>
  <c r="H41" i="801"/>
  <c r="G41" i="801"/>
  <c r="F41" i="801"/>
  <c r="E41" i="801"/>
  <c r="D41" i="801"/>
  <c r="C41" i="801"/>
  <c r="B41" i="801"/>
  <c r="H40" i="801"/>
  <c r="G40" i="801"/>
  <c r="F40" i="801"/>
  <c r="E40" i="801"/>
  <c r="D40" i="801"/>
  <c r="C40" i="801"/>
  <c r="B40" i="801"/>
  <c r="H39" i="801"/>
  <c r="G39" i="801"/>
  <c r="F39" i="801"/>
  <c r="E39" i="801"/>
  <c r="D39" i="801"/>
  <c r="C39" i="801"/>
  <c r="B39" i="801"/>
  <c r="H38" i="801"/>
  <c r="G38" i="801"/>
  <c r="F38" i="801"/>
  <c r="E38" i="801"/>
  <c r="D38" i="801"/>
  <c r="C38" i="801"/>
  <c r="B38" i="801"/>
  <c r="H37" i="801"/>
  <c r="G37" i="801"/>
  <c r="F37" i="801"/>
  <c r="E37" i="801"/>
  <c r="D37" i="801"/>
  <c r="C37" i="801"/>
  <c r="B37" i="801"/>
  <c r="H36" i="801"/>
  <c r="G36" i="801"/>
  <c r="F36" i="801"/>
  <c r="E36" i="801"/>
  <c r="D36" i="801"/>
  <c r="C36" i="801"/>
  <c r="B36" i="801"/>
  <c r="H35" i="801"/>
  <c r="G35" i="801"/>
  <c r="F35" i="801"/>
  <c r="E35" i="801"/>
  <c r="D35" i="801"/>
  <c r="C35" i="801"/>
  <c r="B35" i="801"/>
  <c r="H34" i="801"/>
  <c r="G34" i="801"/>
  <c r="F34" i="801"/>
  <c r="E34" i="801"/>
  <c r="D34" i="801"/>
  <c r="C34" i="801"/>
  <c r="B34" i="801"/>
  <c r="H33" i="801"/>
  <c r="G33" i="801"/>
  <c r="F33" i="801"/>
  <c r="E33" i="801"/>
  <c r="D33" i="801"/>
  <c r="C33" i="801"/>
  <c r="B33" i="801"/>
  <c r="H32" i="801"/>
  <c r="G32" i="801"/>
  <c r="F32" i="801"/>
  <c r="E32" i="801"/>
  <c r="D32" i="801"/>
  <c r="C32" i="801"/>
  <c r="B32" i="801"/>
  <c r="H31" i="801"/>
  <c r="G31" i="801"/>
  <c r="F31" i="801"/>
  <c r="E31" i="801"/>
  <c r="D31" i="801"/>
  <c r="C31" i="801"/>
  <c r="B31" i="801"/>
  <c r="H30" i="801"/>
  <c r="G30" i="801"/>
  <c r="F30" i="801"/>
  <c r="E30" i="801"/>
  <c r="D30" i="801"/>
  <c r="C30" i="801"/>
  <c r="B30" i="801"/>
  <c r="H29" i="801"/>
  <c r="G29" i="801"/>
  <c r="F29" i="801"/>
  <c r="E29" i="801"/>
  <c r="D29" i="801"/>
  <c r="C29" i="801"/>
  <c r="B29" i="801"/>
  <c r="H28" i="801"/>
  <c r="G28" i="801"/>
  <c r="F28" i="801"/>
  <c r="E28" i="801"/>
  <c r="D28" i="801"/>
  <c r="C28" i="801"/>
  <c r="B28" i="801"/>
  <c r="H27" i="801"/>
  <c r="G27" i="801"/>
  <c r="F27" i="801"/>
  <c r="E27" i="801"/>
  <c r="D27" i="801"/>
  <c r="C27" i="801"/>
  <c r="B27" i="801"/>
  <c r="H26" i="801"/>
  <c r="G26" i="801"/>
  <c r="F26" i="801"/>
  <c r="E26" i="801"/>
  <c r="D26" i="801"/>
  <c r="C26" i="801"/>
  <c r="B26" i="801"/>
  <c r="H25" i="801"/>
  <c r="G25" i="801"/>
  <c r="F25" i="801"/>
  <c r="E25" i="801"/>
  <c r="D25" i="801"/>
  <c r="C25" i="801"/>
  <c r="B25" i="801"/>
  <c r="H24" i="801"/>
  <c r="G24" i="801"/>
  <c r="F24" i="801"/>
  <c r="E24" i="801"/>
  <c r="D24" i="801"/>
  <c r="C24" i="801"/>
  <c r="B24" i="801"/>
  <c r="H23" i="801"/>
  <c r="G23" i="801"/>
  <c r="F23" i="801"/>
  <c r="E23" i="801"/>
  <c r="D23" i="801"/>
  <c r="C23" i="801"/>
  <c r="B23" i="801"/>
  <c r="H22" i="801"/>
  <c r="G22" i="801"/>
  <c r="F22" i="801"/>
  <c r="E22" i="801"/>
  <c r="D22" i="801"/>
  <c r="C22" i="801"/>
  <c r="B22" i="801"/>
  <c r="H21" i="801"/>
  <c r="G21" i="801"/>
  <c r="F21" i="801"/>
  <c r="E21" i="801"/>
  <c r="D21" i="801"/>
  <c r="C21" i="801"/>
  <c r="B21" i="801"/>
  <c r="H20" i="801"/>
  <c r="G20" i="801"/>
  <c r="F20" i="801"/>
  <c r="E20" i="801"/>
  <c r="D20" i="801"/>
  <c r="C20" i="801"/>
  <c r="B20" i="801"/>
  <c r="H19" i="801"/>
  <c r="G19" i="801"/>
  <c r="F19" i="801"/>
  <c r="E19" i="801"/>
  <c r="D19" i="801"/>
  <c r="C19" i="801"/>
  <c r="B19" i="801"/>
  <c r="H18" i="801"/>
  <c r="G18" i="801"/>
  <c r="F18" i="801"/>
  <c r="E18" i="801"/>
  <c r="D18" i="801"/>
  <c r="C18" i="801"/>
  <c r="B18" i="801"/>
  <c r="H17" i="801"/>
  <c r="G17" i="801"/>
  <c r="F17" i="801"/>
  <c r="E17" i="801"/>
  <c r="D17" i="801"/>
  <c r="C17" i="801"/>
  <c r="B17" i="801"/>
  <c r="H16" i="801"/>
  <c r="G16" i="801"/>
  <c r="F16" i="801"/>
  <c r="E16" i="801"/>
  <c r="D16" i="801"/>
  <c r="C16" i="801"/>
  <c r="B16" i="801"/>
  <c r="H15" i="801"/>
  <c r="G15" i="801"/>
  <c r="F15" i="801"/>
  <c r="E15" i="801"/>
  <c r="D15" i="801"/>
  <c r="C15" i="801"/>
  <c r="B15" i="801"/>
  <c r="H14" i="801"/>
  <c r="G14" i="801"/>
  <c r="F14" i="801"/>
  <c r="E14" i="801"/>
  <c r="D14" i="801"/>
  <c r="C14" i="801"/>
  <c r="B14" i="801"/>
  <c r="H13" i="801"/>
  <c r="G13" i="801"/>
  <c r="F13" i="801"/>
  <c r="E13" i="801"/>
  <c r="D13" i="801"/>
  <c r="C13" i="801"/>
  <c r="B13" i="801"/>
  <c r="H12" i="801"/>
  <c r="G12" i="801"/>
  <c r="F12" i="801"/>
  <c r="E12" i="801"/>
  <c r="D12" i="801"/>
  <c r="C12" i="801"/>
  <c r="B12" i="801"/>
  <c r="H11" i="801"/>
  <c r="G11" i="801"/>
  <c r="F11" i="801"/>
  <c r="E11" i="801"/>
  <c r="D11" i="801"/>
  <c r="C11" i="801"/>
  <c r="B11" i="801"/>
  <c r="H10" i="801"/>
  <c r="G10" i="801"/>
  <c r="F10" i="801"/>
  <c r="E10" i="801"/>
  <c r="D10" i="801"/>
  <c r="C10" i="801"/>
  <c r="B10" i="801"/>
  <c r="H9" i="801"/>
  <c r="G9" i="801"/>
  <c r="F9" i="801"/>
  <c r="E9" i="801"/>
  <c r="D9" i="801"/>
  <c r="C9" i="801"/>
  <c r="B9" i="801"/>
  <c r="H8" i="801"/>
  <c r="G8" i="801"/>
  <c r="F8" i="801"/>
  <c r="E8" i="801"/>
  <c r="D8" i="801"/>
  <c r="C8" i="801"/>
  <c r="B8" i="801"/>
  <c r="H7" i="801"/>
  <c r="G7" i="801"/>
  <c r="F7" i="801"/>
  <c r="E7" i="801"/>
  <c r="D7" i="801"/>
  <c r="C7" i="801"/>
  <c r="B7" i="801"/>
  <c r="H6" i="801"/>
  <c r="G6" i="801"/>
  <c r="F6" i="801"/>
  <c r="E6" i="801"/>
  <c r="D6" i="801"/>
  <c r="C6" i="801"/>
  <c r="B6" i="801"/>
  <c r="M11" i="813"/>
  <c r="H11" i="813"/>
  <c r="M10" i="813"/>
  <c r="H10" i="813"/>
  <c r="Q14" i="813"/>
  <c r="R11" i="813"/>
  <c r="P9" i="813" a="1"/>
  <c r="P14" i="813" s="1"/>
  <c r="M9" i="813"/>
  <c r="H9" i="813"/>
  <c r="M8" i="813"/>
  <c r="H8" i="813"/>
  <c r="M7" i="813"/>
  <c r="H7" i="813"/>
  <c r="M6" i="813"/>
  <c r="H6" i="813"/>
  <c r="AH22" i="808"/>
  <c r="AE22" i="808"/>
  <c r="AG21" i="808"/>
  <c r="AD21" i="808"/>
  <c r="AH19" i="808"/>
  <c r="AG19" i="808"/>
  <c r="AH18" i="808"/>
  <c r="AG18" i="808"/>
  <c r="AH17" i="808"/>
  <c r="AG17" i="808"/>
  <c r="AH16" i="808"/>
  <c r="AG16" i="808"/>
  <c r="AH15" i="808"/>
  <c r="AG15" i="808"/>
  <c r="AH14" i="808"/>
  <c r="AG14" i="808"/>
  <c r="AH13" i="808"/>
  <c r="AG13" i="808"/>
  <c r="AH12" i="808"/>
  <c r="AG12" i="808"/>
  <c r="AH11" i="808"/>
  <c r="AG11" i="808"/>
  <c r="AH10" i="808"/>
  <c r="AG10" i="808"/>
  <c r="AH9" i="808"/>
  <c r="AG9" i="808"/>
  <c r="AH8" i="808"/>
  <c r="AG8" i="808"/>
  <c r="AH7" i="808"/>
  <c r="AG7" i="808"/>
  <c r="AH6" i="808"/>
  <c r="AG6" i="808"/>
  <c r="AH5" i="808"/>
  <c r="AG5" i="808"/>
  <c r="AH4" i="808"/>
  <c r="AG4" i="808"/>
  <c r="AE17" i="808"/>
  <c r="AE16" i="808"/>
  <c r="AE4" i="808"/>
  <c r="AE4" i="808" a="1"/>
  <c r="AE15" i="808" s="1"/>
  <c r="AD4" i="808" a="1"/>
  <c r="AD15" i="808" s="1"/>
  <c r="F10" i="807"/>
  <c r="F9" i="807"/>
  <c r="F8" i="807"/>
  <c r="F7" i="807"/>
  <c r="F6" i="807"/>
  <c r="F5" i="807"/>
  <c r="F4" i="807"/>
  <c r="J9" i="807"/>
  <c r="J3" i="807" a="1"/>
  <c r="J8" i="807" s="1"/>
  <c r="AB42" i="805" a="1"/>
  <c r="AC42" i="805" s="1"/>
  <c r="W42" i="805" a="1"/>
  <c r="W42" i="805" s="1"/>
  <c r="AF41" i="805" a="1"/>
  <c r="AF44" i="805" s="1"/>
  <c r="AB41" i="805"/>
  <c r="W41" i="805"/>
  <c r="AB37" i="805"/>
  <c r="AB33" i="805"/>
  <c r="W33" i="805"/>
  <c r="AG33" i="805"/>
  <c r="AF33" i="805"/>
  <c r="AF29" i="805" a="1"/>
  <c r="AG32" i="805" s="1"/>
  <c r="I25" i="805"/>
  <c r="G25" i="805"/>
  <c r="L24" i="805"/>
  <c r="I24" i="805"/>
  <c r="G24" i="805"/>
  <c r="L23" i="805" a="1"/>
  <c r="L23" i="805" s="1"/>
  <c r="I23" i="805"/>
  <c r="G23" i="805"/>
  <c r="AB20" i="805" a="1"/>
  <c r="AC20" i="805" s="1"/>
  <c r="W20" i="805"/>
  <c r="W20" i="805" a="1"/>
  <c r="X20" i="805" s="1"/>
  <c r="AB19" i="805"/>
  <c r="W19" i="805"/>
  <c r="O18" i="805"/>
  <c r="AF17" i="805" a="1"/>
  <c r="AG20" i="805" s="1"/>
  <c r="O17" i="805"/>
  <c r="O16" i="805"/>
  <c r="AB15" i="805"/>
  <c r="O15" i="805"/>
  <c r="O14" i="805"/>
  <c r="O13" i="805"/>
  <c r="O12" i="805"/>
  <c r="AL11" i="805"/>
  <c r="AB11" i="805"/>
  <c r="W11" i="805"/>
  <c r="O11" i="805"/>
  <c r="AL10" i="805"/>
  <c r="AJ10" i="805"/>
  <c r="O10" i="805"/>
  <c r="O9" i="805"/>
  <c r="O8" i="805"/>
  <c r="O7" i="805"/>
  <c r="AL6" i="805"/>
  <c r="AJ6" i="805"/>
  <c r="O6" i="805"/>
  <c r="G6" i="805"/>
  <c r="AL5" i="805"/>
  <c r="AJ5" i="805"/>
  <c r="AF9" i="805"/>
  <c r="AG7" i="805"/>
  <c r="AF5" i="805" a="1"/>
  <c r="AG10" i="805" s="1"/>
  <c r="O5" i="805"/>
  <c r="G5" i="805"/>
  <c r="O4" i="805"/>
  <c r="G3" i="805"/>
  <c r="Z14" i="804"/>
  <c r="Z13" i="804"/>
  <c r="Z12" i="804"/>
  <c r="X12" i="804"/>
  <c r="Z11" i="804"/>
  <c r="Z10" i="804"/>
  <c r="Z9" i="804"/>
  <c r="Z8" i="804"/>
  <c r="Z7" i="804"/>
  <c r="X7" i="804"/>
  <c r="AF13" i="804"/>
  <c r="AG10" i="804"/>
  <c r="AF10" i="804"/>
  <c r="AG6" i="804"/>
  <c r="AF6" i="804" a="1"/>
  <c r="AG11" i="804" s="1"/>
  <c r="AB14" i="804"/>
  <c r="AB6" i="804" a="1"/>
  <c r="AC13" i="804" s="1"/>
  <c r="Z6" i="804"/>
  <c r="X6" i="804"/>
  <c r="AF4" i="804"/>
  <c r="AB4" i="804"/>
  <c r="Z4" i="804"/>
  <c r="Z13" i="803"/>
  <c r="Z12" i="803"/>
  <c r="Z11" i="803"/>
  <c r="X11" i="803"/>
  <c r="Z10" i="803"/>
  <c r="Z9" i="803"/>
  <c r="Z8" i="803"/>
  <c r="Z7" i="803"/>
  <c r="Z6" i="803"/>
  <c r="X6" i="803"/>
  <c r="AG13" i="803"/>
  <c r="AF12" i="803"/>
  <c r="AG9" i="803"/>
  <c r="AF8" i="803"/>
  <c r="AG7" i="803"/>
  <c r="AG6" i="803"/>
  <c r="AF6" i="803"/>
  <c r="AF5" i="803" a="1"/>
  <c r="AF13" i="803" s="1"/>
  <c r="AB13" i="803"/>
  <c r="AB12" i="803"/>
  <c r="AC11" i="803"/>
  <c r="AB11" i="803"/>
  <c r="AB10" i="803"/>
  <c r="AC7" i="803"/>
  <c r="AB7" i="803"/>
  <c r="AB6" i="803"/>
  <c r="AC5" i="803"/>
  <c r="AB5" i="803"/>
  <c r="AB5" i="803" a="1"/>
  <c r="AC10" i="803" s="1"/>
  <c r="Z5" i="803"/>
  <c r="X5" i="803"/>
  <c r="AF3" i="803"/>
  <c r="AB3" i="803"/>
  <c r="I33" i="802"/>
  <c r="I32" i="802"/>
  <c r="I31" i="802"/>
  <c r="I30" i="802"/>
  <c r="I29" i="802"/>
  <c r="I28" i="802"/>
  <c r="I27" i="802"/>
  <c r="I26" i="802"/>
  <c r="I25" i="802"/>
  <c r="I24" i="802"/>
  <c r="I23" i="802"/>
  <c r="I22" i="802"/>
  <c r="I21" i="802"/>
  <c r="Q20" i="802"/>
  <c r="I20" i="802"/>
  <c r="Q19" i="802"/>
  <c r="I19" i="802"/>
  <c r="Q18" i="802"/>
  <c r="I18" i="802"/>
  <c r="I17" i="802"/>
  <c r="I16" i="802"/>
  <c r="I15" i="802"/>
  <c r="I14" i="802"/>
  <c r="I13" i="802"/>
  <c r="I12" i="802"/>
  <c r="I11" i="802"/>
  <c r="I10" i="802"/>
  <c r="I9" i="802"/>
  <c r="N8" i="802"/>
  <c r="I8" i="802"/>
  <c r="I7" i="802"/>
  <c r="I6" i="802"/>
  <c r="I5" i="802"/>
  <c r="I4" i="802"/>
  <c r="F33" i="800"/>
  <c r="F32" i="800"/>
  <c r="M31" i="800"/>
  <c r="F31" i="800"/>
  <c r="F30" i="800"/>
  <c r="F29" i="800"/>
  <c r="F28" i="800"/>
  <c r="M27" i="800"/>
  <c r="K27" i="800"/>
  <c r="F27" i="800"/>
  <c r="M26" i="800"/>
  <c r="K26" i="800"/>
  <c r="F26" i="800"/>
  <c r="Z27" i="800"/>
  <c r="AA26" i="800"/>
  <c r="Z25" i="800" a="1"/>
  <c r="AA28" i="800" s="1"/>
  <c r="M25" i="800"/>
  <c r="K25" i="800"/>
  <c r="F25" i="800"/>
  <c r="F24" i="800"/>
  <c r="F23" i="800"/>
  <c r="U22" i="800" a="1"/>
  <c r="V22" i="800" s="1"/>
  <c r="P22" i="800" a="1"/>
  <c r="Q22" i="800" s="1"/>
  <c r="F22" i="800"/>
  <c r="U21" i="800"/>
  <c r="P21" i="800"/>
  <c r="M21" i="800"/>
  <c r="K21" i="800"/>
  <c r="F21" i="800"/>
  <c r="M20" i="800"/>
  <c r="K20" i="800"/>
  <c r="F20" i="800"/>
  <c r="M19" i="800"/>
  <c r="K19" i="800"/>
  <c r="F19" i="800"/>
  <c r="F18" i="800"/>
  <c r="U17" i="800"/>
  <c r="F17" i="800"/>
  <c r="AA20" i="800"/>
  <c r="Z20" i="800"/>
  <c r="Z18" i="800"/>
  <c r="AA16" i="800"/>
  <c r="Z16" i="800" a="1"/>
  <c r="AA19" i="800" s="1"/>
  <c r="F16" i="800"/>
  <c r="M15" i="800"/>
  <c r="F15" i="800"/>
  <c r="F14" i="800"/>
  <c r="U13" i="800"/>
  <c r="P13" i="800"/>
  <c r="F13" i="800"/>
  <c r="M12" i="800"/>
  <c r="F12" i="800"/>
  <c r="M11" i="800"/>
  <c r="F11" i="800"/>
  <c r="M10" i="800"/>
  <c r="F10" i="800"/>
  <c r="M9" i="800"/>
  <c r="F9" i="800"/>
  <c r="F8" i="800"/>
  <c r="M7" i="800"/>
  <c r="F7" i="800"/>
  <c r="Z6" i="800" a="1"/>
  <c r="AA9" i="800" s="1"/>
  <c r="M6" i="800"/>
  <c r="F6" i="800"/>
  <c r="F5" i="800"/>
  <c r="F4" i="800"/>
  <c r="M32" i="799"/>
  <c r="J36" i="799"/>
  <c r="J32" i="799" a="1"/>
  <c r="K35" i="799" s="1"/>
  <c r="P28" i="799"/>
  <c r="Q25" i="799"/>
  <c r="P25" i="799" a="1"/>
  <c r="P25" i="799" s="1"/>
  <c r="M25" i="799"/>
  <c r="K29" i="799"/>
  <c r="J29" i="799"/>
  <c r="J25" i="799" a="1"/>
  <c r="K28" i="799" s="1"/>
  <c r="U22" i="799" a="1"/>
  <c r="V22" i="799" s="1"/>
  <c r="U21" i="799"/>
  <c r="M18" i="799"/>
  <c r="J18" i="799" a="1"/>
  <c r="J22" i="799" s="1"/>
  <c r="F18" i="799"/>
  <c r="U17" i="799"/>
  <c r="F17" i="799"/>
  <c r="M16" i="799"/>
  <c r="K16" i="799"/>
  <c r="F16" i="799"/>
  <c r="M15" i="799"/>
  <c r="K15" i="799"/>
  <c r="F15" i="799"/>
  <c r="M14" i="799"/>
  <c r="K14" i="799"/>
  <c r="F14" i="799"/>
  <c r="U13" i="799"/>
  <c r="F13" i="799"/>
  <c r="F12" i="799"/>
  <c r="F11" i="799"/>
  <c r="F10" i="799"/>
  <c r="F9" i="799"/>
  <c r="F8" i="799"/>
  <c r="F7" i="799"/>
  <c r="F6" i="799"/>
  <c r="F5" i="799"/>
  <c r="F4" i="799"/>
  <c r="D22" i="817"/>
  <c r="B22" i="817"/>
  <c r="D21" i="817"/>
  <c r="B21" i="817"/>
  <c r="B19" i="817"/>
  <c r="B18" i="817"/>
  <c r="B16" i="817"/>
  <c r="B15" i="817"/>
  <c r="T22" i="816"/>
  <c r="S22" i="816"/>
  <c r="R22" i="816"/>
  <c r="Q22" i="816"/>
  <c r="P22" i="816"/>
  <c r="O22" i="816"/>
  <c r="N22" i="816"/>
  <c r="M22" i="816"/>
  <c r="L22" i="816"/>
  <c r="K22" i="816"/>
  <c r="J22" i="816"/>
  <c r="I22" i="816"/>
  <c r="H22" i="816"/>
  <c r="G22" i="816"/>
  <c r="F22" i="816"/>
  <c r="E22" i="816"/>
  <c r="D22" i="816"/>
  <c r="C22" i="816"/>
  <c r="B22" i="816"/>
  <c r="A22" i="816"/>
  <c r="W22" i="819"/>
  <c r="W22" i="819" a="1"/>
  <c r="W21" i="819" a="1"/>
  <c r="W21" i="819" s="1"/>
  <c r="W20" i="819" a="1"/>
  <c r="W20" i="819" s="1"/>
  <c r="D20" i="819"/>
  <c r="B20" i="819"/>
  <c r="W19" i="819" a="1"/>
  <c r="W19" i="819" s="1"/>
  <c r="W18" i="819" a="1"/>
  <c r="W18" i="819" s="1"/>
  <c r="D18" i="819"/>
  <c r="W17" i="819"/>
  <c r="W17" i="819" a="1"/>
  <c r="W16" i="819" a="1"/>
  <c r="W16" i="819" s="1"/>
  <c r="W15" i="819" a="1"/>
  <c r="W15" i="819" s="1"/>
  <c r="W13" i="819" a="1"/>
  <c r="W13" i="819" s="1"/>
  <c r="W12" i="819" a="1"/>
  <c r="W12" i="819" s="1"/>
  <c r="W11" i="819" a="1"/>
  <c r="W11" i="819" s="1"/>
  <c r="AB10" i="819"/>
  <c r="AB10" i="819" a="1"/>
  <c r="Y10" i="819" a="1"/>
  <c r="Y10" i="819" s="1"/>
  <c r="W10" i="819"/>
  <c r="W10" i="819" a="1"/>
  <c r="W9" i="819" a="1"/>
  <c r="W9" i="819" s="1"/>
  <c r="W7" i="819" a="1"/>
  <c r="W7" i="819" s="1"/>
  <c r="W6" i="819" a="1"/>
  <c r="W6" i="819" s="1"/>
  <c r="AB5" i="819" a="1"/>
  <c r="AB5" i="819" s="1"/>
  <c r="Y5" i="819" a="1"/>
  <c r="Y5" i="819" s="1"/>
  <c r="W5" i="819" a="1"/>
  <c r="W5" i="819" s="1"/>
  <c r="M11" i="812"/>
  <c r="H11" i="812"/>
  <c r="M10" i="812"/>
  <c r="H10" i="812"/>
  <c r="R11" i="812"/>
  <c r="P9" i="812" a="1"/>
  <c r="P14" i="812" s="1"/>
  <c r="M9" i="812"/>
  <c r="H9" i="812"/>
  <c r="M8" i="812"/>
  <c r="H8" i="812"/>
  <c r="M7" i="812"/>
  <c r="H7" i="812"/>
  <c r="M6" i="812"/>
  <c r="H6" i="812"/>
  <c r="K52" i="613"/>
  <c r="H52" i="613"/>
  <c r="K51" i="613"/>
  <c r="H51" i="613"/>
  <c r="K48" i="613"/>
  <c r="K47" i="613"/>
  <c r="H47" i="613"/>
  <c r="K46" i="613"/>
  <c r="E44" i="613"/>
  <c r="D44" i="613"/>
  <c r="E43" i="613"/>
  <c r="D43" i="613"/>
  <c r="K42" i="613"/>
  <c r="E42" i="613"/>
  <c r="D42" i="613"/>
  <c r="K41" i="613"/>
  <c r="E41" i="613"/>
  <c r="D41" i="613"/>
  <c r="K40" i="613"/>
  <c r="K34" i="613"/>
  <c r="H34" i="613"/>
  <c r="K33" i="613"/>
  <c r="H33" i="613"/>
  <c r="K30" i="613"/>
  <c r="K29" i="613"/>
  <c r="H29" i="613"/>
  <c r="E29" i="613"/>
  <c r="D29" i="613"/>
  <c r="K28" i="613"/>
  <c r="E28" i="613"/>
  <c r="D28" i="613"/>
  <c r="E27" i="613"/>
  <c r="D27" i="613"/>
  <c r="E26" i="613"/>
  <c r="D26" i="613"/>
  <c r="E25" i="613"/>
  <c r="D25" i="613"/>
  <c r="K24" i="613"/>
  <c r="E24" i="613"/>
  <c r="D24" i="613"/>
  <c r="K23" i="613"/>
  <c r="E23" i="613"/>
  <c r="D23" i="613"/>
  <c r="K22" i="613"/>
  <c r="K17" i="613"/>
  <c r="H17" i="613"/>
  <c r="K16" i="613"/>
  <c r="H16" i="613"/>
  <c r="K13" i="613"/>
  <c r="K12" i="613"/>
  <c r="H12" i="613"/>
  <c r="E12" i="613"/>
  <c r="D12" i="613"/>
  <c r="K11" i="613"/>
  <c r="E11" i="613"/>
  <c r="D11" i="613"/>
  <c r="E10" i="613"/>
  <c r="D10" i="613"/>
  <c r="E9" i="613"/>
  <c r="D9" i="613"/>
  <c r="E8" i="613"/>
  <c r="D8" i="613"/>
  <c r="K7" i="613"/>
  <c r="E7" i="613"/>
  <c r="D7" i="613"/>
  <c r="K6" i="613"/>
  <c r="E6" i="613"/>
  <c r="D6" i="613"/>
  <c r="K5" i="613"/>
  <c r="BA17" i="715"/>
  <c r="BA16" i="715"/>
  <c r="BA14" i="715"/>
  <c r="BA13" i="715"/>
  <c r="BA12" i="715"/>
  <c r="BA11" i="715"/>
  <c r="BC9" i="715" a="1"/>
  <c r="BD14" i="715" s="1"/>
  <c r="BA9" i="715"/>
  <c r="BA6" i="715"/>
  <c r="BA5" i="715"/>
  <c r="J42" i="715"/>
  <c r="J40" i="715"/>
  <c r="J38" i="715"/>
  <c r="J37" i="715"/>
  <c r="J33" i="715"/>
  <c r="J32" i="715"/>
  <c r="J29" i="715"/>
  <c r="J28" i="715"/>
  <c r="J26" i="715"/>
  <c r="J22" i="715"/>
  <c r="J21" i="715"/>
  <c r="J18" i="715"/>
  <c r="J17" i="715"/>
  <c r="J16" i="715"/>
  <c r="J12" i="715"/>
  <c r="J10" i="715"/>
  <c r="J8" i="715"/>
  <c r="J6" i="715"/>
  <c r="J5" i="715"/>
  <c r="J4" i="715" a="1"/>
  <c r="J43" i="715" s="1"/>
  <c r="AR3" i="715"/>
  <c r="AO3" i="715"/>
  <c r="AD3" i="715"/>
  <c r="AC3" i="715"/>
  <c r="Q3" i="715"/>
  <c r="P3" i="715"/>
  <c r="K3" i="715" a="1"/>
  <c r="AQ3" i="715" s="1"/>
  <c r="U33" i="798"/>
  <c r="R33" i="798" a="1"/>
  <c r="R40" i="798" s="1"/>
  <c r="U19" i="798"/>
  <c r="R26" i="798"/>
  <c r="S20" i="798"/>
  <c r="R19" i="798" a="1"/>
  <c r="S27" i="798" s="1"/>
  <c r="U13" i="798"/>
  <c r="U12" i="798"/>
  <c r="U11" i="798"/>
  <c r="S11" i="798"/>
  <c r="U10" i="798"/>
  <c r="U9" i="798"/>
  <c r="U8" i="798"/>
  <c r="U7" i="798"/>
  <c r="U6" i="798"/>
  <c r="S6" i="798"/>
  <c r="U5" i="798"/>
  <c r="S5" i="798"/>
  <c r="W21" i="797"/>
  <c r="AA20" i="797"/>
  <c r="W20" i="797"/>
  <c r="AO19" i="797" a="1"/>
  <c r="AP19" i="797" s="1"/>
  <c r="AA19" i="797"/>
  <c r="Y19" i="797"/>
  <c r="AO18" i="797"/>
  <c r="AA18" i="797"/>
  <c r="Y18" i="797"/>
  <c r="W17" i="797"/>
  <c r="W16" i="797"/>
  <c r="AX19" i="797"/>
  <c r="AW19" i="797"/>
  <c r="AW15" i="797" a="1"/>
  <c r="AX18" i="797" s="1"/>
  <c r="AT15" i="797" a="1"/>
  <c r="AU18" i="797" s="1"/>
  <c r="W15" i="797"/>
  <c r="Q15" i="797"/>
  <c r="P15" i="797"/>
  <c r="O15" i="797"/>
  <c r="N15" i="797"/>
  <c r="M15" i="797"/>
  <c r="L15" i="797"/>
  <c r="K15" i="797"/>
  <c r="J15" i="797"/>
  <c r="W14" i="797"/>
  <c r="Q14" i="797"/>
  <c r="P14" i="797"/>
  <c r="O14" i="797"/>
  <c r="N14" i="797"/>
  <c r="M14" i="797"/>
  <c r="L14" i="797"/>
  <c r="K14" i="797"/>
  <c r="J14" i="797"/>
  <c r="W13" i="797"/>
  <c r="Q13" i="797"/>
  <c r="P13" i="797"/>
  <c r="O13" i="797"/>
  <c r="N13" i="797"/>
  <c r="M13" i="797"/>
  <c r="L13" i="797"/>
  <c r="K13" i="797"/>
  <c r="J13" i="797"/>
  <c r="Q12" i="797"/>
  <c r="P12" i="797"/>
  <c r="O12" i="797"/>
  <c r="N12" i="797"/>
  <c r="M12" i="797"/>
  <c r="L12" i="797"/>
  <c r="K12" i="797"/>
  <c r="J12" i="797"/>
  <c r="Q11" i="797"/>
  <c r="P11" i="797"/>
  <c r="O11" i="797"/>
  <c r="N11" i="797"/>
  <c r="M11" i="797"/>
  <c r="L11" i="797"/>
  <c r="K11" i="797"/>
  <c r="J11" i="797"/>
  <c r="Q10" i="797"/>
  <c r="P10" i="797"/>
  <c r="O10" i="797"/>
  <c r="N10" i="797"/>
  <c r="M10" i="797"/>
  <c r="L10" i="797"/>
  <c r="K10" i="797"/>
  <c r="J10" i="797"/>
  <c r="Y9" i="797"/>
  <c r="W9" i="797"/>
  <c r="Q9" i="797"/>
  <c r="P9" i="797"/>
  <c r="O9" i="797"/>
  <c r="N9" i="797"/>
  <c r="M9" i="797"/>
  <c r="L9" i="797"/>
  <c r="K9" i="797"/>
  <c r="J9" i="797"/>
  <c r="AP8" i="797"/>
  <c r="AO8" i="797"/>
  <c r="AA8" i="797"/>
  <c r="W8" i="797"/>
  <c r="Q8" i="797"/>
  <c r="P8" i="797"/>
  <c r="O8" i="797"/>
  <c r="N8" i="797"/>
  <c r="M8" i="797"/>
  <c r="L8" i="797"/>
  <c r="K8" i="797"/>
  <c r="J8" i="797"/>
  <c r="W7" i="797"/>
  <c r="Q7" i="797"/>
  <c r="P7" i="797"/>
  <c r="O7" i="797"/>
  <c r="N7" i="797"/>
  <c r="M7" i="797"/>
  <c r="L7" i="797"/>
  <c r="K7" i="797"/>
  <c r="J7" i="797"/>
  <c r="W6" i="797"/>
  <c r="Q6" i="797"/>
  <c r="P6" i="797"/>
  <c r="O6" i="797"/>
  <c r="N6" i="797"/>
  <c r="M6" i="797"/>
  <c r="L6" i="797"/>
  <c r="K6" i="797"/>
  <c r="J6" i="797"/>
  <c r="AW10" i="797"/>
  <c r="AW9" i="797"/>
  <c r="AW8" i="797"/>
  <c r="AX7" i="797"/>
  <c r="AW6" i="797"/>
  <c r="AX5" i="797"/>
  <c r="AW5" i="797"/>
  <c r="AW5" i="797" a="1"/>
  <c r="AX10" i="797" s="1"/>
  <c r="AT5" i="797" a="1"/>
  <c r="AT10" i="797" s="1"/>
  <c r="K19" i="796" a="1"/>
  <c r="L19" i="796" s="1"/>
  <c r="F19" i="796"/>
  <c r="E19" i="796" a="1"/>
  <c r="E19" i="796" s="1"/>
  <c r="K18" i="796"/>
  <c r="E18" i="796"/>
  <c r="K14" i="796"/>
  <c r="O10" i="796" a="1"/>
  <c r="O14" i="796" s="1"/>
  <c r="L8" i="796"/>
  <c r="K8" i="796"/>
  <c r="F8" i="796"/>
  <c r="E8" i="796"/>
  <c r="E17" i="795"/>
  <c r="D17" i="795"/>
  <c r="E16" i="795"/>
  <c r="D16" i="795"/>
  <c r="E15" i="795"/>
  <c r="D15" i="795"/>
  <c r="E14" i="795"/>
  <c r="D14" i="795"/>
  <c r="E13" i="795"/>
  <c r="D13" i="795"/>
  <c r="L12" i="795"/>
  <c r="J12" i="795"/>
  <c r="H12" i="795"/>
  <c r="E12" i="795"/>
  <c r="D12" i="795"/>
  <c r="L11" i="795"/>
  <c r="J11" i="795"/>
  <c r="E11" i="795"/>
  <c r="D11" i="795"/>
  <c r="E10" i="795"/>
  <c r="D10" i="795"/>
  <c r="E9" i="795"/>
  <c r="D9" i="795"/>
  <c r="E8" i="795"/>
  <c r="D8" i="795"/>
  <c r="AA7" i="795"/>
  <c r="Y7" i="795"/>
  <c r="E7" i="795"/>
  <c r="D7" i="795"/>
  <c r="E6" i="795"/>
  <c r="D6" i="795"/>
  <c r="AA5" i="795"/>
  <c r="Y5" i="795"/>
  <c r="AA3" i="795"/>
  <c r="Y3" i="795"/>
  <c r="F43" i="611"/>
  <c r="E43" i="611"/>
  <c r="D43" i="611"/>
  <c r="C43" i="611"/>
  <c r="B43" i="611"/>
  <c r="F42" i="611"/>
  <c r="E42" i="611"/>
  <c r="D42" i="611"/>
  <c r="C42" i="611"/>
  <c r="B42" i="611"/>
  <c r="J32" i="611"/>
  <c r="I32" i="611"/>
  <c r="H32" i="611"/>
  <c r="G32" i="611"/>
  <c r="F32" i="611"/>
  <c r="E32" i="611"/>
  <c r="D32" i="611"/>
  <c r="C32" i="611"/>
  <c r="B32" i="611"/>
  <c r="J31" i="611"/>
  <c r="I31" i="611"/>
  <c r="H31" i="611"/>
  <c r="G31" i="611"/>
  <c r="F31" i="611"/>
  <c r="E31" i="611"/>
  <c r="D31" i="611"/>
  <c r="C31" i="611"/>
  <c r="B31" i="611"/>
  <c r="N21" i="611"/>
  <c r="M21" i="611"/>
  <c r="L21" i="611"/>
  <c r="K21" i="611"/>
  <c r="J21" i="611"/>
  <c r="I21" i="611"/>
  <c r="H21" i="611"/>
  <c r="G21" i="611"/>
  <c r="F21" i="611"/>
  <c r="E21" i="611"/>
  <c r="D21" i="611"/>
  <c r="C21" i="611"/>
  <c r="B21" i="611"/>
  <c r="N20" i="611"/>
  <c r="M20" i="611"/>
  <c r="L20" i="611"/>
  <c r="K20" i="611"/>
  <c r="J20" i="611"/>
  <c r="I20" i="611"/>
  <c r="H20" i="611"/>
  <c r="G20" i="611"/>
  <c r="F20" i="611"/>
  <c r="E20" i="611"/>
  <c r="D20" i="611"/>
  <c r="C20" i="611"/>
  <c r="B20" i="611"/>
  <c r="R10" i="611"/>
  <c r="Q10" i="611"/>
  <c r="P10" i="611"/>
  <c r="O10" i="611"/>
  <c r="N10" i="611"/>
  <c r="M10" i="611"/>
  <c r="L10" i="611"/>
  <c r="K10" i="611"/>
  <c r="J10" i="611"/>
  <c r="I10" i="611"/>
  <c r="H10" i="611"/>
  <c r="G10" i="611"/>
  <c r="F10" i="611"/>
  <c r="E10" i="611"/>
  <c r="D10" i="611"/>
  <c r="C10" i="611"/>
  <c r="B10" i="611"/>
  <c r="R9" i="611"/>
  <c r="Q9" i="611"/>
  <c r="P9" i="611"/>
  <c r="O9" i="611"/>
  <c r="N9" i="611"/>
  <c r="M9" i="611"/>
  <c r="L9" i="611"/>
  <c r="K9" i="611"/>
  <c r="J9" i="611"/>
  <c r="I9" i="611"/>
  <c r="H9" i="611"/>
  <c r="G9" i="611"/>
  <c r="F9" i="611"/>
  <c r="E9" i="611"/>
  <c r="D9" i="611"/>
  <c r="C9" i="611"/>
  <c r="B9" i="611"/>
  <c r="K52" i="604"/>
  <c r="H52" i="604"/>
  <c r="K51" i="604"/>
  <c r="K48" i="604"/>
  <c r="H47" i="604"/>
  <c r="K46" i="604"/>
  <c r="K45" i="604"/>
  <c r="E44" i="604"/>
  <c r="D44" i="604"/>
  <c r="E43" i="604"/>
  <c r="D43" i="604"/>
  <c r="E42" i="604"/>
  <c r="D42" i="604"/>
  <c r="K41" i="604"/>
  <c r="E41" i="604"/>
  <c r="D41" i="604"/>
  <c r="K40" i="604"/>
  <c r="K34" i="604"/>
  <c r="H34" i="604"/>
  <c r="K33" i="604"/>
  <c r="K30" i="604"/>
  <c r="H29" i="604"/>
  <c r="E29" i="604"/>
  <c r="D29" i="604"/>
  <c r="K28" i="604"/>
  <c r="E28" i="604"/>
  <c r="D28" i="604"/>
  <c r="K27" i="604"/>
  <c r="E27" i="604"/>
  <c r="D27" i="604"/>
  <c r="E26" i="604"/>
  <c r="D26" i="604"/>
  <c r="E25" i="604"/>
  <c r="D25" i="604"/>
  <c r="E24" i="604"/>
  <c r="D24" i="604"/>
  <c r="K23" i="604"/>
  <c r="E23" i="604"/>
  <c r="D23" i="604"/>
  <c r="K22" i="604"/>
  <c r="K17" i="604"/>
  <c r="H17" i="604"/>
  <c r="K16" i="604"/>
  <c r="H16" i="604"/>
  <c r="K13" i="604"/>
  <c r="H12" i="604"/>
  <c r="E12" i="604"/>
  <c r="D12" i="604"/>
  <c r="K11" i="604"/>
  <c r="E11" i="604"/>
  <c r="D11" i="604"/>
  <c r="K10" i="604"/>
  <c r="E10" i="604"/>
  <c r="D10" i="604"/>
  <c r="E9" i="604"/>
  <c r="D9" i="604"/>
  <c r="E8" i="604"/>
  <c r="D8" i="604"/>
  <c r="E7" i="604"/>
  <c r="D7" i="604"/>
  <c r="K6" i="604"/>
  <c r="E6" i="604"/>
  <c r="D6" i="604"/>
  <c r="K5" i="604"/>
  <c r="Y18" i="349"/>
  <c r="X18" i="349"/>
  <c r="Y17" i="349"/>
  <c r="X17" i="349"/>
  <c r="Y16" i="349"/>
  <c r="X16" i="349"/>
  <c r="Q15" i="349"/>
  <c r="P15" i="349"/>
  <c r="O15" i="349"/>
  <c r="N15" i="349"/>
  <c r="M15" i="349"/>
  <c r="L15" i="349"/>
  <c r="K15" i="349"/>
  <c r="J15" i="349"/>
  <c r="Q14" i="349"/>
  <c r="P14" i="349"/>
  <c r="O14" i="349"/>
  <c r="N14" i="349"/>
  <c r="M14" i="349"/>
  <c r="L14" i="349"/>
  <c r="K14" i="349"/>
  <c r="J14" i="349"/>
  <c r="Q13" i="349"/>
  <c r="P13" i="349"/>
  <c r="O13" i="349"/>
  <c r="N13" i="349"/>
  <c r="M13" i="349"/>
  <c r="L13" i="349"/>
  <c r="K13" i="349"/>
  <c r="J13" i="349"/>
  <c r="Q12" i="349"/>
  <c r="P12" i="349"/>
  <c r="O12" i="349"/>
  <c r="N12" i="349"/>
  <c r="M12" i="349"/>
  <c r="L12" i="349"/>
  <c r="K12" i="349"/>
  <c r="J12" i="349"/>
  <c r="Q11" i="349"/>
  <c r="P11" i="349"/>
  <c r="O11" i="349"/>
  <c r="N11" i="349"/>
  <c r="M11" i="349"/>
  <c r="L11" i="349"/>
  <c r="K11" i="349"/>
  <c r="J11" i="349"/>
  <c r="Q10" i="349"/>
  <c r="P10" i="349"/>
  <c r="O10" i="349"/>
  <c r="N10" i="349"/>
  <c r="M10" i="349"/>
  <c r="L10" i="349"/>
  <c r="K10" i="349"/>
  <c r="J10" i="349"/>
  <c r="Q9" i="349"/>
  <c r="P9" i="349"/>
  <c r="O9" i="349"/>
  <c r="N9" i="349"/>
  <c r="M9" i="349"/>
  <c r="L9" i="349"/>
  <c r="K9" i="349"/>
  <c r="J9" i="349"/>
  <c r="Q8" i="349"/>
  <c r="P8" i="349"/>
  <c r="O8" i="349"/>
  <c r="N8" i="349"/>
  <c r="M8" i="349"/>
  <c r="L8" i="349"/>
  <c r="K8" i="349"/>
  <c r="J8" i="349"/>
  <c r="Q7" i="349"/>
  <c r="P7" i="349"/>
  <c r="O7" i="349"/>
  <c r="N7" i="349"/>
  <c r="M7" i="349"/>
  <c r="L7" i="349"/>
  <c r="K7" i="349"/>
  <c r="J7" i="349"/>
  <c r="Q6" i="349"/>
  <c r="P6" i="349"/>
  <c r="O6" i="349"/>
  <c r="N6" i="349"/>
  <c r="M6" i="349"/>
  <c r="L6" i="349"/>
  <c r="K6" i="349"/>
  <c r="J6" i="349"/>
  <c r="L17" i="347"/>
  <c r="K17" i="347"/>
  <c r="E17" i="347"/>
  <c r="D17" i="347"/>
  <c r="L16" i="347"/>
  <c r="K16" i="347"/>
  <c r="E16" i="347"/>
  <c r="D16" i="347"/>
  <c r="L15" i="347"/>
  <c r="K15" i="347"/>
  <c r="E15" i="347"/>
  <c r="D15" i="347"/>
  <c r="L14" i="347"/>
  <c r="K14" i="347"/>
  <c r="E14" i="347"/>
  <c r="D14" i="347"/>
  <c r="L13" i="347"/>
  <c r="K13" i="347"/>
  <c r="E13" i="347"/>
  <c r="D13" i="347"/>
  <c r="L12" i="347"/>
  <c r="K12" i="347"/>
  <c r="E12" i="347"/>
  <c r="D12" i="347"/>
  <c r="L11" i="347"/>
  <c r="K11" i="347"/>
  <c r="E11" i="347"/>
  <c r="D11" i="347"/>
  <c r="L10" i="347"/>
  <c r="K10" i="347"/>
  <c r="E10" i="347"/>
  <c r="D10" i="347"/>
  <c r="L9" i="347"/>
  <c r="K9" i="347"/>
  <c r="E9" i="347"/>
  <c r="D9" i="347"/>
  <c r="L8" i="347"/>
  <c r="K8" i="347"/>
  <c r="E8" i="347"/>
  <c r="D8" i="347"/>
  <c r="L7" i="347"/>
  <c r="K7" i="347"/>
  <c r="E7" i="347"/>
  <c r="D7" i="347"/>
  <c r="L6" i="347"/>
  <c r="K6" i="347"/>
  <c r="E6" i="347"/>
  <c r="D6" i="347"/>
  <c r="E17" i="348"/>
  <c r="D17" i="348"/>
  <c r="E16" i="348"/>
  <c r="D16" i="348"/>
  <c r="E15" i="348"/>
  <c r="D15" i="348"/>
  <c r="E14" i="348"/>
  <c r="D14" i="348"/>
  <c r="E13" i="348"/>
  <c r="D13" i="348"/>
  <c r="L12" i="348"/>
  <c r="J12" i="348"/>
  <c r="E12" i="348"/>
  <c r="D12" i="348"/>
  <c r="L11" i="348"/>
  <c r="J11" i="348"/>
  <c r="H11" i="348"/>
  <c r="E11" i="348"/>
  <c r="D11" i="348"/>
  <c r="L10" i="348"/>
  <c r="J10" i="348"/>
  <c r="E10" i="348"/>
  <c r="D10" i="348"/>
  <c r="E9" i="348"/>
  <c r="D9" i="348"/>
  <c r="E8" i="348"/>
  <c r="D8" i="348"/>
  <c r="E7" i="348"/>
  <c r="D7" i="348"/>
  <c r="E6" i="348"/>
  <c r="D6" i="348"/>
  <c r="I13" i="575"/>
  <c r="F13" i="575"/>
  <c r="I12" i="575"/>
  <c r="F12" i="575"/>
  <c r="F10" i="575"/>
  <c r="F9" i="575"/>
  <c r="I7" i="575"/>
  <c r="I6" i="575"/>
  <c r="I3" i="575"/>
  <c r="G14" i="815"/>
  <c r="G10" i="815"/>
  <c r="J10" i="811"/>
  <c r="G10" i="811"/>
  <c r="G21" i="810"/>
  <c r="G20" i="810"/>
  <c r="M12" i="810"/>
  <c r="M11" i="810"/>
  <c r="P8" i="810" a="1"/>
  <c r="P15" i="810" s="1"/>
  <c r="M5" i="810"/>
  <c r="M4" i="810"/>
  <c r="D18" i="676"/>
  <c r="D17" i="676"/>
  <c r="D16" i="676"/>
  <c r="D12" i="676"/>
  <c r="D9" i="676"/>
  <c r="D8" i="676"/>
  <c r="D6" i="676"/>
  <c r="D5" i="676"/>
  <c r="D4" i="676" a="1"/>
  <c r="D11" i="676" s="1"/>
  <c r="B30" i="338"/>
  <c r="B29" i="338"/>
  <c r="BD13" i="715" l="1"/>
  <c r="K18" i="799"/>
  <c r="AD17" i="808"/>
  <c r="AU10" i="797"/>
  <c r="AF3" i="715"/>
  <c r="BD9" i="715"/>
  <c r="J19" i="799"/>
  <c r="J32" i="799"/>
  <c r="J37" i="799"/>
  <c r="Z10" i="800"/>
  <c r="AA27" i="800"/>
  <c r="AB6" i="804"/>
  <c r="AF12" i="804"/>
  <c r="AF17" i="805"/>
  <c r="AB20" i="805"/>
  <c r="X42" i="805"/>
  <c r="AD5" i="808"/>
  <c r="AD18" i="808"/>
  <c r="BC14" i="715"/>
  <c r="K36" i="799"/>
  <c r="Z6" i="800"/>
  <c r="AC14" i="804"/>
  <c r="AD4" i="808"/>
  <c r="AU15" i="797"/>
  <c r="AT20" i="797"/>
  <c r="AO19" i="797"/>
  <c r="T3" i="715"/>
  <c r="AS3" i="715"/>
  <c r="BC15" i="715"/>
  <c r="D10" i="676"/>
  <c r="AX9" i="797"/>
  <c r="AT16" i="797"/>
  <c r="AU20" i="797"/>
  <c r="R20" i="798"/>
  <c r="U3" i="715"/>
  <c r="AG3" i="715"/>
  <c r="AT3" i="715"/>
  <c r="J9" i="715"/>
  <c r="J20" i="715"/>
  <c r="J30" i="715"/>
  <c r="J41" i="715"/>
  <c r="BC10" i="715"/>
  <c r="BD15" i="715"/>
  <c r="P9" i="812"/>
  <c r="K19" i="799"/>
  <c r="K32" i="799"/>
  <c r="P22" i="800"/>
  <c r="Z28" i="800"/>
  <c r="AC6" i="804"/>
  <c r="AF6" i="804"/>
  <c r="AG12" i="804"/>
  <c r="AF21" i="805"/>
  <c r="AD8" i="808"/>
  <c r="AT19" i="797"/>
  <c r="AD16" i="808"/>
  <c r="AU6" i="797"/>
  <c r="AT15" i="797"/>
  <c r="AU19" i="797"/>
  <c r="AJ3" i="715"/>
  <c r="BC16" i="715"/>
  <c r="AU16" i="797"/>
  <c r="V3" i="715"/>
  <c r="K20" i="799"/>
  <c r="J33" i="799"/>
  <c r="AB8" i="804"/>
  <c r="P10" i="796"/>
  <c r="AT17" i="797"/>
  <c r="AW15" i="797"/>
  <c r="R22" i="798"/>
  <c r="L3" i="715"/>
  <c r="X3" i="715"/>
  <c r="AK3" i="715"/>
  <c r="AW3" i="715"/>
  <c r="BD11" i="715"/>
  <c r="BC17" i="715"/>
  <c r="Q14" i="812"/>
  <c r="J21" i="799"/>
  <c r="J25" i="799"/>
  <c r="P26" i="799"/>
  <c r="J34" i="799"/>
  <c r="U22" i="800"/>
  <c r="Z25" i="800"/>
  <c r="AB8" i="803"/>
  <c r="AC13" i="803"/>
  <c r="AF10" i="803"/>
  <c r="AB10" i="804"/>
  <c r="AF8" i="804"/>
  <c r="AF14" i="804"/>
  <c r="AF29" i="805"/>
  <c r="K4" i="807"/>
  <c r="AD10" i="808"/>
  <c r="AE8" i="808"/>
  <c r="K23" i="799"/>
  <c r="BC9" i="715"/>
  <c r="AV3" i="715"/>
  <c r="AD9" i="808"/>
  <c r="D13" i="676"/>
  <c r="P8" i="810"/>
  <c r="D4" i="676"/>
  <c r="D14" i="676"/>
  <c r="P16" i="810"/>
  <c r="O12" i="796"/>
  <c r="K19" i="796"/>
  <c r="AU17" i="797"/>
  <c r="AX15" i="797"/>
  <c r="R24" i="798"/>
  <c r="M3" i="715"/>
  <c r="Y3" i="715"/>
  <c r="AL3" i="715"/>
  <c r="J13" i="715"/>
  <c r="J24" i="715"/>
  <c r="J34" i="715"/>
  <c r="BC12" i="715"/>
  <c r="BD17" i="715"/>
  <c r="K22" i="799"/>
  <c r="K25" i="799"/>
  <c r="Q26" i="799"/>
  <c r="K34" i="799"/>
  <c r="Z16" i="800"/>
  <c r="AA25" i="800"/>
  <c r="AB9" i="803"/>
  <c r="AG10" i="803"/>
  <c r="AC10" i="804"/>
  <c r="AG8" i="804"/>
  <c r="AG14" i="804"/>
  <c r="AF5" i="805"/>
  <c r="AG29" i="805"/>
  <c r="J5" i="807"/>
  <c r="AD12" i="808"/>
  <c r="AE9" i="808"/>
  <c r="BC11" i="715"/>
  <c r="P14" i="796"/>
  <c r="AW7" i="797"/>
  <c r="AT18" i="797"/>
  <c r="AW17" i="797"/>
  <c r="S24" i="798"/>
  <c r="N3" i="715"/>
  <c r="AB3" i="715"/>
  <c r="AN3" i="715"/>
  <c r="J4" i="715"/>
  <c r="J14" i="715"/>
  <c r="J25" i="715"/>
  <c r="J36" i="715"/>
  <c r="BC13" i="715"/>
  <c r="J23" i="799"/>
  <c r="J27" i="799"/>
  <c r="Q27" i="799"/>
  <c r="J35" i="799"/>
  <c r="Z26" i="800"/>
  <c r="AC9" i="803"/>
  <c r="AG5" i="803"/>
  <c r="AG11" i="803"/>
  <c r="AB12" i="804"/>
  <c r="AF9" i="804"/>
  <c r="AF7" i="805"/>
  <c r="AF31" i="805"/>
  <c r="K8" i="807"/>
  <c r="AD13" i="808"/>
  <c r="AE12" i="808"/>
  <c r="P9" i="813"/>
  <c r="D7" i="676"/>
  <c r="D15" i="676"/>
  <c r="P9" i="810"/>
  <c r="P17" i="810"/>
  <c r="O11" i="796"/>
  <c r="O15" i="796"/>
  <c r="AT7" i="797"/>
  <c r="AX8" i="797"/>
  <c r="AW16" i="797"/>
  <c r="AW20" i="797"/>
  <c r="R21" i="798"/>
  <c r="R25" i="798"/>
  <c r="R33" i="798"/>
  <c r="R37" i="798"/>
  <c r="R41" i="798"/>
  <c r="O3" i="715"/>
  <c r="W3" i="715"/>
  <c r="AE3" i="715"/>
  <c r="AM3" i="715"/>
  <c r="AU3" i="715"/>
  <c r="J7" i="715"/>
  <c r="J15" i="715"/>
  <c r="J23" i="715"/>
  <c r="J31" i="715"/>
  <c r="J39" i="715"/>
  <c r="BD12" i="715"/>
  <c r="BD16" i="715"/>
  <c r="Q9" i="812"/>
  <c r="P12" i="812"/>
  <c r="R14" i="812"/>
  <c r="J20" i="799"/>
  <c r="J26" i="799"/>
  <c r="J30" i="799"/>
  <c r="P27" i="799"/>
  <c r="K33" i="799"/>
  <c r="K37" i="799"/>
  <c r="AA6" i="800"/>
  <c r="AA10" i="800"/>
  <c r="Z17" i="800"/>
  <c r="Z21" i="800"/>
  <c r="AC8" i="803"/>
  <c r="AC12" i="803"/>
  <c r="AF7" i="803"/>
  <c r="AF11" i="803"/>
  <c r="AB7" i="804"/>
  <c r="AB11" i="804"/>
  <c r="AG9" i="804"/>
  <c r="AG13" i="804"/>
  <c r="AF8" i="805"/>
  <c r="AG17" i="805"/>
  <c r="AG21" i="805"/>
  <c r="AF30" i="805"/>
  <c r="AF34" i="805"/>
  <c r="AF41" i="805"/>
  <c r="AF45" i="805"/>
  <c r="AB42" i="805"/>
  <c r="K5" i="807"/>
  <c r="K9" i="807"/>
  <c r="AD11" i="808"/>
  <c r="AD19" i="808"/>
  <c r="AE10" i="808"/>
  <c r="AE18" i="808"/>
  <c r="Q9" i="813"/>
  <c r="P12" i="813"/>
  <c r="R14" i="813"/>
  <c r="P10" i="810"/>
  <c r="P18" i="810"/>
  <c r="P11" i="796"/>
  <c r="P15" i="796"/>
  <c r="AU7" i="797"/>
  <c r="AX16" i="797"/>
  <c r="AX20" i="797"/>
  <c r="S21" i="798"/>
  <c r="S25" i="798"/>
  <c r="S33" i="798"/>
  <c r="S37" i="798"/>
  <c r="S41" i="798"/>
  <c r="R9" i="812"/>
  <c r="Q12" i="812"/>
  <c r="K26" i="799"/>
  <c r="K30" i="799"/>
  <c r="Z7" i="800"/>
  <c r="Z11" i="800"/>
  <c r="AA17" i="800"/>
  <c r="AA21" i="800"/>
  <c r="AC7" i="804"/>
  <c r="AC11" i="804"/>
  <c r="AG8" i="805"/>
  <c r="AF18" i="805"/>
  <c r="AF22" i="805"/>
  <c r="AG30" i="805"/>
  <c r="AG34" i="805"/>
  <c r="AG41" i="805"/>
  <c r="AG45" i="805"/>
  <c r="J6" i="807"/>
  <c r="AE11" i="808"/>
  <c r="AE19" i="808"/>
  <c r="R9" i="813"/>
  <c r="Q12" i="813"/>
  <c r="S40" i="798"/>
  <c r="P11" i="810"/>
  <c r="AT8" i="797"/>
  <c r="R34" i="798"/>
  <c r="R38" i="798"/>
  <c r="P10" i="812"/>
  <c r="R12" i="812"/>
  <c r="AA7" i="800"/>
  <c r="AA11" i="800"/>
  <c r="AG18" i="805"/>
  <c r="AG22" i="805"/>
  <c r="AF42" i="805"/>
  <c r="AF46" i="805"/>
  <c r="K6" i="807"/>
  <c r="P10" i="813"/>
  <c r="R12" i="813"/>
  <c r="P19" i="810"/>
  <c r="P12" i="796"/>
  <c r="AU8" i="797"/>
  <c r="AX17" i="797"/>
  <c r="S22" i="798"/>
  <c r="S26" i="798"/>
  <c r="S34" i="798"/>
  <c r="S38" i="798"/>
  <c r="R3" i="715"/>
  <c r="Z3" i="715"/>
  <c r="AH3" i="715"/>
  <c r="AP3" i="715"/>
  <c r="AX3" i="715"/>
  <c r="Q10" i="812"/>
  <c r="P13" i="812"/>
  <c r="K21" i="799"/>
  <c r="U22" i="799"/>
  <c r="K27" i="799"/>
  <c r="Q28" i="799"/>
  <c r="Z8" i="800"/>
  <c r="AA18" i="800"/>
  <c r="AG8" i="803"/>
  <c r="AG12" i="803"/>
  <c r="AC8" i="804"/>
  <c r="AC12" i="804"/>
  <c r="AF7" i="804"/>
  <c r="AF11" i="804"/>
  <c r="AG5" i="805"/>
  <c r="AG9" i="805"/>
  <c r="AF19" i="805"/>
  <c r="AG31" i="805"/>
  <c r="AG42" i="805"/>
  <c r="AG46" i="805"/>
  <c r="J3" i="807"/>
  <c r="J7" i="807"/>
  <c r="AD6" i="808"/>
  <c r="AD14" i="808"/>
  <c r="AE5" i="808"/>
  <c r="AE13" i="808"/>
  <c r="Q10" i="813"/>
  <c r="P13" i="813"/>
  <c r="S36" i="798"/>
  <c r="AG44" i="805"/>
  <c r="P12" i="810"/>
  <c r="P20" i="810"/>
  <c r="P13" i="810"/>
  <c r="P21" i="810"/>
  <c r="O13" i="796"/>
  <c r="AT5" i="797"/>
  <c r="AT9" i="797"/>
  <c r="AX6" i="797"/>
  <c r="AW18" i="797"/>
  <c r="R19" i="798"/>
  <c r="R23" i="798"/>
  <c r="R27" i="798"/>
  <c r="R35" i="798"/>
  <c r="R39" i="798"/>
  <c r="K3" i="715"/>
  <c r="S3" i="715"/>
  <c r="AA3" i="715"/>
  <c r="AI3" i="715"/>
  <c r="J11" i="715"/>
  <c r="J19" i="715"/>
  <c r="J27" i="715"/>
  <c r="J35" i="715"/>
  <c r="BD10" i="715"/>
  <c r="R10" i="812"/>
  <c r="Q13" i="812"/>
  <c r="J18" i="799"/>
  <c r="J28" i="799"/>
  <c r="AA8" i="800"/>
  <c r="Z19" i="800"/>
  <c r="AC6" i="803"/>
  <c r="AF5" i="803"/>
  <c r="AF9" i="803"/>
  <c r="AB9" i="804"/>
  <c r="AB13" i="804"/>
  <c r="AG7" i="804"/>
  <c r="AF6" i="805"/>
  <c r="AF10" i="805"/>
  <c r="AG19" i="805"/>
  <c r="AF32" i="805"/>
  <c r="AF43" i="805"/>
  <c r="K3" i="807"/>
  <c r="K7" i="807"/>
  <c r="AD7" i="808"/>
  <c r="AE6" i="808"/>
  <c r="AE14" i="808"/>
  <c r="R10" i="813"/>
  <c r="Q13" i="813"/>
  <c r="P14" i="810"/>
  <c r="P22" i="810"/>
  <c r="P13" i="796"/>
  <c r="AU5" i="797"/>
  <c r="AU9" i="797"/>
  <c r="S19" i="798"/>
  <c r="S23" i="798"/>
  <c r="S35" i="798"/>
  <c r="S39" i="798"/>
  <c r="P11" i="812"/>
  <c r="R13" i="812"/>
  <c r="Z9" i="800"/>
  <c r="AC9" i="804"/>
  <c r="AG6" i="805"/>
  <c r="AJ11" i="805" s="1"/>
  <c r="AF20" i="805"/>
  <c r="AG43" i="805"/>
  <c r="J4" i="807"/>
  <c r="AE7" i="808"/>
  <c r="P11" i="813"/>
  <c r="R13" i="813"/>
  <c r="O10" i="796"/>
  <c r="AT6" i="797"/>
  <c r="R36" i="798"/>
  <c r="Q11" i="812"/>
  <c r="Q11" i="813"/>
  <c r="S15" i="819"/>
  <c r="O15" i="819"/>
  <c r="N15" i="819"/>
  <c r="M15" i="819"/>
  <c r="L15" i="819"/>
  <c r="K15" i="819"/>
  <c r="J15" i="819"/>
  <c r="I15" i="819"/>
  <c r="H15" i="819"/>
  <c r="G15" i="819"/>
  <c r="F15" i="819"/>
  <c r="E15" i="819"/>
  <c r="P15" i="819" s="1"/>
  <c r="O14" i="819"/>
  <c r="N14" i="819"/>
  <c r="M14" i="819"/>
  <c r="L14" i="819"/>
  <c r="K14" i="819"/>
  <c r="J14" i="819"/>
  <c r="I14" i="819"/>
  <c r="H14" i="819"/>
  <c r="G14" i="819"/>
  <c r="F14" i="819"/>
  <c r="E14" i="819"/>
  <c r="P14" i="819" s="1"/>
  <c r="O13" i="819"/>
  <c r="N13" i="819"/>
  <c r="M13" i="819"/>
  <c r="L13" i="819"/>
  <c r="K13" i="819"/>
  <c r="J13" i="819"/>
  <c r="I13" i="819"/>
  <c r="H13" i="819"/>
  <c r="G13" i="819"/>
  <c r="F13" i="819"/>
  <c r="E13" i="819"/>
  <c r="P13" i="819" s="1"/>
  <c r="O12" i="819"/>
  <c r="N12" i="819"/>
  <c r="M12" i="819"/>
  <c r="L12" i="819"/>
  <c r="K12" i="819"/>
  <c r="J12" i="819"/>
  <c r="I12" i="819"/>
  <c r="H12" i="819"/>
  <c r="G12" i="819"/>
  <c r="F12" i="819"/>
  <c r="E12" i="819"/>
  <c r="P12" i="819" s="1"/>
  <c r="O11" i="819"/>
  <c r="N11" i="819"/>
  <c r="M11" i="819"/>
  <c r="L11" i="819"/>
  <c r="K11" i="819"/>
  <c r="J11" i="819"/>
  <c r="I11" i="819"/>
  <c r="H11" i="819"/>
  <c r="G11" i="819"/>
  <c r="F11" i="819"/>
  <c r="E11" i="819"/>
  <c r="P11" i="819" s="1"/>
  <c r="O10" i="819"/>
  <c r="N10" i="819"/>
  <c r="M10" i="819"/>
  <c r="L10" i="819"/>
  <c r="K10" i="819"/>
  <c r="J10" i="819"/>
  <c r="I10" i="819"/>
  <c r="H10" i="819"/>
  <c r="G10" i="819"/>
  <c r="F10" i="819"/>
  <c r="E10" i="819"/>
  <c r="P10" i="819" s="1"/>
  <c r="O9" i="819"/>
  <c r="N9" i="819"/>
  <c r="M9" i="819"/>
  <c r="L9" i="819"/>
  <c r="K9" i="819"/>
  <c r="J9" i="819"/>
  <c r="I9" i="819"/>
  <c r="H9" i="819"/>
  <c r="G9" i="819"/>
  <c r="F9" i="819"/>
  <c r="E9" i="819"/>
  <c r="P9" i="819" s="1"/>
  <c r="O8" i="819"/>
  <c r="N8" i="819"/>
  <c r="M8" i="819"/>
  <c r="L8" i="819"/>
  <c r="K8" i="819"/>
  <c r="J8" i="819"/>
  <c r="I8" i="819"/>
  <c r="H8" i="819"/>
  <c r="G8" i="819"/>
  <c r="P8" i="819" s="1"/>
  <c r="F8" i="819"/>
  <c r="E8" i="819"/>
  <c r="P7" i="819"/>
  <c r="O7" i="819"/>
  <c r="N7" i="819"/>
  <c r="M7" i="819"/>
  <c r="L7" i="819"/>
  <c r="K7" i="819"/>
  <c r="J7" i="819"/>
  <c r="I7" i="819"/>
  <c r="H7" i="819"/>
  <c r="G7" i="819"/>
  <c r="F7" i="819"/>
  <c r="E7" i="819"/>
  <c r="O6" i="819"/>
  <c r="N6" i="819"/>
  <c r="M6" i="819"/>
  <c r="L6" i="819"/>
  <c r="K6" i="819"/>
  <c r="J6" i="819"/>
  <c r="I6" i="819"/>
  <c r="H6" i="819"/>
  <c r="G6" i="819"/>
  <c r="F6" i="819"/>
  <c r="E6" i="819"/>
  <c r="P6" i="819" s="1"/>
  <c r="T5" i="819"/>
  <c r="S5" i="819"/>
  <c r="O5" i="819"/>
  <c r="N5" i="819"/>
  <c r="M5" i="819"/>
  <c r="L5" i="819"/>
  <c r="K5" i="819"/>
  <c r="J5" i="819"/>
  <c r="I5" i="819"/>
  <c r="H5" i="819"/>
  <c r="G5" i="819"/>
  <c r="F5" i="819"/>
  <c r="P5" i="819" s="1"/>
  <c r="E5" i="819"/>
  <c r="O4" i="819"/>
  <c r="O16" i="819" s="1"/>
  <c r="N4" i="819"/>
  <c r="N16" i="819" s="1"/>
  <c r="M4" i="819"/>
  <c r="M16" i="819" s="1"/>
  <c r="L4" i="819"/>
  <c r="L16" i="819" s="1"/>
  <c r="K4" i="819"/>
  <c r="K16" i="819" s="1"/>
  <c r="J4" i="819"/>
  <c r="J16" i="819" s="1"/>
  <c r="I4" i="819"/>
  <c r="I16" i="819" s="1"/>
  <c r="H4" i="819"/>
  <c r="H16" i="819" s="1"/>
  <c r="G4" i="819"/>
  <c r="G16" i="819" s="1"/>
  <c r="F4" i="819"/>
  <c r="F16" i="819" s="1"/>
  <c r="E4" i="819"/>
  <c r="P4" i="819" s="1"/>
  <c r="S7" i="819" l="1"/>
  <c r="S6" i="819"/>
  <c r="U7" i="819"/>
  <c r="E16" i="819"/>
  <c r="U5" i="819"/>
  <c r="U6" i="819"/>
  <c r="B18" i="819"/>
  <c r="S16" i="819" l="1"/>
  <c r="S10" i="819"/>
  <c r="T7" i="819"/>
  <c r="S9" i="819" s="1"/>
  <c r="T6" i="819"/>
  <c r="B1" i="816"/>
  <c r="C1" i="816" s="1"/>
  <c r="D1" i="816" s="1"/>
  <c r="E1" i="816" s="1"/>
  <c r="F1" i="816" s="1"/>
  <c r="G1" i="816" s="1"/>
  <c r="H1" i="816" s="1"/>
  <c r="I1" i="816" s="1"/>
  <c r="J1" i="816" s="1"/>
  <c r="K1" i="816" s="1"/>
  <c r="L1" i="816" s="1"/>
  <c r="M1" i="816" s="1"/>
  <c r="N1" i="816" s="1"/>
  <c r="O1" i="816" s="1"/>
  <c r="P1" i="816" s="1"/>
  <c r="Q1" i="816" s="1"/>
  <c r="R1" i="816" s="1"/>
  <c r="S1" i="816" s="1"/>
  <c r="T1" i="816" s="1"/>
  <c r="S11" i="819" l="1"/>
  <c r="S12" i="819" s="1"/>
  <c r="S18" i="819" s="1"/>
  <c r="S19" i="819"/>
  <c r="I23" i="816"/>
  <c r="B23" i="816"/>
  <c r="F23" i="816"/>
  <c r="J23" i="816"/>
  <c r="N23" i="816"/>
  <c r="R23" i="816"/>
  <c r="E23" i="816"/>
  <c r="M23" i="816"/>
  <c r="C23" i="816"/>
  <c r="G23" i="816"/>
  <c r="K23" i="816"/>
  <c r="O23" i="816"/>
  <c r="S23" i="816"/>
  <c r="A23" i="816"/>
  <c r="Q23" i="816"/>
  <c r="D23" i="816"/>
  <c r="H23" i="816"/>
  <c r="L23" i="816"/>
  <c r="P23" i="816"/>
  <c r="T23" i="816"/>
  <c r="D13" i="815"/>
  <c r="D12" i="815"/>
  <c r="D11" i="815"/>
  <c r="D10" i="815"/>
  <c r="I9" i="815"/>
  <c r="I10" i="815" s="1"/>
  <c r="I11" i="815" s="1"/>
  <c r="I12" i="815" s="1"/>
  <c r="I13" i="815" s="1"/>
  <c r="I14" i="815" s="1"/>
  <c r="I15" i="815" s="1"/>
  <c r="I16" i="815" s="1"/>
  <c r="I17" i="815" s="1"/>
  <c r="I18" i="815" s="1"/>
  <c r="G9" i="815" a="1"/>
  <c r="G9" i="815" s="1"/>
  <c r="D9" i="815"/>
  <c r="D8" i="815"/>
  <c r="N4" i="815" s="1"/>
  <c r="K7" i="815"/>
  <c r="L7" i="815" s="1"/>
  <c r="M7" i="815" s="1"/>
  <c r="N7" i="815" s="1"/>
  <c r="O7" i="815" s="1"/>
  <c r="D7" i="815"/>
  <c r="D6" i="815"/>
  <c r="D5" i="815"/>
  <c r="A5" i="815"/>
  <c r="A6" i="815" s="1"/>
  <c r="A7" i="815" s="1"/>
  <c r="A8" i="815" s="1"/>
  <c r="A9" i="815" s="1"/>
  <c r="A10" i="815" s="1"/>
  <c r="A11" i="815" s="1"/>
  <c r="A12" i="815" s="1"/>
  <c r="A13" i="815" s="1"/>
  <c r="D4" i="815"/>
  <c r="N3" i="815" s="1"/>
  <c r="N2" i="815"/>
  <c r="S22" i="819" l="1"/>
  <c r="S21" i="819"/>
  <c r="N5" i="815"/>
  <c r="K4" i="815"/>
  <c r="K3" i="815" l="1"/>
  <c r="K5" i="815" s="1"/>
  <c r="K17" i="815" s="1"/>
  <c r="L17" i="815" l="1"/>
  <c r="L13" i="815"/>
  <c r="M18" i="815"/>
  <c r="L10" i="815"/>
  <c r="M13" i="815"/>
  <c r="M12" i="815"/>
  <c r="K9" i="815"/>
  <c r="L8" i="815"/>
  <c r="J11" i="815"/>
  <c r="K11" i="815"/>
  <c r="J13" i="815"/>
  <c r="K13" i="815"/>
  <c r="M15" i="815"/>
  <c r="N15" i="815"/>
  <c r="K18" i="815"/>
  <c r="L18" i="815"/>
  <c r="N9" i="815"/>
  <c r="J14" i="815"/>
  <c r="J18" i="815"/>
  <c r="O9" i="815"/>
  <c r="N11" i="815"/>
  <c r="N13" i="815"/>
  <c r="K16" i="815"/>
  <c r="O18" i="815"/>
  <c r="K15" i="815"/>
  <c r="J8" i="815"/>
  <c r="N14" i="815"/>
  <c r="L9" i="815"/>
  <c r="O11" i="815"/>
  <c r="O13" i="815"/>
  <c r="L16" i="815"/>
  <c r="M14" i="815"/>
  <c r="M8" i="815"/>
  <c r="M10" i="815"/>
  <c r="L15" i="815"/>
  <c r="K8" i="815"/>
  <c r="J10" i="815"/>
  <c r="J12" i="815"/>
  <c r="K14" i="815"/>
  <c r="O16" i="815"/>
  <c r="L11" i="815"/>
  <c r="M16" i="815"/>
  <c r="N8" i="815"/>
  <c r="N16" i="815"/>
  <c r="K10" i="815"/>
  <c r="K12" i="815"/>
  <c r="L14" i="815"/>
  <c r="J17" i="815"/>
  <c r="O15" i="815"/>
  <c r="P13" i="815"/>
  <c r="M9" i="815"/>
  <c r="M11" i="815"/>
  <c r="J16" i="815"/>
  <c r="O8" i="815"/>
  <c r="N10" i="815"/>
  <c r="N12" i="815"/>
  <c r="O14" i="815"/>
  <c r="M17" i="815"/>
  <c r="L12" i="815"/>
  <c r="O17" i="815"/>
  <c r="J9" i="815"/>
  <c r="N18" i="815"/>
  <c r="O10" i="815"/>
  <c r="O12" i="815"/>
  <c r="J15" i="815"/>
  <c r="N17" i="815"/>
  <c r="S10" i="812"/>
  <c r="S11" i="812" s="1"/>
  <c r="S12" i="812" s="1"/>
  <c r="S13" i="812" s="1"/>
  <c r="S14" i="812" s="1"/>
  <c r="P18" i="815" l="1"/>
  <c r="Q18" i="815" s="1"/>
  <c r="R18" i="815" s="1"/>
  <c r="P11" i="815"/>
  <c r="P12" i="815"/>
  <c r="P8" i="815"/>
  <c r="P14" i="815"/>
  <c r="P9" i="815"/>
  <c r="P16" i="815"/>
  <c r="P10" i="815"/>
  <c r="P15" i="815"/>
  <c r="P17" i="815"/>
  <c r="N11" i="813"/>
  <c r="L11" i="813"/>
  <c r="K11" i="813"/>
  <c r="I11" i="813"/>
  <c r="G11" i="813"/>
  <c r="F11" i="813"/>
  <c r="D11" i="813"/>
  <c r="C11" i="813"/>
  <c r="B11" i="813"/>
  <c r="A11" i="813"/>
  <c r="N10" i="813"/>
  <c r="L10" i="813"/>
  <c r="K10" i="813"/>
  <c r="I10" i="813"/>
  <c r="G10" i="813"/>
  <c r="F10" i="813"/>
  <c r="N9" i="813"/>
  <c r="L9" i="813"/>
  <c r="K9" i="813"/>
  <c r="I9" i="813"/>
  <c r="G9" i="813"/>
  <c r="F9" i="813"/>
  <c r="N8" i="813"/>
  <c r="L8" i="813"/>
  <c r="K8" i="813"/>
  <c r="I8" i="813"/>
  <c r="G8" i="813"/>
  <c r="F8" i="813"/>
  <c r="N7" i="813"/>
  <c r="L7" i="813"/>
  <c r="K7" i="813"/>
  <c r="I7" i="813"/>
  <c r="G7" i="813"/>
  <c r="F7" i="813"/>
  <c r="N6" i="813"/>
  <c r="L6" i="813"/>
  <c r="K6" i="813"/>
  <c r="I6" i="813"/>
  <c r="G6" i="813"/>
  <c r="F6" i="813"/>
  <c r="D12" i="812"/>
  <c r="C12" i="812"/>
  <c r="B12" i="812"/>
  <c r="A12" i="812"/>
  <c r="N11" i="812"/>
  <c r="L11" i="812"/>
  <c r="K11" i="812"/>
  <c r="I11" i="812"/>
  <c r="G11" i="812"/>
  <c r="F11" i="812"/>
  <c r="N10" i="812"/>
  <c r="L10" i="812"/>
  <c r="K10" i="812"/>
  <c r="I10" i="812"/>
  <c r="G10" i="812"/>
  <c r="F10" i="812"/>
  <c r="N9" i="812"/>
  <c r="L9" i="812"/>
  <c r="K9" i="812"/>
  <c r="I9" i="812"/>
  <c r="G9" i="812"/>
  <c r="F9" i="812"/>
  <c r="N8" i="812"/>
  <c r="L8" i="812"/>
  <c r="K8" i="812"/>
  <c r="I8" i="812"/>
  <c r="G8" i="812"/>
  <c r="F8" i="812"/>
  <c r="N7" i="812"/>
  <c r="L7" i="812"/>
  <c r="K7" i="812"/>
  <c r="I7" i="812"/>
  <c r="G7" i="812"/>
  <c r="F7" i="812"/>
  <c r="N6" i="812"/>
  <c r="L6" i="812"/>
  <c r="K6" i="812"/>
  <c r="I6" i="812"/>
  <c r="G6" i="812"/>
  <c r="F6" i="812"/>
  <c r="Q17" i="815" l="1"/>
  <c r="R17" i="815" s="1"/>
  <c r="D18" i="811"/>
  <c r="D17" i="811"/>
  <c r="D16" i="811"/>
  <c r="D15" i="811"/>
  <c r="D14" i="811"/>
  <c r="D13" i="811"/>
  <c r="D12" i="811"/>
  <c r="D11" i="811"/>
  <c r="D10" i="811"/>
  <c r="G9" i="811" a="1"/>
  <c r="G9" i="811" s="1"/>
  <c r="D9" i="811"/>
  <c r="D8" i="811"/>
  <c r="D7" i="811"/>
  <c r="D6" i="811"/>
  <c r="D5" i="811"/>
  <c r="A5" i="811"/>
  <c r="A6" i="811" s="1"/>
  <c r="A7" i="811" s="1"/>
  <c r="A8" i="811" s="1"/>
  <c r="A9" i="811" s="1"/>
  <c r="A10" i="811" s="1"/>
  <c r="A11" i="811" s="1"/>
  <c r="A12" i="811" s="1"/>
  <c r="A13" i="811" s="1"/>
  <c r="A14" i="811" s="1"/>
  <c r="A15" i="811" s="1"/>
  <c r="A16" i="811" s="1"/>
  <c r="A17" i="811" s="1"/>
  <c r="A18" i="811" s="1"/>
  <c r="D4" i="811"/>
  <c r="D18" i="810"/>
  <c r="D17" i="810"/>
  <c r="D16" i="810"/>
  <c r="J23" i="810" s="1"/>
  <c r="D15" i="810"/>
  <c r="D14" i="810"/>
  <c r="D13" i="810"/>
  <c r="J22" i="810" s="1"/>
  <c r="D12" i="810"/>
  <c r="D11" i="810"/>
  <c r="J21" i="810" s="1"/>
  <c r="D10" i="810"/>
  <c r="O9" i="810"/>
  <c r="O10" i="810" s="1"/>
  <c r="O11" i="810" s="1"/>
  <c r="D9" i="810"/>
  <c r="D8" i="810"/>
  <c r="J20" i="810" s="1"/>
  <c r="D7" i="810"/>
  <c r="D6" i="810"/>
  <c r="D5" i="810"/>
  <c r="A5" i="810"/>
  <c r="A6" i="810" s="1"/>
  <c r="A7" i="810" s="1"/>
  <c r="A8" i="810" s="1"/>
  <c r="A9" i="810" s="1"/>
  <c r="A10" i="810" s="1"/>
  <c r="A11" i="810" s="1"/>
  <c r="A12" i="810" s="1"/>
  <c r="A13" i="810" s="1"/>
  <c r="A14" i="810" s="1"/>
  <c r="A15" i="810" s="1"/>
  <c r="A16" i="810" s="1"/>
  <c r="A17" i="810" s="1"/>
  <c r="A18" i="810" s="1"/>
  <c r="D4" i="810"/>
  <c r="M3" i="810"/>
  <c r="J3" i="810"/>
  <c r="G3" i="810"/>
  <c r="R9" i="810" l="1"/>
  <c r="P4" i="810"/>
  <c r="Q16" i="815"/>
  <c r="J9" i="811"/>
  <c r="R16" i="815"/>
  <c r="Q15" i="815"/>
  <c r="M14" i="810"/>
  <c r="M7" i="810"/>
  <c r="O12" i="810"/>
  <c r="G19" i="810"/>
  <c r="J13" i="810"/>
  <c r="J12" i="810"/>
  <c r="G10" i="810"/>
  <c r="G5" i="810"/>
  <c r="G16" i="810"/>
  <c r="G15" i="810"/>
  <c r="G14" i="810"/>
  <c r="G11" i="810"/>
  <c r="G7" i="810"/>
  <c r="G4" i="810"/>
  <c r="G17" i="810"/>
  <c r="G9" i="810"/>
  <c r="G18" i="810"/>
  <c r="J16" i="810"/>
  <c r="J14" i="810"/>
  <c r="G13" i="810"/>
  <c r="G8" i="810"/>
  <c r="P5" i="810"/>
  <c r="P3" i="810"/>
  <c r="Q3" i="810" s="1"/>
  <c r="Q8" i="810" s="1"/>
  <c r="G6" i="810"/>
  <c r="R8" i="810" l="1"/>
  <c r="R15" i="815"/>
  <c r="Q14" i="815"/>
  <c r="Q6" i="813"/>
  <c r="S9" i="813" s="1"/>
  <c r="Q6" i="812"/>
  <c r="J15" i="810" a="1"/>
  <c r="J15" i="810" s="1"/>
  <c r="J8" i="810" s="1"/>
  <c r="J7" i="810"/>
  <c r="Q9" i="810"/>
  <c r="R10" i="810"/>
  <c r="Q11" i="810"/>
  <c r="J6" i="810"/>
  <c r="O13" i="810"/>
  <c r="Q12" i="810"/>
  <c r="R15" i="810"/>
  <c r="R17" i="810"/>
  <c r="R16" i="810"/>
  <c r="R18" i="810"/>
  <c r="J11" i="810" a="1"/>
  <c r="J11" i="810" s="1"/>
  <c r="J5" i="810" s="1"/>
  <c r="R11" i="810"/>
  <c r="R13" i="810"/>
  <c r="R12" i="810"/>
  <c r="R14" i="810"/>
  <c r="Q10" i="810"/>
  <c r="G12" i="810"/>
  <c r="R19" i="810"/>
  <c r="R21" i="810"/>
  <c r="R20" i="810"/>
  <c r="R22" i="810"/>
  <c r="K8" i="800"/>
  <c r="K8" i="799"/>
  <c r="Q13" i="815" l="1"/>
  <c r="R14" i="815"/>
  <c r="T9" i="812"/>
  <c r="T9" i="813"/>
  <c r="S10" i="813"/>
  <c r="J18" i="810"/>
  <c r="J9" i="810" s="1"/>
  <c r="Q13" i="810"/>
  <c r="O14" i="810"/>
  <c r="W12" i="808"/>
  <c r="V12" i="808"/>
  <c r="U12" i="808"/>
  <c r="T12" i="808"/>
  <c r="S12" i="808"/>
  <c r="R12" i="808"/>
  <c r="Q12" i="808"/>
  <c r="P12" i="808"/>
  <c r="O12" i="808"/>
  <c r="N12" i="808"/>
  <c r="M12" i="808"/>
  <c r="L12" i="808"/>
  <c r="K12" i="808"/>
  <c r="J12" i="808"/>
  <c r="J13" i="808" s="1"/>
  <c r="J14" i="808" s="1"/>
  <c r="J15" i="808" s="1"/>
  <c r="I12" i="808"/>
  <c r="I13" i="808" s="1"/>
  <c r="I14" i="808" s="1"/>
  <c r="I15" i="808" s="1"/>
  <c r="H12" i="808"/>
  <c r="I10" i="808"/>
  <c r="J10" i="808" s="1"/>
  <c r="K10" i="808" s="1"/>
  <c r="L10" i="808" s="1"/>
  <c r="M10" i="808" s="1"/>
  <c r="N10" i="808" s="1"/>
  <c r="O10" i="808" s="1"/>
  <c r="P10" i="808" s="1"/>
  <c r="Q10" i="808" s="1"/>
  <c r="R10" i="808" s="1"/>
  <c r="S10" i="808" s="1"/>
  <c r="T10" i="808" s="1"/>
  <c r="U10" i="808" s="1"/>
  <c r="V10" i="808" s="1"/>
  <c r="W10" i="808" s="1"/>
  <c r="G10" i="808"/>
  <c r="F10" i="808"/>
  <c r="Y5" i="808"/>
  <c r="W5" i="808"/>
  <c r="V5" i="808"/>
  <c r="U5" i="808"/>
  <c r="T5" i="808"/>
  <c r="W6" i="808" s="1"/>
  <c r="S5" i="808"/>
  <c r="R5" i="808"/>
  <c r="Q5" i="808"/>
  <c r="P5" i="808"/>
  <c r="S6" i="808" s="1"/>
  <c r="O5" i="808"/>
  <c r="R6" i="808" s="1"/>
  <c r="N5" i="808"/>
  <c r="Q6" i="808" s="1"/>
  <c r="M5" i="808"/>
  <c r="L5" i="808"/>
  <c r="O6" i="808" s="1"/>
  <c r="K5" i="808"/>
  <c r="J5" i="808"/>
  <c r="J6" i="808" s="1"/>
  <c r="J7" i="808" s="1"/>
  <c r="J8" i="808" s="1"/>
  <c r="I5" i="808"/>
  <c r="H5" i="808"/>
  <c r="H6" i="808" s="1"/>
  <c r="I3" i="808"/>
  <c r="J3" i="808" s="1"/>
  <c r="K3" i="808" s="1"/>
  <c r="L3" i="808" s="1"/>
  <c r="M3" i="808" s="1"/>
  <c r="N3" i="808" s="1"/>
  <c r="O3" i="808" s="1"/>
  <c r="P3" i="808" s="1"/>
  <c r="Q3" i="808" s="1"/>
  <c r="R3" i="808" s="1"/>
  <c r="S3" i="808" s="1"/>
  <c r="T3" i="808" s="1"/>
  <c r="U3" i="808" s="1"/>
  <c r="V3" i="808" s="1"/>
  <c r="W3" i="808" s="1"/>
  <c r="F3" i="808"/>
  <c r="G3" i="808" s="1"/>
  <c r="G10" i="807"/>
  <c r="E10" i="807"/>
  <c r="D10" i="807"/>
  <c r="D9" i="807"/>
  <c r="D8" i="807"/>
  <c r="D7" i="807"/>
  <c r="D6" i="807"/>
  <c r="A6" i="807"/>
  <c r="A7" i="807" s="1"/>
  <c r="A8" i="807" s="1"/>
  <c r="A9" i="807" s="1"/>
  <c r="A10" i="807" s="1"/>
  <c r="D5" i="807"/>
  <c r="A5" i="807"/>
  <c r="D4" i="807"/>
  <c r="C14" i="806"/>
  <c r="D14" i="806" s="1"/>
  <c r="E14" i="806" s="1"/>
  <c r="A7" i="806"/>
  <c r="C5" i="806"/>
  <c r="D5" i="806" s="1"/>
  <c r="E5" i="806" s="1"/>
  <c r="F5" i="806" s="1"/>
  <c r="G5" i="806" s="1"/>
  <c r="H5" i="806" s="1"/>
  <c r="I5" i="806" s="1"/>
  <c r="J5" i="806" s="1"/>
  <c r="K5" i="806" s="1"/>
  <c r="L5" i="806" s="1"/>
  <c r="M5" i="806" s="1"/>
  <c r="N5" i="806" s="1"/>
  <c r="O5" i="806" s="1"/>
  <c r="P5" i="806" s="1"/>
  <c r="Q5" i="806" s="1"/>
  <c r="R5" i="806" s="1"/>
  <c r="S5" i="806" s="1"/>
  <c r="T5" i="806" s="1"/>
  <c r="U5" i="806" s="1"/>
  <c r="V5" i="806" s="1"/>
  <c r="W5" i="806" s="1"/>
  <c r="X5" i="806" s="1"/>
  <c r="Y5" i="806" s="1"/>
  <c r="Z5" i="806" s="1"/>
  <c r="AA5" i="806" s="1"/>
  <c r="AB5" i="806" s="1"/>
  <c r="AC5" i="806" s="1"/>
  <c r="AD5" i="806" s="1"/>
  <c r="AE5" i="806" s="1"/>
  <c r="AF5" i="806" s="1"/>
  <c r="AG5" i="806" s="1"/>
  <c r="AH5" i="806" s="1"/>
  <c r="AI5" i="806" s="1"/>
  <c r="AJ5" i="806" s="1"/>
  <c r="AK5" i="806" s="1"/>
  <c r="AL5" i="806" s="1"/>
  <c r="AM5" i="806" s="1"/>
  <c r="AN5" i="806" s="1"/>
  <c r="AO5" i="806" s="1"/>
  <c r="AP5" i="806" s="1"/>
  <c r="AQ5" i="806" s="1"/>
  <c r="AR5" i="806" s="1"/>
  <c r="AS5" i="806" s="1"/>
  <c r="AT5" i="806" s="1"/>
  <c r="AU5" i="806" s="1"/>
  <c r="AV5" i="806" s="1"/>
  <c r="AW5" i="806" s="1"/>
  <c r="AX5" i="806" s="1"/>
  <c r="AY5" i="806" s="1"/>
  <c r="AZ5" i="806" s="1"/>
  <c r="BA5" i="806" s="1"/>
  <c r="BB5" i="806" s="1"/>
  <c r="BC5" i="806" s="1"/>
  <c r="BD5" i="806" s="1"/>
  <c r="BE5" i="806" s="1"/>
  <c r="BF5" i="806" s="1"/>
  <c r="BG5" i="806" s="1"/>
  <c r="BH5" i="806" s="1"/>
  <c r="BI5" i="806" s="1"/>
  <c r="BJ5" i="806" s="1"/>
  <c r="BK5" i="806" s="1"/>
  <c r="BL5" i="806" s="1"/>
  <c r="BM5" i="806" s="1"/>
  <c r="AB30" i="805"/>
  <c r="W30" i="805"/>
  <c r="AB29" i="805"/>
  <c r="W29" i="805"/>
  <c r="AB27" i="805"/>
  <c r="W27" i="805"/>
  <c r="M18" i="805"/>
  <c r="D18" i="805"/>
  <c r="M17" i="805"/>
  <c r="D17" i="805"/>
  <c r="M16" i="805"/>
  <c r="D16" i="805"/>
  <c r="M15" i="805"/>
  <c r="D15" i="805"/>
  <c r="M14" i="805"/>
  <c r="D14" i="805"/>
  <c r="M13" i="805"/>
  <c r="D13" i="805"/>
  <c r="M12" i="805"/>
  <c r="D12" i="805"/>
  <c r="M11" i="805"/>
  <c r="D11" i="805"/>
  <c r="M10" i="805"/>
  <c r="D10" i="805"/>
  <c r="P9" i="805"/>
  <c r="M9" i="805"/>
  <c r="D9" i="805"/>
  <c r="AB8" i="805"/>
  <c r="W8" i="805"/>
  <c r="M8" i="805"/>
  <c r="D8" i="805"/>
  <c r="AB7" i="805"/>
  <c r="W7" i="805"/>
  <c r="M7" i="805"/>
  <c r="D7" i="805"/>
  <c r="M6" i="805"/>
  <c r="D6" i="805"/>
  <c r="AB5" i="805"/>
  <c r="W5" i="805"/>
  <c r="M5" i="805"/>
  <c r="J5" i="805"/>
  <c r="J6" i="805" s="1"/>
  <c r="J7" i="805" s="1"/>
  <c r="J8" i="805" s="1"/>
  <c r="J9" i="805" s="1"/>
  <c r="J10" i="805" s="1"/>
  <c r="J11" i="805" s="1"/>
  <c r="J12" i="805" s="1"/>
  <c r="J13" i="805" s="1"/>
  <c r="J14" i="805" s="1"/>
  <c r="J15" i="805" s="1"/>
  <c r="J16" i="805" s="1"/>
  <c r="J17" i="805" s="1"/>
  <c r="J18" i="805" s="1"/>
  <c r="D5" i="805"/>
  <c r="A5" i="805"/>
  <c r="A6" i="805" s="1"/>
  <c r="A7" i="805" s="1"/>
  <c r="A8" i="805" s="1"/>
  <c r="A9" i="805" s="1"/>
  <c r="A10" i="805" s="1"/>
  <c r="A11" i="805" s="1"/>
  <c r="A12" i="805" s="1"/>
  <c r="A13" i="805" s="1"/>
  <c r="A14" i="805" s="1"/>
  <c r="A15" i="805" s="1"/>
  <c r="A16" i="805" s="1"/>
  <c r="A17" i="805" s="1"/>
  <c r="A18" i="805" s="1"/>
  <c r="M4" i="805"/>
  <c r="G4" i="805"/>
  <c r="D4" i="805"/>
  <c r="T18" i="804"/>
  <c r="S18" i="804"/>
  <c r="R18" i="804"/>
  <c r="Q18" i="804"/>
  <c r="P18" i="804"/>
  <c r="O18" i="804"/>
  <c r="N18" i="804"/>
  <c r="M18" i="804"/>
  <c r="L18" i="804"/>
  <c r="K18" i="804"/>
  <c r="J18" i="804"/>
  <c r="I18" i="804"/>
  <c r="H18" i="804"/>
  <c r="G18" i="804"/>
  <c r="D18" i="804"/>
  <c r="F18" i="804" s="1"/>
  <c r="S17" i="804"/>
  <c r="R17" i="804"/>
  <c r="Q17" i="804"/>
  <c r="P17" i="804"/>
  <c r="O17" i="804"/>
  <c r="N17" i="804"/>
  <c r="M17" i="804"/>
  <c r="L17" i="804"/>
  <c r="K17" i="804"/>
  <c r="J17" i="804"/>
  <c r="I17" i="804"/>
  <c r="H17" i="804"/>
  <c r="G17" i="804"/>
  <c r="D17" i="804"/>
  <c r="F17" i="804" s="1"/>
  <c r="R16" i="804"/>
  <c r="Q16" i="804"/>
  <c r="P16" i="804"/>
  <c r="O16" i="804"/>
  <c r="N16" i="804"/>
  <c r="M16" i="804"/>
  <c r="L16" i="804"/>
  <c r="K16" i="804"/>
  <c r="J16" i="804"/>
  <c r="I16" i="804"/>
  <c r="H16" i="804"/>
  <c r="G16" i="804"/>
  <c r="D16" i="804"/>
  <c r="F16" i="804" s="1"/>
  <c r="Q15" i="804"/>
  <c r="P15" i="804"/>
  <c r="O15" i="804"/>
  <c r="N15" i="804"/>
  <c r="M15" i="804"/>
  <c r="L15" i="804"/>
  <c r="K15" i="804"/>
  <c r="J15" i="804"/>
  <c r="I15" i="804"/>
  <c r="H15" i="804"/>
  <c r="G15" i="804"/>
  <c r="F15" i="804"/>
  <c r="D15" i="804"/>
  <c r="P14" i="804"/>
  <c r="O14" i="804"/>
  <c r="N14" i="804"/>
  <c r="M14" i="804"/>
  <c r="L14" i="804"/>
  <c r="K14" i="804"/>
  <c r="J14" i="804"/>
  <c r="I14" i="804"/>
  <c r="H14" i="804"/>
  <c r="G14" i="804"/>
  <c r="F14" i="804"/>
  <c r="D14" i="804"/>
  <c r="O13" i="804"/>
  <c r="N13" i="804"/>
  <c r="M13" i="804"/>
  <c r="L13" i="804"/>
  <c r="K13" i="804"/>
  <c r="J13" i="804"/>
  <c r="I13" i="804"/>
  <c r="H13" i="804"/>
  <c r="G13" i="804"/>
  <c r="F13" i="804"/>
  <c r="D13" i="804"/>
  <c r="N12" i="804"/>
  <c r="M12" i="804"/>
  <c r="L12" i="804"/>
  <c r="K12" i="804"/>
  <c r="J12" i="804"/>
  <c r="I12" i="804"/>
  <c r="H12" i="804"/>
  <c r="G12" i="804"/>
  <c r="D12" i="804"/>
  <c r="F12" i="804" s="1"/>
  <c r="M11" i="804"/>
  <c r="L11" i="804"/>
  <c r="K11" i="804"/>
  <c r="J11" i="804"/>
  <c r="I11" i="804"/>
  <c r="H11" i="804"/>
  <c r="G11" i="804"/>
  <c r="D11" i="804"/>
  <c r="F11" i="804" s="1"/>
  <c r="L10" i="804"/>
  <c r="K10" i="804"/>
  <c r="J10" i="804"/>
  <c r="I10" i="804"/>
  <c r="H10" i="804"/>
  <c r="G10" i="804"/>
  <c r="D10" i="804"/>
  <c r="F10" i="804" s="1"/>
  <c r="K9" i="804"/>
  <c r="J9" i="804"/>
  <c r="I9" i="804"/>
  <c r="H9" i="804"/>
  <c r="G9" i="804"/>
  <c r="D9" i="804"/>
  <c r="F9" i="804" s="1"/>
  <c r="J8" i="804"/>
  <c r="I8" i="804"/>
  <c r="H8" i="804"/>
  <c r="G8" i="804"/>
  <c r="F8" i="804"/>
  <c r="D8" i="804"/>
  <c r="I7" i="804"/>
  <c r="H7" i="804"/>
  <c r="G7" i="804"/>
  <c r="D7" i="804"/>
  <c r="F7" i="804" s="1"/>
  <c r="H6" i="804"/>
  <c r="G6" i="804"/>
  <c r="D6" i="804"/>
  <c r="F6" i="804" s="1"/>
  <c r="G5" i="804"/>
  <c r="D5" i="804"/>
  <c r="A5" i="804"/>
  <c r="A6" i="804" s="1"/>
  <c r="A7" i="804" s="1"/>
  <c r="A8" i="804" s="1"/>
  <c r="A9" i="804" s="1"/>
  <c r="A10" i="804" s="1"/>
  <c r="A11" i="804" s="1"/>
  <c r="A12" i="804" s="1"/>
  <c r="A13" i="804" s="1"/>
  <c r="A14" i="804" s="1"/>
  <c r="A15" i="804" s="1"/>
  <c r="A16" i="804" s="1"/>
  <c r="A17" i="804" s="1"/>
  <c r="A18" i="804" s="1"/>
  <c r="D4" i="804"/>
  <c r="F4" i="804" s="1"/>
  <c r="T18" i="803"/>
  <c r="S18" i="803"/>
  <c r="R18" i="803"/>
  <c r="Q18" i="803"/>
  <c r="P18" i="803"/>
  <c r="O18" i="803"/>
  <c r="N18" i="803"/>
  <c r="M18" i="803"/>
  <c r="L18" i="803"/>
  <c r="K18" i="803"/>
  <c r="J18" i="803"/>
  <c r="I18" i="803"/>
  <c r="H18" i="803"/>
  <c r="G18" i="803"/>
  <c r="D18" i="803"/>
  <c r="F18" i="803" s="1"/>
  <c r="S17" i="803"/>
  <c r="R17" i="803"/>
  <c r="Q17" i="803"/>
  <c r="P17" i="803"/>
  <c r="O17" i="803"/>
  <c r="N17" i="803"/>
  <c r="M17" i="803"/>
  <c r="L17" i="803"/>
  <c r="K17" i="803"/>
  <c r="J17" i="803"/>
  <c r="I17" i="803"/>
  <c r="H17" i="803"/>
  <c r="G17" i="803"/>
  <c r="D17" i="803"/>
  <c r="F17" i="803" s="1"/>
  <c r="R16" i="803"/>
  <c r="Q16" i="803"/>
  <c r="P16" i="803"/>
  <c r="O16" i="803"/>
  <c r="N16" i="803"/>
  <c r="M16" i="803"/>
  <c r="L16" i="803"/>
  <c r="K16" i="803"/>
  <c r="J16" i="803"/>
  <c r="I16" i="803"/>
  <c r="H16" i="803"/>
  <c r="G16" i="803"/>
  <c r="D16" i="803"/>
  <c r="F16" i="803" s="1"/>
  <c r="Q15" i="803"/>
  <c r="P15" i="803"/>
  <c r="O15" i="803"/>
  <c r="N15" i="803"/>
  <c r="M15" i="803"/>
  <c r="L15" i="803"/>
  <c r="K15" i="803"/>
  <c r="J15" i="803"/>
  <c r="I15" i="803"/>
  <c r="H15" i="803"/>
  <c r="G15" i="803"/>
  <c r="D15" i="803"/>
  <c r="F15" i="803" s="1"/>
  <c r="P14" i="803"/>
  <c r="O14" i="803"/>
  <c r="N14" i="803"/>
  <c r="M14" i="803"/>
  <c r="L14" i="803"/>
  <c r="K14" i="803"/>
  <c r="J14" i="803"/>
  <c r="I14" i="803"/>
  <c r="H14" i="803"/>
  <c r="G14" i="803"/>
  <c r="D14" i="803"/>
  <c r="F14" i="803" s="1"/>
  <c r="O13" i="803"/>
  <c r="N13" i="803"/>
  <c r="M13" i="803"/>
  <c r="L13" i="803"/>
  <c r="K13" i="803"/>
  <c r="J13" i="803"/>
  <c r="I13" i="803"/>
  <c r="H13" i="803"/>
  <c r="G13" i="803"/>
  <c r="F13" i="803"/>
  <c r="D13" i="803"/>
  <c r="N12" i="803"/>
  <c r="M12" i="803"/>
  <c r="L12" i="803"/>
  <c r="K12" i="803"/>
  <c r="J12" i="803"/>
  <c r="I12" i="803"/>
  <c r="H12" i="803"/>
  <c r="G12" i="803"/>
  <c r="D12" i="803"/>
  <c r="F12" i="803" s="1"/>
  <c r="M11" i="803"/>
  <c r="L11" i="803"/>
  <c r="K11" i="803"/>
  <c r="J11" i="803"/>
  <c r="I11" i="803"/>
  <c r="H11" i="803"/>
  <c r="G11" i="803"/>
  <c r="D11" i="803"/>
  <c r="F11" i="803" s="1"/>
  <c r="L10" i="803"/>
  <c r="K10" i="803"/>
  <c r="J10" i="803"/>
  <c r="I10" i="803"/>
  <c r="H10" i="803"/>
  <c r="G10" i="803"/>
  <c r="D10" i="803"/>
  <c r="F10" i="803" s="1"/>
  <c r="K9" i="803"/>
  <c r="J9" i="803"/>
  <c r="I9" i="803"/>
  <c r="H9" i="803"/>
  <c r="G9" i="803"/>
  <c r="D9" i="803"/>
  <c r="F9" i="803" s="1"/>
  <c r="J8" i="803"/>
  <c r="I8" i="803"/>
  <c r="H8" i="803"/>
  <c r="G8" i="803"/>
  <c r="F8" i="803"/>
  <c r="D8" i="803"/>
  <c r="I7" i="803"/>
  <c r="H7" i="803"/>
  <c r="G7" i="803"/>
  <c r="F7" i="803"/>
  <c r="D7" i="803"/>
  <c r="H6" i="803"/>
  <c r="G6" i="803"/>
  <c r="D6" i="803"/>
  <c r="F6" i="803" s="1"/>
  <c r="G5" i="803"/>
  <c r="D5" i="803"/>
  <c r="F5" i="803" s="1"/>
  <c r="A5" i="803"/>
  <c r="A6" i="803" s="1"/>
  <c r="A7" i="803" s="1"/>
  <c r="A8" i="803" s="1"/>
  <c r="A9" i="803" s="1"/>
  <c r="A10" i="803" s="1"/>
  <c r="A11" i="803" s="1"/>
  <c r="A12" i="803" s="1"/>
  <c r="A13" i="803" s="1"/>
  <c r="A14" i="803" s="1"/>
  <c r="A15" i="803" s="1"/>
  <c r="A16" i="803" s="1"/>
  <c r="A17" i="803" s="1"/>
  <c r="A18" i="803" s="1"/>
  <c r="D4" i="803"/>
  <c r="F4" i="803" s="1"/>
  <c r="G33" i="802"/>
  <c r="G32" i="802"/>
  <c r="G31" i="802"/>
  <c r="G30" i="802"/>
  <c r="G29" i="802"/>
  <c r="G28" i="802"/>
  <c r="G27" i="802"/>
  <c r="G26" i="802"/>
  <c r="G25" i="802"/>
  <c r="G24" i="802"/>
  <c r="J23" i="802"/>
  <c r="G23" i="802"/>
  <c r="G22" i="802"/>
  <c r="G21" i="802"/>
  <c r="H20" i="802"/>
  <c r="G20" i="802"/>
  <c r="G19" i="802"/>
  <c r="G18" i="802"/>
  <c r="J17" i="802"/>
  <c r="G17" i="802"/>
  <c r="G16" i="802"/>
  <c r="G15" i="802"/>
  <c r="G14" i="802"/>
  <c r="G13" i="802"/>
  <c r="H12" i="802"/>
  <c r="G12" i="802"/>
  <c r="G11" i="802"/>
  <c r="G10" i="802"/>
  <c r="G9" i="802"/>
  <c r="G8" i="802"/>
  <c r="G7" i="802"/>
  <c r="G6" i="802"/>
  <c r="G5" i="802"/>
  <c r="A5" i="802"/>
  <c r="A6" i="802" s="1"/>
  <c r="A7" i="802" s="1"/>
  <c r="A8" i="802" s="1"/>
  <c r="A9" i="802" s="1"/>
  <c r="A10" i="802" s="1"/>
  <c r="A11" i="802" s="1"/>
  <c r="A12" i="802" s="1"/>
  <c r="A13" i="802" s="1"/>
  <c r="A14" i="802" s="1"/>
  <c r="A15" i="802" s="1"/>
  <c r="A16" i="802" s="1"/>
  <c r="A17" i="802" s="1"/>
  <c r="A18" i="802" s="1"/>
  <c r="A19" i="802" s="1"/>
  <c r="A20" i="802" s="1"/>
  <c r="A21" i="802" s="1"/>
  <c r="A22" i="802" s="1"/>
  <c r="A23" i="802" s="1"/>
  <c r="A24" i="802" s="1"/>
  <c r="A25" i="802" s="1"/>
  <c r="A26" i="802" s="1"/>
  <c r="A27" i="802" s="1"/>
  <c r="A28" i="802" s="1"/>
  <c r="A29" i="802" s="1"/>
  <c r="A30" i="802" s="1"/>
  <c r="A31" i="802" s="1"/>
  <c r="A32" i="802" s="1"/>
  <c r="A33" i="802" s="1"/>
  <c r="G4" i="802"/>
  <c r="D33" i="800"/>
  <c r="D32" i="800"/>
  <c r="D31" i="800"/>
  <c r="D30" i="800"/>
  <c r="D29" i="800"/>
  <c r="D28" i="800"/>
  <c r="D27" i="800"/>
  <c r="D26" i="800"/>
  <c r="D25" i="800"/>
  <c r="G24" i="800"/>
  <c r="D24" i="800"/>
  <c r="D23" i="800"/>
  <c r="D22" i="800"/>
  <c r="D21" i="800"/>
  <c r="D20" i="800"/>
  <c r="E19" i="800"/>
  <c r="D19" i="800"/>
  <c r="D18" i="800"/>
  <c r="D17" i="800"/>
  <c r="G17" i="800" s="1"/>
  <c r="D16" i="800"/>
  <c r="D15" i="800"/>
  <c r="E14" i="800"/>
  <c r="D14" i="800"/>
  <c r="D13" i="800"/>
  <c r="D12" i="800"/>
  <c r="D11" i="800"/>
  <c r="U10" i="800"/>
  <c r="P10" i="800"/>
  <c r="D10" i="800"/>
  <c r="U9" i="800"/>
  <c r="P9" i="800"/>
  <c r="D9" i="800"/>
  <c r="D8" i="800"/>
  <c r="V7" i="800"/>
  <c r="U7" i="800"/>
  <c r="Q7" i="800"/>
  <c r="P7" i="800"/>
  <c r="G7" i="800"/>
  <c r="D7" i="800"/>
  <c r="V6" i="800"/>
  <c r="U6" i="800"/>
  <c r="Q6" i="800"/>
  <c r="P6" i="800"/>
  <c r="D6" i="800"/>
  <c r="D5" i="800"/>
  <c r="A5" i="800"/>
  <c r="A6" i="800" s="1"/>
  <c r="A7" i="800" s="1"/>
  <c r="A8" i="800" s="1"/>
  <c r="A9" i="800" s="1"/>
  <c r="A10" i="800" s="1"/>
  <c r="A11" i="800" s="1"/>
  <c r="A12" i="800" s="1"/>
  <c r="A13" i="800" s="1"/>
  <c r="A14" i="800" s="1"/>
  <c r="A15" i="800" s="1"/>
  <c r="A16" i="800" s="1"/>
  <c r="A17" i="800" s="1"/>
  <c r="A18" i="800" s="1"/>
  <c r="A19" i="800" s="1"/>
  <c r="A20" i="800" s="1"/>
  <c r="A21" i="800" s="1"/>
  <c r="A22" i="800" s="1"/>
  <c r="A23" i="800" s="1"/>
  <c r="A24" i="800" s="1"/>
  <c r="A25" i="800" s="1"/>
  <c r="A26" i="800" s="1"/>
  <c r="A27" i="800" s="1"/>
  <c r="A28" i="800" s="1"/>
  <c r="A29" i="800" s="1"/>
  <c r="A30" i="800" s="1"/>
  <c r="A31" i="800" s="1"/>
  <c r="A32" i="800" s="1"/>
  <c r="A33" i="800" s="1"/>
  <c r="D4" i="800"/>
  <c r="D18" i="799"/>
  <c r="D17" i="799"/>
  <c r="H17" i="799" s="1"/>
  <c r="D16" i="799"/>
  <c r="D15" i="799"/>
  <c r="E15" i="799" s="1"/>
  <c r="D14" i="799"/>
  <c r="D13" i="799"/>
  <c r="D12" i="799"/>
  <c r="D11" i="799"/>
  <c r="G11" i="799" s="1"/>
  <c r="U10" i="799"/>
  <c r="D10" i="799"/>
  <c r="G10" i="799" s="1"/>
  <c r="U9" i="799"/>
  <c r="D9" i="799"/>
  <c r="D8" i="799"/>
  <c r="V7" i="799"/>
  <c r="U7" i="799"/>
  <c r="D7" i="799"/>
  <c r="V6" i="799"/>
  <c r="U6" i="799"/>
  <c r="D6" i="799"/>
  <c r="D5" i="799"/>
  <c r="A5" i="799"/>
  <c r="A6" i="799" s="1"/>
  <c r="A7" i="799" s="1"/>
  <c r="A8" i="799" s="1"/>
  <c r="A9" i="799" s="1"/>
  <c r="A10" i="799" s="1"/>
  <c r="A11" i="799" s="1"/>
  <c r="A12" i="799" s="1"/>
  <c r="A13" i="799" s="1"/>
  <c r="A14" i="799" s="1"/>
  <c r="A15" i="799" s="1"/>
  <c r="A16" i="799" s="1"/>
  <c r="A17" i="799" s="1"/>
  <c r="A18" i="799" s="1"/>
  <c r="D4" i="799"/>
  <c r="W14" i="805" l="1"/>
  <c r="W15" i="805" s="1"/>
  <c r="AB14" i="805"/>
  <c r="P15" i="805"/>
  <c r="G7" i="807"/>
  <c r="P16" i="800"/>
  <c r="P17" i="800" s="1"/>
  <c r="J8" i="802"/>
  <c r="J13" i="802"/>
  <c r="J31" i="802"/>
  <c r="W7" i="808"/>
  <c r="Y6" i="808"/>
  <c r="U16" i="800"/>
  <c r="G27" i="800"/>
  <c r="K25" i="802"/>
  <c r="H4" i="807"/>
  <c r="E5" i="799"/>
  <c r="W36" i="805"/>
  <c r="W37" i="805" s="1"/>
  <c r="G9" i="807"/>
  <c r="G5" i="799"/>
  <c r="G23" i="800"/>
  <c r="K10" i="802"/>
  <c r="J33" i="802"/>
  <c r="AB36" i="805"/>
  <c r="G6" i="800"/>
  <c r="E18" i="799"/>
  <c r="H29" i="800"/>
  <c r="J5" i="802"/>
  <c r="K16" i="802"/>
  <c r="K29" i="802"/>
  <c r="N8" i="805"/>
  <c r="P6" i="808"/>
  <c r="H14" i="799"/>
  <c r="E9" i="800"/>
  <c r="E14" i="799"/>
  <c r="H18" i="799"/>
  <c r="G9" i="800"/>
  <c r="E13" i="800"/>
  <c r="G19" i="800"/>
  <c r="E28" i="800"/>
  <c r="E33" i="800"/>
  <c r="J6" i="802"/>
  <c r="H11" i="802"/>
  <c r="K15" i="802"/>
  <c r="J19" i="802"/>
  <c r="J24" i="802"/>
  <c r="E5" i="807"/>
  <c r="J4" i="810"/>
  <c r="E8" i="799"/>
  <c r="E11" i="799"/>
  <c r="H15" i="799"/>
  <c r="G13" i="800"/>
  <c r="E17" i="800"/>
  <c r="E24" i="800"/>
  <c r="G28" i="800"/>
  <c r="G33" i="800"/>
  <c r="K11" i="802"/>
  <c r="H15" i="802"/>
  <c r="K20" i="802"/>
  <c r="H25" i="802"/>
  <c r="J30" i="802"/>
  <c r="N5" i="805"/>
  <c r="N9" i="805"/>
  <c r="G5" i="807"/>
  <c r="E8" i="807"/>
  <c r="E6" i="799"/>
  <c r="E4" i="800"/>
  <c r="H14" i="800"/>
  <c r="H31" i="802"/>
  <c r="H8" i="807"/>
  <c r="H29" i="802"/>
  <c r="H21" i="802"/>
  <c r="J26" i="802"/>
  <c r="P17" i="805"/>
  <c r="H9" i="807"/>
  <c r="G14" i="800"/>
  <c r="E18" i="800"/>
  <c r="G21" i="800"/>
  <c r="E26" i="800"/>
  <c r="E30" i="800"/>
  <c r="J12" i="802"/>
  <c r="H26" i="802"/>
  <c r="X4" i="804"/>
  <c r="N4" i="805"/>
  <c r="Q8" i="805"/>
  <c r="E4" i="807"/>
  <c r="E9" i="807"/>
  <c r="L6" i="808"/>
  <c r="P7" i="808" s="1"/>
  <c r="T6" i="808"/>
  <c r="I6" i="808"/>
  <c r="E6" i="800"/>
  <c r="S7" i="808"/>
  <c r="E9" i="799"/>
  <c r="H4" i="799"/>
  <c r="E15" i="800"/>
  <c r="G18" i="800"/>
  <c r="G26" i="800"/>
  <c r="G30" i="800"/>
  <c r="H5" i="802"/>
  <c r="H13" i="802"/>
  <c r="H17" i="802"/>
  <c r="K22" i="802"/>
  <c r="K32" i="802"/>
  <c r="U6" i="808"/>
  <c r="U7" i="808" s="1"/>
  <c r="U8" i="808" s="1"/>
  <c r="K6" i="808"/>
  <c r="O8" i="799"/>
  <c r="G4" i="800"/>
  <c r="H12" i="799"/>
  <c r="E16" i="799"/>
  <c r="G16" i="799"/>
  <c r="H7" i="800"/>
  <c r="E8" i="800"/>
  <c r="H5" i="799"/>
  <c r="E7" i="799"/>
  <c r="E10" i="799"/>
  <c r="H13" i="799"/>
  <c r="E7" i="800"/>
  <c r="G8" i="800"/>
  <c r="E11" i="800"/>
  <c r="E16" i="800"/>
  <c r="E27" i="800"/>
  <c r="H23" i="802"/>
  <c r="H33" i="802"/>
  <c r="N15" i="805"/>
  <c r="E7" i="807"/>
  <c r="N6" i="808"/>
  <c r="R7" i="808" s="1"/>
  <c r="V6" i="808"/>
  <c r="V7" i="808" s="1"/>
  <c r="R13" i="815"/>
  <c r="Q12" i="815"/>
  <c r="T10" i="812"/>
  <c r="T10" i="813"/>
  <c r="S11" i="813"/>
  <c r="Q14" i="810"/>
  <c r="O15" i="810"/>
  <c r="N13" i="808"/>
  <c r="N14" i="808" s="1"/>
  <c r="N15" i="808" s="1"/>
  <c r="R13" i="808"/>
  <c r="V13" i="808"/>
  <c r="O13" i="808"/>
  <c r="L13" i="808"/>
  <c r="P13" i="808"/>
  <c r="G31" i="800"/>
  <c r="E31" i="800"/>
  <c r="U16" i="799"/>
  <c r="J18" i="802"/>
  <c r="H18" i="802"/>
  <c r="H27" i="802"/>
  <c r="J27" i="802"/>
  <c r="E32" i="800"/>
  <c r="J28" i="802"/>
  <c r="H28" i="802"/>
  <c r="E10" i="800"/>
  <c r="J4" i="802"/>
  <c r="H4" i="802"/>
  <c r="H10" i="800"/>
  <c r="P13" i="805"/>
  <c r="N13" i="805"/>
  <c r="K14" i="802"/>
  <c r="J14" i="802"/>
  <c r="H14" i="802"/>
  <c r="E4" i="799"/>
  <c r="O7" i="799"/>
  <c r="O5" i="799"/>
  <c r="O6" i="799" s="1"/>
  <c r="G7" i="799"/>
  <c r="O9" i="799"/>
  <c r="E12" i="799"/>
  <c r="E13" i="799"/>
  <c r="E17" i="799"/>
  <c r="G5" i="800"/>
  <c r="E5" i="800"/>
  <c r="G12" i="800"/>
  <c r="E12" i="800"/>
  <c r="E29" i="800"/>
  <c r="H32" i="800"/>
  <c r="K7" i="802"/>
  <c r="J7" i="802"/>
  <c r="H7" i="802"/>
  <c r="J9" i="802"/>
  <c r="H9" i="802"/>
  <c r="P7" i="805"/>
  <c r="N7" i="805"/>
  <c r="H20" i="800"/>
  <c r="H22" i="800"/>
  <c r="H25" i="800"/>
  <c r="G3" i="804" a="1"/>
  <c r="H6" i="799"/>
  <c r="H8" i="799"/>
  <c r="H11" i="800"/>
  <c r="H15" i="800"/>
  <c r="H16" i="800"/>
  <c r="E20" i="800"/>
  <c r="E21" i="800"/>
  <c r="E22" i="800"/>
  <c r="E23" i="800"/>
  <c r="E25" i="800"/>
  <c r="H19" i="802"/>
  <c r="H22" i="802"/>
  <c r="H30" i="802"/>
  <c r="H9" i="799"/>
  <c r="H6" i="802"/>
  <c r="H8" i="802"/>
  <c r="H10" i="802"/>
  <c r="H16" i="802"/>
  <c r="J21" i="802"/>
  <c r="H24" i="802"/>
  <c r="H32" i="802"/>
  <c r="G3" i="803" a="1"/>
  <c r="F14" i="806"/>
  <c r="N10" i="805"/>
  <c r="P11" i="805"/>
  <c r="N11" i="805"/>
  <c r="P12" i="805"/>
  <c r="N12" i="805"/>
  <c r="P18" i="805"/>
  <c r="N18" i="805"/>
  <c r="Q10" i="805"/>
  <c r="P5" i="805"/>
  <c r="P14" i="805"/>
  <c r="N14" i="805"/>
  <c r="P16" i="805"/>
  <c r="N16" i="805"/>
  <c r="G6" i="807"/>
  <c r="E6" i="807"/>
  <c r="Q6" i="805"/>
  <c r="W8" i="808"/>
  <c r="Q4" i="805"/>
  <c r="N6" i="805"/>
  <c r="Q15" i="805"/>
  <c r="N17" i="805"/>
  <c r="N7" i="808"/>
  <c r="H13" i="808"/>
  <c r="H14" i="808" s="1"/>
  <c r="H15" i="808" s="1"/>
  <c r="K13" i="808"/>
  <c r="K14" i="808" s="1"/>
  <c r="K15" i="808" s="1"/>
  <c r="T13" i="808"/>
  <c r="W13" i="808"/>
  <c r="S13" i="808"/>
  <c r="O7" i="808"/>
  <c r="O8" i="808" s="1"/>
  <c r="K7" i="808"/>
  <c r="K8" i="808" s="1"/>
  <c r="A8" i="806"/>
  <c r="H7" i="808"/>
  <c r="H8" i="808" s="1"/>
  <c r="M6" i="808"/>
  <c r="Q7" i="808" s="1"/>
  <c r="M13" i="808"/>
  <c r="M14" i="808" s="1"/>
  <c r="Q13" i="808"/>
  <c r="U13" i="808"/>
  <c r="I7" i="808"/>
  <c r="I8" i="808" s="1"/>
  <c r="L7" i="808" l="1"/>
  <c r="L8" i="808" s="1"/>
  <c r="Y7" i="808"/>
  <c r="T7" i="808"/>
  <c r="T8" i="808" s="1"/>
  <c r="T4" i="805"/>
  <c r="T5" i="805" s="1"/>
  <c r="T6" i="805" s="1"/>
  <c r="T7" i="805" s="1"/>
  <c r="K6" i="800"/>
  <c r="K9" i="800" s="1"/>
  <c r="Q11" i="815"/>
  <c r="R12" i="815"/>
  <c r="S12" i="813"/>
  <c r="T11" i="813"/>
  <c r="T11" i="812"/>
  <c r="O16" i="810"/>
  <c r="Q15" i="810"/>
  <c r="R14" i="808"/>
  <c r="R15" i="808" s="1"/>
  <c r="V14" i="808"/>
  <c r="S14" i="808"/>
  <c r="S15" i="808" s="1"/>
  <c r="T14" i="808"/>
  <c r="P14" i="808"/>
  <c r="P15" i="808" s="1"/>
  <c r="W14" i="808"/>
  <c r="U14" i="808"/>
  <c r="Q14" i="808"/>
  <c r="K10" i="800"/>
  <c r="K11" i="800" s="1"/>
  <c r="K13" i="800" s="1"/>
  <c r="N8" i="808"/>
  <c r="P8" i="808"/>
  <c r="V8" i="808"/>
  <c r="G14" i="806"/>
  <c r="T3" i="804"/>
  <c r="P3" i="804"/>
  <c r="L3" i="804"/>
  <c r="H3" i="804"/>
  <c r="Q3" i="804"/>
  <c r="K3" i="804"/>
  <c r="U3" i="804"/>
  <c r="O3" i="804"/>
  <c r="J3" i="804"/>
  <c r="S3" i="804"/>
  <c r="N3" i="804"/>
  <c r="I3" i="804"/>
  <c r="R3" i="804"/>
  <c r="M3" i="804"/>
  <c r="G3" i="804"/>
  <c r="G4" i="804" s="1"/>
  <c r="K6" i="799"/>
  <c r="L14" i="808"/>
  <c r="L15" i="808" s="1"/>
  <c r="M7" i="808"/>
  <c r="T3" i="803"/>
  <c r="P3" i="803"/>
  <c r="L3" i="803"/>
  <c r="H3" i="803"/>
  <c r="S3" i="803"/>
  <c r="O3" i="803"/>
  <c r="K3" i="803"/>
  <c r="G3" i="803"/>
  <c r="G4" i="803" s="1"/>
  <c r="N3" i="803"/>
  <c r="U3" i="803"/>
  <c r="M3" i="803"/>
  <c r="R3" i="803"/>
  <c r="J3" i="803"/>
  <c r="Q3" i="803"/>
  <c r="I3" i="803"/>
  <c r="M15" i="808"/>
  <c r="A9" i="806"/>
  <c r="O14" i="808"/>
  <c r="O15" i="808" s="1"/>
  <c r="S8" i="808"/>
  <c r="Q6" i="802"/>
  <c r="Q8" i="802" s="1"/>
  <c r="Q9" i="802" s="1"/>
  <c r="Q10" i="802" s="1"/>
  <c r="N6" i="802"/>
  <c r="Y8" i="808" l="1"/>
  <c r="Q8" i="808"/>
  <c r="R11" i="815"/>
  <c r="Q10" i="815"/>
  <c r="T12" i="812"/>
  <c r="S13" i="813"/>
  <c r="T12" i="813"/>
  <c r="O17" i="810"/>
  <c r="Q16" i="810"/>
  <c r="W15" i="808"/>
  <c r="V15" i="808"/>
  <c r="Q15" i="808"/>
  <c r="U15" i="808"/>
  <c r="T15" i="808"/>
  <c r="S4" i="803"/>
  <c r="S9" i="803"/>
  <c r="S7" i="803"/>
  <c r="S13" i="803"/>
  <c r="S16" i="803"/>
  <c r="S6" i="803"/>
  <c r="S10" i="803"/>
  <c r="S14" i="803"/>
  <c r="S12" i="803"/>
  <c r="S5" i="803"/>
  <c r="S8" i="803"/>
  <c r="S15" i="803"/>
  <c r="S11" i="803"/>
  <c r="R14" i="803"/>
  <c r="R8" i="803"/>
  <c r="R7" i="803"/>
  <c r="R6" i="803"/>
  <c r="R11" i="803"/>
  <c r="R4" i="803"/>
  <c r="R15" i="803"/>
  <c r="R5" i="803"/>
  <c r="R12" i="803"/>
  <c r="R13" i="803"/>
  <c r="R9" i="803"/>
  <c r="R10" i="803"/>
  <c r="H5" i="803"/>
  <c r="H4" i="803"/>
  <c r="M8" i="808"/>
  <c r="R8" i="808"/>
  <c r="R14" i="804"/>
  <c r="R12" i="804"/>
  <c r="R10" i="804"/>
  <c r="R9" i="804"/>
  <c r="R7" i="804"/>
  <c r="R15" i="804"/>
  <c r="R13" i="804"/>
  <c r="R6" i="804"/>
  <c r="R8" i="804"/>
  <c r="R11" i="804"/>
  <c r="R4" i="804"/>
  <c r="J4" i="804"/>
  <c r="J7" i="804"/>
  <c r="J6" i="804"/>
  <c r="Q4" i="804"/>
  <c r="Q6" i="804"/>
  <c r="Q8" i="804"/>
  <c r="Q12" i="804"/>
  <c r="Q13" i="804"/>
  <c r="Q7" i="804"/>
  <c r="Q10" i="804"/>
  <c r="Q14" i="804"/>
  <c r="Q11" i="804"/>
  <c r="Q9" i="804"/>
  <c r="T7" i="804"/>
  <c r="T17" i="804"/>
  <c r="T13" i="804"/>
  <c r="T4" i="804"/>
  <c r="T16" i="804"/>
  <c r="T10" i="804"/>
  <c r="T11" i="804"/>
  <c r="T15" i="804"/>
  <c r="T8" i="804"/>
  <c r="T14" i="804"/>
  <c r="T9" i="804"/>
  <c r="T12" i="804"/>
  <c r="T6" i="804"/>
  <c r="J6" i="803"/>
  <c r="J5" i="803"/>
  <c r="J7" i="803"/>
  <c r="J4" i="803"/>
  <c r="N10" i="803"/>
  <c r="N8" i="803"/>
  <c r="N4" i="803"/>
  <c r="N11" i="803"/>
  <c r="N9" i="803"/>
  <c r="N7" i="803"/>
  <c r="N5" i="803"/>
  <c r="N6" i="803"/>
  <c r="T17" i="803"/>
  <c r="T4" i="803"/>
  <c r="T12" i="803"/>
  <c r="T14" i="803"/>
  <c r="T10" i="803"/>
  <c r="T8" i="803"/>
  <c r="T9" i="803"/>
  <c r="T6" i="803"/>
  <c r="T7" i="803"/>
  <c r="T11" i="803"/>
  <c r="T5" i="803"/>
  <c r="T15" i="803"/>
  <c r="T13" i="803"/>
  <c r="T16" i="803"/>
  <c r="M9" i="804"/>
  <c r="M6" i="804"/>
  <c r="M4" i="804"/>
  <c r="M8" i="804"/>
  <c r="M7" i="804"/>
  <c r="M10" i="804"/>
  <c r="I5" i="803"/>
  <c r="I6" i="803"/>
  <c r="I4" i="803"/>
  <c r="M9" i="803"/>
  <c r="M7" i="803"/>
  <c r="M5" i="803"/>
  <c r="M6" i="803"/>
  <c r="M4" i="803"/>
  <c r="M10" i="803"/>
  <c r="M8" i="803"/>
  <c r="K4" i="803"/>
  <c r="K6" i="803"/>
  <c r="K5" i="803"/>
  <c r="K8" i="803"/>
  <c r="K7" i="803"/>
  <c r="L5" i="803"/>
  <c r="L7" i="803"/>
  <c r="L8" i="803"/>
  <c r="L6" i="803"/>
  <c r="L4" i="803"/>
  <c r="L9" i="803"/>
  <c r="I4" i="804"/>
  <c r="I6" i="804"/>
  <c r="O7" i="804"/>
  <c r="O4" i="804"/>
  <c r="O10" i="804"/>
  <c r="O9" i="804"/>
  <c r="O12" i="804"/>
  <c r="O11" i="804"/>
  <c r="O6" i="804"/>
  <c r="O8" i="804"/>
  <c r="S10" i="804"/>
  <c r="S9" i="804"/>
  <c r="S8" i="804"/>
  <c r="S14" i="804"/>
  <c r="S11" i="804"/>
  <c r="S7" i="804"/>
  <c r="S13" i="804"/>
  <c r="S6" i="804"/>
  <c r="S12" i="804"/>
  <c r="S4" i="804"/>
  <c r="S15" i="804"/>
  <c r="S16" i="804"/>
  <c r="K7" i="804"/>
  <c r="K8" i="804"/>
  <c r="K4" i="804"/>
  <c r="K6" i="804"/>
  <c r="P12" i="804"/>
  <c r="P10" i="804"/>
  <c r="P11" i="804"/>
  <c r="P13" i="804"/>
  <c r="P4" i="804"/>
  <c r="P6" i="804"/>
  <c r="P8" i="804"/>
  <c r="P7" i="804"/>
  <c r="P9" i="804"/>
  <c r="A10" i="806"/>
  <c r="Q5" i="803"/>
  <c r="Q11" i="803"/>
  <c r="Q9" i="803"/>
  <c r="Q4" i="803"/>
  <c r="Q13" i="803"/>
  <c r="Q10" i="803"/>
  <c r="Q8" i="803"/>
  <c r="Q12" i="803"/>
  <c r="Q14" i="803"/>
  <c r="Q6" i="803"/>
  <c r="Q7" i="803"/>
  <c r="U4" i="803"/>
  <c r="U13" i="803"/>
  <c r="U10" i="803"/>
  <c r="U8" i="803"/>
  <c r="U15" i="803"/>
  <c r="U6" i="803"/>
  <c r="U16" i="803"/>
  <c r="U5" i="803"/>
  <c r="U11" i="803"/>
  <c r="U9" i="803"/>
  <c r="U7" i="803"/>
  <c r="U12" i="803"/>
  <c r="U14" i="803"/>
  <c r="U18" i="803"/>
  <c r="U17" i="803"/>
  <c r="O11" i="803"/>
  <c r="O12" i="803"/>
  <c r="O9" i="803"/>
  <c r="O7" i="803"/>
  <c r="O4" i="803"/>
  <c r="O5" i="803"/>
  <c r="O8" i="803"/>
  <c r="O10" i="803"/>
  <c r="O6" i="803"/>
  <c r="P5" i="803"/>
  <c r="P10" i="803"/>
  <c r="P8" i="803"/>
  <c r="P4" i="803"/>
  <c r="P12" i="803"/>
  <c r="P9" i="803"/>
  <c r="P6" i="803"/>
  <c r="P7" i="803"/>
  <c r="P11" i="803"/>
  <c r="P13" i="803"/>
  <c r="N10" i="804"/>
  <c r="N9" i="804"/>
  <c r="N8" i="804"/>
  <c r="N11" i="804"/>
  <c r="N6" i="804"/>
  <c r="N7" i="804"/>
  <c r="N4" i="804"/>
  <c r="U13" i="804"/>
  <c r="U6" i="804"/>
  <c r="U15" i="804"/>
  <c r="U7" i="804"/>
  <c r="U10" i="804"/>
  <c r="U8" i="804"/>
  <c r="U12" i="804"/>
  <c r="U11" i="804"/>
  <c r="U18" i="804"/>
  <c r="U17" i="804"/>
  <c r="U9" i="804"/>
  <c r="U14" i="804"/>
  <c r="U4" i="804"/>
  <c r="U16" i="804"/>
  <c r="L9" i="804"/>
  <c r="L6" i="804"/>
  <c r="L8" i="804"/>
  <c r="L4" i="804"/>
  <c r="L7" i="804"/>
  <c r="H14" i="806"/>
  <c r="Y9" i="808" l="1"/>
  <c r="R10" i="815"/>
  <c r="Q9" i="815"/>
  <c r="R9" i="815" s="1"/>
  <c r="O18" i="810"/>
  <c r="Q17" i="810"/>
  <c r="X10" i="804"/>
  <c r="X9" i="803"/>
  <c r="I14" i="806"/>
  <c r="A11" i="806"/>
  <c r="BL12" i="806" s="1"/>
  <c r="AU12" i="806"/>
  <c r="H12" i="806"/>
  <c r="BJ12" i="806"/>
  <c r="AQ12" i="806"/>
  <c r="Z4" i="808" a="1"/>
  <c r="AI12" i="806"/>
  <c r="Y10" i="808" l="1"/>
  <c r="BC12" i="806"/>
  <c r="T13" i="813"/>
  <c r="S14" i="813"/>
  <c r="T14" i="813" s="1"/>
  <c r="U14" i="813" s="1"/>
  <c r="T13" i="812"/>
  <c r="T14" i="812"/>
  <c r="U14" i="812" s="1"/>
  <c r="U13" i="812" s="1"/>
  <c r="U12" i="812" s="1"/>
  <c r="U11" i="812" s="1"/>
  <c r="U10" i="812" s="1"/>
  <c r="U9" i="812" s="1"/>
  <c r="Q18" i="810"/>
  <c r="O19" i="810"/>
  <c r="AT12" i="806"/>
  <c r="J12" i="806"/>
  <c r="AH12" i="806"/>
  <c r="U12" i="806"/>
  <c r="AW12" i="806"/>
  <c r="BF12" i="806"/>
  <c r="X12" i="806"/>
  <c r="T12" i="806"/>
  <c r="W12" i="806"/>
  <c r="C12" i="806"/>
  <c r="R12" i="806"/>
  <c r="BA12" i="806"/>
  <c r="V12" i="806"/>
  <c r="AP12" i="806"/>
  <c r="AX12" i="806"/>
  <c r="Z12" i="806"/>
  <c r="F12" i="806"/>
  <c r="BE12" i="806"/>
  <c r="BD12" i="806"/>
  <c r="AZ12" i="806"/>
  <c r="M12" i="806"/>
  <c r="K12" i="806"/>
  <c r="AD12" i="806"/>
  <c r="AL12" i="806"/>
  <c r="O12" i="806"/>
  <c r="AV12" i="806"/>
  <c r="AR12" i="806"/>
  <c r="N12" i="806"/>
  <c r="E12" i="806"/>
  <c r="B12" i="806"/>
  <c r="BM12" i="806"/>
  <c r="Q12" i="806"/>
  <c r="BB12" i="806"/>
  <c r="AE12" i="806"/>
  <c r="S12" i="806"/>
  <c r="AK12" i="806"/>
  <c r="AG12" i="806"/>
  <c r="AY12" i="806"/>
  <c r="AC12" i="806"/>
  <c r="AN12" i="806"/>
  <c r="Z17" i="808"/>
  <c r="Z13" i="808"/>
  <c r="Z9" i="808"/>
  <c r="Z5" i="808"/>
  <c r="Z16" i="808"/>
  <c r="Z12" i="808"/>
  <c r="Z8" i="808"/>
  <c r="Z4" i="808"/>
  <c r="AA4" i="808" s="1"/>
  <c r="Z19" i="808"/>
  <c r="Z15" i="808"/>
  <c r="Z11" i="808"/>
  <c r="Z7" i="808"/>
  <c r="Z10" i="808"/>
  <c r="Z6" i="808"/>
  <c r="Z14" i="808"/>
  <c r="Z18" i="808"/>
  <c r="D12" i="806"/>
  <c r="AF12" i="806"/>
  <c r="AA12" i="806"/>
  <c r="BG12" i="806"/>
  <c r="J14" i="806"/>
  <c r="AJ12" i="806"/>
  <c r="Y12" i="806"/>
  <c r="G12" i="806"/>
  <c r="I15" i="806" s="1"/>
  <c r="AM12" i="806"/>
  <c r="P12" i="806"/>
  <c r="AB12" i="806"/>
  <c r="BH12" i="806"/>
  <c r="AS12" i="806"/>
  <c r="BI12" i="806"/>
  <c r="L12" i="806"/>
  <c r="I12" i="806"/>
  <c r="BK12" i="806"/>
  <c r="AO12" i="806"/>
  <c r="Y11" i="808" l="1"/>
  <c r="U13" i="813"/>
  <c r="U12" i="813" s="1"/>
  <c r="U11" i="813" s="1"/>
  <c r="U10" i="813" s="1"/>
  <c r="U9" i="813" s="1"/>
  <c r="O20" i="810"/>
  <c r="Q19" i="810"/>
  <c r="AA5" i="808"/>
  <c r="K14" i="806"/>
  <c r="J15" i="806"/>
  <c r="C15" i="806"/>
  <c r="B15" i="806"/>
  <c r="D15" i="806"/>
  <c r="E15" i="806"/>
  <c r="F15" i="806"/>
  <c r="G15" i="806"/>
  <c r="H15" i="806"/>
  <c r="Y12" i="808" l="1"/>
  <c r="O21" i="810"/>
  <c r="Q20" i="810"/>
  <c r="L14" i="806"/>
  <c r="K15" i="806"/>
  <c r="AA6" i="808"/>
  <c r="Y13" i="808" l="1"/>
  <c r="Q21" i="810"/>
  <c r="O22" i="810"/>
  <c r="Q22" i="810" s="1"/>
  <c r="L15" i="806"/>
  <c r="M14" i="806"/>
  <c r="AA7" i="808"/>
  <c r="Y14" i="808" l="1"/>
  <c r="M15" i="806"/>
  <c r="N14" i="806"/>
  <c r="AA8" i="808"/>
  <c r="Y15" i="808" l="1"/>
  <c r="O14" i="806"/>
  <c r="N15" i="806"/>
  <c r="AA9" i="808"/>
  <c r="Y16" i="808" l="1"/>
  <c r="Q21" i="800"/>
  <c r="G14" i="799"/>
  <c r="H11" i="799"/>
  <c r="H7" i="807"/>
  <c r="Q9" i="805"/>
  <c r="H18" i="800"/>
  <c r="W31" i="805"/>
  <c r="W32" i="805" s="1"/>
  <c r="W38" i="805"/>
  <c r="W39" i="805" s="1"/>
  <c r="K8" i="802"/>
  <c r="W9" i="805"/>
  <c r="W10" i="805" s="1"/>
  <c r="W16" i="805"/>
  <c r="W18" i="805" s="1"/>
  <c r="X18" i="805" s="1"/>
  <c r="G25" i="800"/>
  <c r="U18" i="799"/>
  <c r="U11" i="799"/>
  <c r="U12" i="799" s="1"/>
  <c r="G6" i="799"/>
  <c r="K26" i="802"/>
  <c r="K4" i="802"/>
  <c r="G16" i="800"/>
  <c r="G29" i="800"/>
  <c r="H19" i="800"/>
  <c r="H7" i="799"/>
  <c r="G32" i="800"/>
  <c r="J20" i="802"/>
  <c r="H10" i="807"/>
  <c r="K27" i="802"/>
  <c r="K6" i="802"/>
  <c r="H21" i="800"/>
  <c r="J32" i="802"/>
  <c r="U18" i="800"/>
  <c r="U11" i="800"/>
  <c r="U12" i="800" s="1"/>
  <c r="K21" i="802"/>
  <c r="H33" i="800"/>
  <c r="G8" i="799"/>
  <c r="G9" i="799"/>
  <c r="K18" i="802"/>
  <c r="Q18" i="805"/>
  <c r="H10" i="799"/>
  <c r="J22" i="802"/>
  <c r="H31" i="800"/>
  <c r="K13" i="802"/>
  <c r="K5" i="802"/>
  <c r="J25" i="802"/>
  <c r="G17" i="799"/>
  <c r="P6" i="805"/>
  <c r="H6" i="807"/>
  <c r="H24" i="800"/>
  <c r="Q11" i="805"/>
  <c r="J15" i="802"/>
  <c r="Q13" i="805"/>
  <c r="G11" i="800"/>
  <c r="K19" i="802"/>
  <c r="X9" i="804"/>
  <c r="X8" i="804"/>
  <c r="X11" i="804"/>
  <c r="H30" i="800"/>
  <c r="G13" i="799"/>
  <c r="K9" i="802"/>
  <c r="G4" i="807"/>
  <c r="G4" i="799"/>
  <c r="G18" i="799"/>
  <c r="H12" i="800"/>
  <c r="H5" i="807"/>
  <c r="J10" i="802"/>
  <c r="AC19" i="805"/>
  <c r="P11" i="800"/>
  <c r="P12" i="800" s="1"/>
  <c r="P18" i="800"/>
  <c r="H13" i="800"/>
  <c r="Q14" i="805"/>
  <c r="H23" i="800"/>
  <c r="G8" i="807"/>
  <c r="G15" i="800"/>
  <c r="G22" i="800"/>
  <c r="AB31" i="805"/>
  <c r="AB32" i="805" s="1"/>
  <c r="AB38" i="805"/>
  <c r="K31" i="802"/>
  <c r="H5" i="800"/>
  <c r="J16" i="802"/>
  <c r="X8" i="803"/>
  <c r="X10" i="803"/>
  <c r="X7" i="803"/>
  <c r="J11" i="802"/>
  <c r="P10" i="805"/>
  <c r="H9" i="800"/>
  <c r="K28" i="802"/>
  <c r="Q16" i="805"/>
  <c r="G12" i="799"/>
  <c r="Q7" i="805"/>
  <c r="G10" i="800"/>
  <c r="G15" i="799"/>
  <c r="H28" i="800"/>
  <c r="K33" i="802"/>
  <c r="H8" i="800"/>
  <c r="H4" i="800"/>
  <c r="AB16" i="805"/>
  <c r="AB9" i="805"/>
  <c r="AB10" i="805" s="1"/>
  <c r="K30" i="802"/>
  <c r="K24" i="802"/>
  <c r="P8" i="805"/>
  <c r="H16" i="799"/>
  <c r="H19" i="799" s="1"/>
  <c r="H26" i="800"/>
  <c r="H27" i="800"/>
  <c r="P4" i="805"/>
  <c r="Q12" i="805"/>
  <c r="G20" i="800"/>
  <c r="Q5" i="805"/>
  <c r="H6" i="800"/>
  <c r="K17" i="802"/>
  <c r="Q17" i="805"/>
  <c r="K23" i="802"/>
  <c r="K12" i="802"/>
  <c r="J29" i="802"/>
  <c r="H17" i="800"/>
  <c r="V21" i="800"/>
  <c r="X41" i="805"/>
  <c r="AC41" i="805"/>
  <c r="V21" i="799"/>
  <c r="X19" i="805"/>
  <c r="U19" i="800"/>
  <c r="U20" i="800"/>
  <c r="V20" i="800" s="1"/>
  <c r="P14" i="806"/>
  <c r="O15" i="806"/>
  <c r="AA10" i="808"/>
  <c r="W17" i="805" l="1"/>
  <c r="Y17" i="808"/>
  <c r="X12" i="803"/>
  <c r="K34" i="802"/>
  <c r="Q19" i="805"/>
  <c r="H11" i="807"/>
  <c r="J34" i="802"/>
  <c r="Q7" i="802" s="1"/>
  <c r="Q11" i="802" s="1"/>
  <c r="Q12" i="802" s="1"/>
  <c r="Q13" i="802" s="1"/>
  <c r="W40" i="805"/>
  <c r="X40" i="805" s="1"/>
  <c r="P19" i="805"/>
  <c r="AB40" i="805"/>
  <c r="AC40" i="805" s="1"/>
  <c r="AB39" i="805"/>
  <c r="H34" i="800"/>
  <c r="X13" i="803"/>
  <c r="P19" i="800"/>
  <c r="P20" i="800"/>
  <c r="Q20" i="800" s="1"/>
  <c r="G19" i="799"/>
  <c r="K7" i="799" s="1"/>
  <c r="K9" i="799" s="1"/>
  <c r="AB17" i="805"/>
  <c r="AB18" i="805"/>
  <c r="AC18" i="805" s="1"/>
  <c r="G11" i="807"/>
  <c r="X14" i="804"/>
  <c r="X13" i="804"/>
  <c r="G34" i="800"/>
  <c r="U20" i="799"/>
  <c r="V20" i="799" s="1"/>
  <c r="U19" i="799"/>
  <c r="T3" i="805"/>
  <c r="T8" i="805" s="1"/>
  <c r="AA11" i="808"/>
  <c r="P15" i="806"/>
  <c r="Q14" i="806"/>
  <c r="Y18" i="808" l="1"/>
  <c r="K7" i="800"/>
  <c r="K12" i="800" s="1"/>
  <c r="K31" i="800" s="1"/>
  <c r="N7" i="802"/>
  <c r="N9" i="802" s="1"/>
  <c r="AA12" i="808"/>
  <c r="Q15" i="806"/>
  <c r="R14" i="806"/>
  <c r="Y19" i="808" l="1"/>
  <c r="K14" i="800"/>
  <c r="K15" i="800" s="1"/>
  <c r="AA13" i="808"/>
  <c r="S14" i="806"/>
  <c r="R15" i="806"/>
  <c r="T14" i="806" l="1"/>
  <c r="S15" i="806"/>
  <c r="AA14" i="808"/>
  <c r="AA15" i="808" l="1"/>
  <c r="T15" i="806"/>
  <c r="U14" i="806"/>
  <c r="AA16" i="808" l="1"/>
  <c r="U15" i="806"/>
  <c r="V14" i="806"/>
  <c r="AA17" i="808" l="1"/>
  <c r="W14" i="806"/>
  <c r="W15" i="806" s="1"/>
  <c r="V15" i="806"/>
  <c r="X15" i="806" l="1"/>
  <c r="AA18" i="808"/>
  <c r="AA19" i="808" l="1"/>
  <c r="AB18" i="808" s="1"/>
  <c r="I16" i="806"/>
  <c r="D16" i="806"/>
  <c r="B16" i="806"/>
  <c r="B17" i="806" s="1"/>
  <c r="F16" i="806"/>
  <c r="J16" i="806"/>
  <c r="C16" i="806"/>
  <c r="H16" i="806"/>
  <c r="E16" i="806"/>
  <c r="G16" i="806"/>
  <c r="K16" i="806"/>
  <c r="L16" i="806"/>
  <c r="M16" i="806"/>
  <c r="N16" i="806"/>
  <c r="O16" i="806"/>
  <c r="P16" i="806"/>
  <c r="Q16" i="806"/>
  <c r="R16" i="806"/>
  <c r="S16" i="806"/>
  <c r="T16" i="806"/>
  <c r="U16" i="806"/>
  <c r="V16" i="806"/>
  <c r="W16" i="806"/>
  <c r="C17" i="806" l="1"/>
  <c r="D17" i="806" s="1"/>
  <c r="E17" i="806" s="1"/>
  <c r="F17" i="806" s="1"/>
  <c r="G17" i="806" s="1"/>
  <c r="H17" i="806" s="1"/>
  <c r="I17" i="806" s="1"/>
  <c r="J17" i="806" s="1"/>
  <c r="K17" i="806" s="1"/>
  <c r="L17" i="806" s="1"/>
  <c r="M17" i="806" s="1"/>
  <c r="N17" i="806" s="1"/>
  <c r="O17" i="806" s="1"/>
  <c r="P17" i="806" s="1"/>
  <c r="Q17" i="806" s="1"/>
  <c r="R17" i="806" s="1"/>
  <c r="S17" i="806" s="1"/>
  <c r="T17" i="806" s="1"/>
  <c r="U17" i="806" s="1"/>
  <c r="V17" i="806" s="1"/>
  <c r="W17" i="806" s="1"/>
  <c r="AB19" i="808"/>
  <c r="AB4" i="808"/>
  <c r="AB5" i="808"/>
  <c r="AB6" i="808"/>
  <c r="AB7" i="808"/>
  <c r="AB8" i="808"/>
  <c r="AB9" i="808"/>
  <c r="AB10" i="808"/>
  <c r="AB11" i="808"/>
  <c r="AB12" i="808"/>
  <c r="AB13" i="808"/>
  <c r="AB14" i="808"/>
  <c r="AB15" i="808"/>
  <c r="AB16" i="808"/>
  <c r="AB17" i="808"/>
  <c r="C16" i="798" l="1"/>
  <c r="B16" i="798"/>
  <c r="E15" i="798"/>
  <c r="E14" i="798"/>
  <c r="E13" i="798"/>
  <c r="E12" i="798"/>
  <c r="E11" i="798"/>
  <c r="E10" i="798"/>
  <c r="E9" i="798"/>
  <c r="E8" i="798"/>
  <c r="E7" i="798"/>
  <c r="E6" i="798"/>
  <c r="E5" i="798"/>
  <c r="E4" i="798"/>
  <c r="F3" i="798" a="1"/>
  <c r="P3" i="798" s="1"/>
  <c r="AG19" i="797"/>
  <c r="AG18" i="797"/>
  <c r="AH16" i="797"/>
  <c r="AF8" i="797"/>
  <c r="AE8" i="797"/>
  <c r="AD8" i="797"/>
  <c r="AC8" i="797"/>
  <c r="AP7" i="797"/>
  <c r="AO7" i="797"/>
  <c r="AF7" i="797"/>
  <c r="AE7" i="797"/>
  <c r="AD7" i="797"/>
  <c r="AC7" i="797"/>
  <c r="U7" i="797"/>
  <c r="T7" i="797"/>
  <c r="AP6" i="797"/>
  <c r="AO6" i="797"/>
  <c r="AO13" i="797" s="1"/>
  <c r="AO14" i="797" s="1"/>
  <c r="U6" i="797"/>
  <c r="T14" i="797" s="1"/>
  <c r="T6" i="797"/>
  <c r="B18" i="796"/>
  <c r="A18" i="796"/>
  <c r="L7" i="796"/>
  <c r="K7" i="796"/>
  <c r="F7" i="796"/>
  <c r="E7" i="796"/>
  <c r="L6" i="796"/>
  <c r="K6" i="796"/>
  <c r="F6" i="796"/>
  <c r="E6" i="796"/>
  <c r="L5" i="796"/>
  <c r="K5" i="796"/>
  <c r="F5" i="796"/>
  <c r="E5" i="796"/>
  <c r="R19" i="795"/>
  <c r="R18" i="795"/>
  <c r="B18" i="795"/>
  <c r="A18" i="795"/>
  <c r="S16" i="795"/>
  <c r="Q8" i="795"/>
  <c r="P8" i="795"/>
  <c r="O8" i="795"/>
  <c r="N8" i="795"/>
  <c r="Q7" i="795"/>
  <c r="P7" i="795"/>
  <c r="O7" i="795"/>
  <c r="N7" i="795"/>
  <c r="I5" i="795"/>
  <c r="H5" i="795"/>
  <c r="Q13" i="795" l="1"/>
  <c r="Q14" i="795" s="1"/>
  <c r="S14" i="795" s="1"/>
  <c r="E13" i="796"/>
  <c r="E14" i="796" s="1"/>
  <c r="AF13" i="797"/>
  <c r="K13" i="796"/>
  <c r="AD18" i="797"/>
  <c r="AD19" i="797" s="1"/>
  <c r="AF18" i="797"/>
  <c r="AF19" i="797" s="1"/>
  <c r="M6" i="798"/>
  <c r="P7" i="798"/>
  <c r="P11" i="798"/>
  <c r="P4" i="798"/>
  <c r="M8" i="798"/>
  <c r="P5" i="798"/>
  <c r="P9" i="798"/>
  <c r="P13" i="798"/>
  <c r="I3" i="798"/>
  <c r="I11" i="798" s="1"/>
  <c r="M3" i="798"/>
  <c r="M12" i="798" s="1"/>
  <c r="M4" i="798"/>
  <c r="M5" i="798"/>
  <c r="M9" i="798"/>
  <c r="M11" i="798"/>
  <c r="F3" i="798"/>
  <c r="F7" i="798" s="1"/>
  <c r="J3" i="798"/>
  <c r="J4" i="798" s="1"/>
  <c r="N3" i="798"/>
  <c r="N5" i="798"/>
  <c r="P6" i="798"/>
  <c r="N7" i="798"/>
  <c r="P8" i="798"/>
  <c r="N9" i="798"/>
  <c r="P10" i="798"/>
  <c r="N11" i="798"/>
  <c r="P12" i="798"/>
  <c r="N13" i="798"/>
  <c r="P14" i="798"/>
  <c r="P15" i="798"/>
  <c r="M13" i="798"/>
  <c r="G3" i="798"/>
  <c r="G5" i="798" s="1"/>
  <c r="K3" i="798"/>
  <c r="O3" i="798"/>
  <c r="O4" i="798" s="1"/>
  <c r="K4" i="798"/>
  <c r="K5" i="798"/>
  <c r="K7" i="798"/>
  <c r="K9" i="798"/>
  <c r="K11" i="798"/>
  <c r="K13" i="798"/>
  <c r="M7" i="798"/>
  <c r="H3" i="798"/>
  <c r="H6" i="798" s="1"/>
  <c r="L3" i="798"/>
  <c r="L15" i="798" s="1"/>
  <c r="H5" i="798"/>
  <c r="Q9" i="795"/>
  <c r="O13" i="795" s="1"/>
  <c r="O14" i="795" s="1"/>
  <c r="V18" i="795"/>
  <c r="V19" i="795"/>
  <c r="S13" i="795"/>
  <c r="T15" i="797"/>
  <c r="T16" i="797" s="1"/>
  <c r="T18" i="797" s="1"/>
  <c r="AH19" i="797"/>
  <c r="AI19" i="797" s="1"/>
  <c r="AH18" i="797"/>
  <c r="AK18" i="797"/>
  <c r="Q18" i="795"/>
  <c r="O18" i="795"/>
  <c r="O19" i="795" s="1"/>
  <c r="AF14" i="797"/>
  <c r="AH14" i="797" s="1"/>
  <c r="AJ14" i="797" s="1"/>
  <c r="AH13" i="797"/>
  <c r="AK19" i="797"/>
  <c r="AF9" i="797"/>
  <c r="AD13" i="797" s="1"/>
  <c r="AD14" i="797" s="1"/>
  <c r="T14" i="795" l="1"/>
  <c r="L13" i="798"/>
  <c r="L11" i="798"/>
  <c r="J13" i="798"/>
  <c r="L9" i="798"/>
  <c r="I5" i="798"/>
  <c r="L7" i="798"/>
  <c r="J5" i="798"/>
  <c r="M14" i="798"/>
  <c r="L5" i="798"/>
  <c r="O9" i="798"/>
  <c r="M15" i="798"/>
  <c r="L4" i="798"/>
  <c r="O7" i="798"/>
  <c r="J9" i="798"/>
  <c r="AE13" i="797"/>
  <c r="AG9" i="797"/>
  <c r="J11" i="798"/>
  <c r="J7" i="798"/>
  <c r="AE18" i="797"/>
  <c r="H9" i="798"/>
  <c r="O13" i="798"/>
  <c r="O5" i="798"/>
  <c r="F11" i="798"/>
  <c r="O11" i="798"/>
  <c r="P13" i="795"/>
  <c r="H13" i="798"/>
  <c r="L12" i="798"/>
  <c r="L8" i="798"/>
  <c r="M10" i="798"/>
  <c r="K9" i="796"/>
  <c r="L9" i="796"/>
  <c r="D18" i="795"/>
  <c r="H6" i="795" s="1"/>
  <c r="H7" i="795" s="1"/>
  <c r="T8" i="797"/>
  <c r="T9" i="797" s="1"/>
  <c r="T13" i="797" s="1"/>
  <c r="T17" i="797" s="1"/>
  <c r="T19" i="797" s="1"/>
  <c r="T20" i="797" s="1"/>
  <c r="U8" i="797"/>
  <c r="U9" i="797" s="1"/>
  <c r="E18" i="795"/>
  <c r="I6" i="795" s="1"/>
  <c r="I7" i="795" s="1"/>
  <c r="S10" i="798"/>
  <c r="F9" i="796"/>
  <c r="E9" i="796"/>
  <c r="AP9" i="797"/>
  <c r="Y17" i="797"/>
  <c r="Y20" i="797" s="1"/>
  <c r="AO9" i="797"/>
  <c r="U14" i="795"/>
  <c r="R9" i="795"/>
  <c r="H15" i="798"/>
  <c r="F15" i="798"/>
  <c r="F14" i="798"/>
  <c r="F12" i="798"/>
  <c r="F10" i="798"/>
  <c r="F8" i="798"/>
  <c r="F6" i="798"/>
  <c r="G4" i="798"/>
  <c r="H12" i="798"/>
  <c r="F4" i="798"/>
  <c r="I13" i="798"/>
  <c r="I9" i="798"/>
  <c r="H11" i="798"/>
  <c r="H7" i="798"/>
  <c r="H4" i="798"/>
  <c r="I15" i="798"/>
  <c r="G13" i="798"/>
  <c r="G11" i="798"/>
  <c r="G9" i="798"/>
  <c r="G7" i="798"/>
  <c r="O10" i="798"/>
  <c r="O8" i="798"/>
  <c r="O15" i="798"/>
  <c r="O14" i="798"/>
  <c r="O12" i="798"/>
  <c r="O6" i="798"/>
  <c r="L14" i="798"/>
  <c r="F13" i="798"/>
  <c r="L10" i="798"/>
  <c r="F9" i="798"/>
  <c r="L6" i="798"/>
  <c r="F5" i="798"/>
  <c r="N15" i="798"/>
  <c r="N14" i="798"/>
  <c r="N12" i="798"/>
  <c r="N10" i="798"/>
  <c r="N8" i="798"/>
  <c r="N6" i="798"/>
  <c r="I7" i="798"/>
  <c r="I4" i="798"/>
  <c r="G8" i="798"/>
  <c r="G14" i="798"/>
  <c r="G15" i="798"/>
  <c r="G12" i="798"/>
  <c r="G10" i="798"/>
  <c r="G6" i="798"/>
  <c r="H8" i="798"/>
  <c r="I14" i="798"/>
  <c r="I12" i="798"/>
  <c r="I10" i="798"/>
  <c r="I8" i="798"/>
  <c r="I6" i="798"/>
  <c r="K12" i="798"/>
  <c r="K10" i="798"/>
  <c r="K15" i="798"/>
  <c r="K14" i="798"/>
  <c r="K8" i="798"/>
  <c r="K6" i="798"/>
  <c r="H14" i="798"/>
  <c r="H10" i="798"/>
  <c r="N4" i="798"/>
  <c r="J15" i="798"/>
  <c r="J14" i="798"/>
  <c r="J12" i="798"/>
  <c r="J10" i="798"/>
  <c r="J8" i="798"/>
  <c r="J6" i="798"/>
  <c r="P18" i="795"/>
  <c r="AI14" i="797"/>
  <c r="AJ19" i="797"/>
  <c r="Q19" i="795"/>
  <c r="S19" i="795" s="1"/>
  <c r="S18" i="795"/>
  <c r="R13" i="795"/>
  <c r="V13" i="795" s="1"/>
  <c r="P14" i="795"/>
  <c r="R14" i="795" s="1"/>
  <c r="V14" i="795" s="1"/>
  <c r="W13" i="795"/>
  <c r="W14" i="795" s="1"/>
  <c r="W18" i="795"/>
  <c r="W19" i="795" s="1"/>
  <c r="P19" i="795"/>
  <c r="AL13" i="797"/>
  <c r="AL14" i="797" s="1"/>
  <c r="AE14" i="797"/>
  <c r="AG14" i="797" s="1"/>
  <c r="AK14" i="797" s="1"/>
  <c r="AG13" i="797"/>
  <c r="AK13" i="797" s="1"/>
  <c r="AE19" i="797"/>
  <c r="AL18" i="797"/>
  <c r="AL19" i="797" s="1"/>
  <c r="S12" i="798" l="1"/>
  <c r="H11" i="795"/>
  <c r="H13" i="795" s="1"/>
  <c r="AO12" i="797"/>
  <c r="E12" i="796"/>
  <c r="K12" i="796"/>
  <c r="S13" i="798"/>
  <c r="T21" i="797"/>
  <c r="S9" i="798"/>
  <c r="S7" i="798"/>
  <c r="S8" i="798"/>
  <c r="T19" i="795"/>
  <c r="U19" i="795"/>
  <c r="AO15" i="797"/>
  <c r="F18" i="796" l="1"/>
  <c r="AP18" i="797"/>
  <c r="E15" i="796"/>
  <c r="L18" i="796"/>
  <c r="K15" i="796"/>
  <c r="AO17" i="797"/>
  <c r="AP17" i="797" s="1"/>
  <c r="AO16" i="797"/>
  <c r="E16" i="796" l="1"/>
  <c r="E17" i="796"/>
  <c r="F17" i="796" s="1"/>
  <c r="K16" i="796"/>
  <c r="K17" i="796"/>
  <c r="L17" i="796" s="1"/>
  <c r="K27" i="346" l="1"/>
  <c r="K28" i="346" s="1"/>
  <c r="K29" i="346"/>
  <c r="K30" i="346"/>
  <c r="K31" i="346"/>
  <c r="K32" i="346"/>
  <c r="J32" i="346"/>
  <c r="J31" i="346"/>
  <c r="J30" i="346"/>
  <c r="J29" i="346"/>
  <c r="J27" i="346"/>
  <c r="J28" i="346" s="1"/>
  <c r="K26" i="346"/>
  <c r="J26" i="346"/>
  <c r="AY7" i="715"/>
  <c r="AY6" i="715"/>
  <c r="AY5" i="715"/>
  <c r="AY9" i="715" s="1"/>
  <c r="F5" i="676"/>
  <c r="F6" i="676" s="1"/>
  <c r="F7" i="676" s="1"/>
  <c r="A5" i="676"/>
  <c r="A6" i="676" s="1"/>
  <c r="A7" i="676" s="1"/>
  <c r="A8" i="676" s="1"/>
  <c r="A9" i="676" s="1"/>
  <c r="A10" i="676" s="1"/>
  <c r="A11" i="676" s="1"/>
  <c r="A12" i="676" s="1"/>
  <c r="A13" i="676" s="1"/>
  <c r="A14" i="676" s="1"/>
  <c r="A15" i="676" s="1"/>
  <c r="A16" i="676" s="1"/>
  <c r="A17" i="676" s="1"/>
  <c r="A18" i="676" s="1"/>
  <c r="A24" i="36"/>
  <c r="A25" i="36" s="1"/>
  <c r="A26" i="36" s="1"/>
  <c r="A27" i="36" s="1"/>
  <c r="A28" i="36" s="1"/>
  <c r="A29" i="36" s="1"/>
  <c r="A30" i="36" s="1"/>
  <c r="A31" i="36" s="1"/>
  <c r="A32" i="36" s="1"/>
  <c r="A33" i="36" s="1"/>
  <c r="A34" i="36" s="1"/>
  <c r="A35" i="36" s="1"/>
  <c r="A36" i="36" s="1"/>
  <c r="A37" i="36" s="1"/>
  <c r="A38" i="36" s="1"/>
  <c r="A39" i="36" s="1"/>
  <c r="A40" i="36" s="1"/>
  <c r="A41" i="36" s="1"/>
  <c r="A42" i="36" s="1"/>
  <c r="B45" i="613"/>
  <c r="A45" i="613"/>
  <c r="I40" i="613"/>
  <c r="H40" i="613"/>
  <c r="B30" i="613"/>
  <c r="A30" i="613"/>
  <c r="I22" i="613"/>
  <c r="H22" i="613"/>
  <c r="B13" i="613"/>
  <c r="A13" i="613"/>
  <c r="I5" i="613"/>
  <c r="H5" i="613"/>
  <c r="C94" i="612"/>
  <c r="D94" i="612"/>
  <c r="A83" i="612"/>
  <c r="A84" i="612" s="1"/>
  <c r="C82" i="612"/>
  <c r="D82" i="612" s="1"/>
  <c r="E82" i="612" s="1"/>
  <c r="F82" i="612" s="1"/>
  <c r="E80" i="612"/>
  <c r="B80" i="612"/>
  <c r="H78" i="612"/>
  <c r="H80" i="612" s="1"/>
  <c r="C71" i="612"/>
  <c r="D71" i="612" s="1"/>
  <c r="E71" i="612" s="1"/>
  <c r="F71" i="612" s="1"/>
  <c r="A59" i="612"/>
  <c r="A60" i="612"/>
  <c r="A61" i="612"/>
  <c r="A62" i="612" s="1"/>
  <c r="C58" i="612"/>
  <c r="D58" i="612" s="1"/>
  <c r="E58" i="612" s="1"/>
  <c r="F58" i="612" s="1"/>
  <c r="G58" i="612" s="1"/>
  <c r="H58" i="612" s="1"/>
  <c r="I58" i="612" s="1"/>
  <c r="J58" i="612" s="1"/>
  <c r="K58" i="612" s="1"/>
  <c r="L58" i="612" s="1"/>
  <c r="M58" i="612" s="1"/>
  <c r="N58" i="612" s="1"/>
  <c r="O58" i="612" s="1"/>
  <c r="P58" i="612" s="1"/>
  <c r="E56" i="612"/>
  <c r="B56" i="612"/>
  <c r="H54" i="612"/>
  <c r="H56" i="612" s="1"/>
  <c r="C47" i="612"/>
  <c r="D47" i="612" s="1"/>
  <c r="E47" i="612" s="1"/>
  <c r="F47" i="612" s="1"/>
  <c r="G47" i="612" s="1"/>
  <c r="H47" i="612" s="1"/>
  <c r="A34" i="612"/>
  <c r="A35" i="612" s="1"/>
  <c r="A36" i="612" s="1"/>
  <c r="A37" i="612" s="1"/>
  <c r="A38" i="612" s="1"/>
  <c r="C33" i="612"/>
  <c r="D33" i="612"/>
  <c r="E33" i="612" s="1"/>
  <c r="F33" i="612" s="1"/>
  <c r="G33" i="612" s="1"/>
  <c r="H33" i="612" s="1"/>
  <c r="I33" i="612" s="1"/>
  <c r="J33" i="612" s="1"/>
  <c r="K33" i="612" s="1"/>
  <c r="L33" i="612" s="1"/>
  <c r="M33" i="612" s="1"/>
  <c r="N33" i="612" s="1"/>
  <c r="O33" i="612" s="1"/>
  <c r="P33" i="612" s="1"/>
  <c r="Q33" i="612" s="1"/>
  <c r="R33" i="612" s="1"/>
  <c r="S33" i="612" s="1"/>
  <c r="T33" i="612" s="1"/>
  <c r="U33" i="612" s="1"/>
  <c r="V33" i="612" s="1"/>
  <c r="W33" i="612" s="1"/>
  <c r="X33" i="612" s="1"/>
  <c r="Y33" i="612" s="1"/>
  <c r="Z33" i="612" s="1"/>
  <c r="AA33" i="612" s="1"/>
  <c r="AB33" i="612" s="1"/>
  <c r="AC33" i="612" s="1"/>
  <c r="AD33" i="612" s="1"/>
  <c r="AE33" i="612" s="1"/>
  <c r="AF33" i="612" s="1"/>
  <c r="AG33" i="612" s="1"/>
  <c r="AH33" i="612" s="1"/>
  <c r="AI33" i="612" s="1"/>
  <c r="AJ33" i="612" s="1"/>
  <c r="E31" i="612"/>
  <c r="B31" i="612"/>
  <c r="H29" i="612"/>
  <c r="N31" i="612"/>
  <c r="C22" i="612"/>
  <c r="D22" i="612"/>
  <c r="E22" i="612" s="1"/>
  <c r="F22" i="612" s="1"/>
  <c r="G22" i="612" s="1"/>
  <c r="A8" i="612"/>
  <c r="A9" i="612"/>
  <c r="C7" i="612"/>
  <c r="D7" i="612" s="1"/>
  <c r="E7" i="612" s="1"/>
  <c r="F7" i="612" s="1"/>
  <c r="G7" i="612" s="1"/>
  <c r="H7" i="612" s="1"/>
  <c r="I7" i="612" s="1"/>
  <c r="J7" i="612" s="1"/>
  <c r="K7" i="612" s="1"/>
  <c r="L7" i="612" s="1"/>
  <c r="M7" i="612" s="1"/>
  <c r="N7" i="612" s="1"/>
  <c r="O7" i="612" s="1"/>
  <c r="P7" i="612" s="1"/>
  <c r="Q7" i="612" s="1"/>
  <c r="R7" i="612" s="1"/>
  <c r="S7" i="612" s="1"/>
  <c r="T7" i="612" s="1"/>
  <c r="U7" i="612" s="1"/>
  <c r="V7" i="612" s="1"/>
  <c r="W7" i="612" s="1"/>
  <c r="X7" i="612" s="1"/>
  <c r="Y7" i="612" s="1"/>
  <c r="Z7" i="612" s="1"/>
  <c r="AA7" i="612" s="1"/>
  <c r="AB7" i="612" s="1"/>
  <c r="AC7" i="612" s="1"/>
  <c r="AD7" i="612" s="1"/>
  <c r="AE7" i="612" s="1"/>
  <c r="AF7" i="612" s="1"/>
  <c r="AG7" i="612" s="1"/>
  <c r="AH7" i="612" s="1"/>
  <c r="AI7" i="612" s="1"/>
  <c r="AJ7" i="612" s="1"/>
  <c r="AK7" i="612" s="1"/>
  <c r="AL7" i="612" s="1"/>
  <c r="AM7" i="612" s="1"/>
  <c r="AN7" i="612" s="1"/>
  <c r="AO7" i="612" s="1"/>
  <c r="AP7" i="612" s="1"/>
  <c r="AQ7" i="612" s="1"/>
  <c r="AR7" i="612" s="1"/>
  <c r="AS7" i="612" s="1"/>
  <c r="AT7" i="612" s="1"/>
  <c r="AU7" i="612" s="1"/>
  <c r="AV7" i="612" s="1"/>
  <c r="AW7" i="612" s="1"/>
  <c r="AX7" i="612" s="1"/>
  <c r="AY7" i="612" s="1"/>
  <c r="AZ7" i="612" s="1"/>
  <c r="BA7" i="612" s="1"/>
  <c r="BB7" i="612" s="1"/>
  <c r="BC7" i="612" s="1"/>
  <c r="BD7" i="612" s="1"/>
  <c r="BE7" i="612" s="1"/>
  <c r="BF7" i="612" s="1"/>
  <c r="BG7" i="612" s="1"/>
  <c r="BH7" i="612" s="1"/>
  <c r="BI7" i="612" s="1"/>
  <c r="BJ7" i="612" s="1"/>
  <c r="BK7" i="612" s="1"/>
  <c r="BL7" i="612" s="1"/>
  <c r="BM7" i="612" s="1"/>
  <c r="BN7" i="612" s="1"/>
  <c r="BO7" i="612" s="1"/>
  <c r="BP7" i="612" s="1"/>
  <c r="BQ7" i="612" s="1"/>
  <c r="BR7" i="612" s="1"/>
  <c r="BS7" i="612" s="1"/>
  <c r="E5" i="612"/>
  <c r="B5" i="612"/>
  <c r="H3" i="612"/>
  <c r="N5" i="612" s="1"/>
  <c r="A71" i="603"/>
  <c r="C70" i="603"/>
  <c r="D70" i="603" s="1"/>
  <c r="E70" i="603" s="1"/>
  <c r="F70" i="603" s="1"/>
  <c r="E68" i="603"/>
  <c r="B68" i="603"/>
  <c r="B78" i="603" s="1"/>
  <c r="C78" i="603" s="1"/>
  <c r="H66" i="603"/>
  <c r="H68" i="603" s="1"/>
  <c r="K68" i="603" s="1"/>
  <c r="A51" i="603"/>
  <c r="C50" i="603"/>
  <c r="D50" i="603" s="1"/>
  <c r="E50" i="603" s="1"/>
  <c r="F50" i="603" s="1"/>
  <c r="G50" i="603" s="1"/>
  <c r="H50" i="603" s="1"/>
  <c r="I50" i="603" s="1"/>
  <c r="J50" i="603" s="1"/>
  <c r="K50" i="603" s="1"/>
  <c r="L50" i="603" s="1"/>
  <c r="M50" i="603" s="1"/>
  <c r="N50" i="603" s="1"/>
  <c r="O50" i="603" s="1"/>
  <c r="P50" i="603" s="1"/>
  <c r="E48" i="603"/>
  <c r="B48" i="603"/>
  <c r="B59" i="603" s="1"/>
  <c r="C59" i="603" s="1"/>
  <c r="H46" i="603"/>
  <c r="N48" i="603" s="1"/>
  <c r="A30" i="603"/>
  <c r="A31" i="603" s="1"/>
  <c r="C29" i="603"/>
  <c r="D29" i="603" s="1"/>
  <c r="E29" i="603" s="1"/>
  <c r="F29" i="603" s="1"/>
  <c r="G29" i="603" s="1"/>
  <c r="H29" i="603" s="1"/>
  <c r="I29" i="603" s="1"/>
  <c r="J29" i="603" s="1"/>
  <c r="K29" i="603" s="1"/>
  <c r="L29" i="603" s="1"/>
  <c r="M29" i="603" s="1"/>
  <c r="N29" i="603" s="1"/>
  <c r="O29" i="603" s="1"/>
  <c r="P29" i="603" s="1"/>
  <c r="Q29" i="603" s="1"/>
  <c r="R29" i="603" s="1"/>
  <c r="S29" i="603" s="1"/>
  <c r="T29" i="603" s="1"/>
  <c r="U29" i="603" s="1"/>
  <c r="V29" i="603" s="1"/>
  <c r="W29" i="603" s="1"/>
  <c r="X29" i="603" s="1"/>
  <c r="Y29" i="603" s="1"/>
  <c r="Z29" i="603" s="1"/>
  <c r="AA29" i="603" s="1"/>
  <c r="AB29" i="603" s="1"/>
  <c r="AC29" i="603" s="1"/>
  <c r="AD29" i="603" s="1"/>
  <c r="AE29" i="603" s="1"/>
  <c r="AF29" i="603" s="1"/>
  <c r="AG29" i="603" s="1"/>
  <c r="AH29" i="603" s="1"/>
  <c r="AI29" i="603" s="1"/>
  <c r="AJ29" i="603" s="1"/>
  <c r="E27" i="603"/>
  <c r="B27" i="603"/>
  <c r="B39" i="603" s="1"/>
  <c r="C39" i="603" s="1"/>
  <c r="D39" i="603" s="1"/>
  <c r="E39" i="603" s="1"/>
  <c r="F39" i="603" s="1"/>
  <c r="G39" i="603" s="1"/>
  <c r="H39" i="603" s="1"/>
  <c r="H25" i="603"/>
  <c r="H27" i="603"/>
  <c r="K27" i="603" s="1"/>
  <c r="C18" i="603"/>
  <c r="D18" i="603" s="1"/>
  <c r="E18" i="603" s="1"/>
  <c r="F18" i="603" s="1"/>
  <c r="G18" i="603" s="1"/>
  <c r="A8" i="603"/>
  <c r="C7" i="603"/>
  <c r="D7" i="603" s="1"/>
  <c r="E7" i="603" s="1"/>
  <c r="F7" i="603" s="1"/>
  <c r="G7" i="603" s="1"/>
  <c r="H7" i="603" s="1"/>
  <c r="I7" i="603" s="1"/>
  <c r="J7" i="603" s="1"/>
  <c r="K7" i="603" s="1"/>
  <c r="L7" i="603" s="1"/>
  <c r="M7" i="603" s="1"/>
  <c r="N7" i="603" s="1"/>
  <c r="O7" i="603" s="1"/>
  <c r="P7" i="603" s="1"/>
  <c r="Q7" i="603" s="1"/>
  <c r="R7" i="603" s="1"/>
  <c r="S7" i="603" s="1"/>
  <c r="T7" i="603" s="1"/>
  <c r="U7" i="603" s="1"/>
  <c r="V7" i="603" s="1"/>
  <c r="W7" i="603" s="1"/>
  <c r="X7" i="603" s="1"/>
  <c r="Y7" i="603" s="1"/>
  <c r="Z7" i="603" s="1"/>
  <c r="AA7" i="603" s="1"/>
  <c r="AB7" i="603" s="1"/>
  <c r="AC7" i="603" s="1"/>
  <c r="AD7" i="603" s="1"/>
  <c r="AE7" i="603" s="1"/>
  <c r="AF7" i="603" s="1"/>
  <c r="AG7" i="603" s="1"/>
  <c r="AH7" i="603" s="1"/>
  <c r="AI7" i="603" s="1"/>
  <c r="AJ7" i="603" s="1"/>
  <c r="AK7" i="603" s="1"/>
  <c r="AL7" i="603" s="1"/>
  <c r="AM7" i="603" s="1"/>
  <c r="AN7" i="603" s="1"/>
  <c r="AO7" i="603" s="1"/>
  <c r="AP7" i="603" s="1"/>
  <c r="AQ7" i="603" s="1"/>
  <c r="AR7" i="603" s="1"/>
  <c r="AS7" i="603" s="1"/>
  <c r="AT7" i="603" s="1"/>
  <c r="AU7" i="603" s="1"/>
  <c r="AV7" i="603" s="1"/>
  <c r="AW7" i="603" s="1"/>
  <c r="AX7" i="603" s="1"/>
  <c r="AY7" i="603" s="1"/>
  <c r="AZ7" i="603" s="1"/>
  <c r="BA7" i="603" s="1"/>
  <c r="BB7" i="603" s="1"/>
  <c r="BC7" i="603" s="1"/>
  <c r="BD7" i="603" s="1"/>
  <c r="BE7" i="603" s="1"/>
  <c r="BF7" i="603" s="1"/>
  <c r="BG7" i="603" s="1"/>
  <c r="BH7" i="603" s="1"/>
  <c r="BI7" i="603" s="1"/>
  <c r="BJ7" i="603" s="1"/>
  <c r="BK7" i="603" s="1"/>
  <c r="BL7" i="603" s="1"/>
  <c r="BM7" i="603" s="1"/>
  <c r="BN7" i="603" s="1"/>
  <c r="BO7" i="603" s="1"/>
  <c r="BP7" i="603" s="1"/>
  <c r="BQ7" i="603" s="1"/>
  <c r="BR7" i="603" s="1"/>
  <c r="BS7" i="603" s="1"/>
  <c r="E5" i="603"/>
  <c r="B5" i="603"/>
  <c r="H3" i="603"/>
  <c r="N5" i="603" s="1"/>
  <c r="H31" i="612"/>
  <c r="K31" i="612" s="1"/>
  <c r="N27" i="603"/>
  <c r="N56" i="612"/>
  <c r="H48" i="603"/>
  <c r="K48" i="603" s="1"/>
  <c r="A10" i="612"/>
  <c r="A11" i="612" s="1"/>
  <c r="A12" i="612" s="1"/>
  <c r="N80" i="612"/>
  <c r="A72" i="603"/>
  <c r="A73" i="603" s="1"/>
  <c r="A74" i="603" s="1"/>
  <c r="A9" i="603"/>
  <c r="A52" i="603"/>
  <c r="E38" i="611"/>
  <c r="K38" i="611" s="1"/>
  <c r="B38" i="611"/>
  <c r="B40" i="611" s="1"/>
  <c r="H36" i="611"/>
  <c r="H38" i="611"/>
  <c r="E27" i="611"/>
  <c r="B27" i="611"/>
  <c r="B29" i="611" s="1"/>
  <c r="H25" i="611"/>
  <c r="N27" i="611" s="1"/>
  <c r="E16" i="611"/>
  <c r="B16" i="611"/>
  <c r="B18" i="611" s="1"/>
  <c r="H14" i="611"/>
  <c r="N16" i="611"/>
  <c r="C7" i="611"/>
  <c r="E5" i="611"/>
  <c r="K5" i="611" s="1"/>
  <c r="B5" i="611"/>
  <c r="H3" i="611"/>
  <c r="N5" i="611" s="1"/>
  <c r="D7" i="611"/>
  <c r="A53" i="603"/>
  <c r="D59" i="603"/>
  <c r="E59" i="603" s="1"/>
  <c r="F59" i="603" s="1"/>
  <c r="G59" i="603" s="1"/>
  <c r="H59" i="603" s="1"/>
  <c r="A10" i="603"/>
  <c r="A11" i="603" s="1"/>
  <c r="H18" i="603"/>
  <c r="D78" i="603"/>
  <c r="E78" i="603" s="1"/>
  <c r="F78" i="603" s="1"/>
  <c r="H16" i="611"/>
  <c r="K16" i="611" s="1"/>
  <c r="H5" i="611"/>
  <c r="C40" i="611"/>
  <c r="D40" i="611" s="1"/>
  <c r="H27" i="611"/>
  <c r="K27" i="611" s="1"/>
  <c r="N38" i="611"/>
  <c r="A39" i="612"/>
  <c r="H22" i="612"/>
  <c r="I18" i="603"/>
  <c r="A54" i="603"/>
  <c r="I22" i="612"/>
  <c r="J22" i="612" s="1"/>
  <c r="A40" i="612"/>
  <c r="Q41" i="612" s="1"/>
  <c r="Z41" i="612"/>
  <c r="Z43" i="612" s="1"/>
  <c r="Z44" i="612" s="1"/>
  <c r="A55" i="603"/>
  <c r="A56" i="603" s="1"/>
  <c r="J18" i="603"/>
  <c r="K18" i="603" s="1"/>
  <c r="L18" i="603" s="1"/>
  <c r="M18" i="603" s="1"/>
  <c r="G41" i="612"/>
  <c r="AG41" i="612"/>
  <c r="AG43" i="612" s="1"/>
  <c r="AG44" i="612" s="1"/>
  <c r="W41" i="612"/>
  <c r="W42" i="612" s="1"/>
  <c r="AB41" i="612"/>
  <c r="AB42" i="612"/>
  <c r="AF41" i="612"/>
  <c r="AF42" i="612" s="1"/>
  <c r="Z42" i="612"/>
  <c r="E41" i="612"/>
  <c r="E43" i="612" s="1"/>
  <c r="E44" i="612" s="1"/>
  <c r="P41" i="612"/>
  <c r="P42" i="612" s="1"/>
  <c r="Y41" i="612"/>
  <c r="Y42" i="612" s="1"/>
  <c r="AJ41" i="612"/>
  <c r="O41" i="612"/>
  <c r="R41" i="612"/>
  <c r="R42" i="612" s="1"/>
  <c r="H41" i="612"/>
  <c r="T41" i="612"/>
  <c r="T43" i="612" s="1"/>
  <c r="T44" i="612" s="1"/>
  <c r="AH41" i="612"/>
  <c r="N41" i="612"/>
  <c r="AE41" i="612"/>
  <c r="AE43" i="612" s="1"/>
  <c r="AE44" i="612" s="1"/>
  <c r="J41" i="612"/>
  <c r="V41" i="612"/>
  <c r="I41" i="612"/>
  <c r="I43" i="612" s="1"/>
  <c r="I44" i="612" s="1"/>
  <c r="AA41" i="612"/>
  <c r="L41" i="612"/>
  <c r="C41" i="612"/>
  <c r="C43" i="612" s="1"/>
  <c r="C44" i="612" s="1"/>
  <c r="X41" i="612"/>
  <c r="X42" i="612" s="1"/>
  <c r="D41" i="612"/>
  <c r="D43" i="612" s="1"/>
  <c r="D44" i="612" s="1"/>
  <c r="U41" i="612"/>
  <c r="AC41" i="612"/>
  <c r="AC43" i="612" s="1"/>
  <c r="AC44" i="612" s="1"/>
  <c r="AI41" i="612"/>
  <c r="K41" i="612"/>
  <c r="AD41" i="612"/>
  <c r="AD42" i="612" s="1"/>
  <c r="B41" i="612"/>
  <c r="B42" i="612" s="1"/>
  <c r="G43" i="612"/>
  <c r="G44" i="612" s="1"/>
  <c r="G45" i="612" s="1"/>
  <c r="G42" i="612"/>
  <c r="S41" i="612"/>
  <c r="S42" i="612" s="1"/>
  <c r="F41" i="612"/>
  <c r="F43" i="612" s="1"/>
  <c r="F44" i="612" s="1"/>
  <c r="M41" i="612"/>
  <c r="AG42" i="612"/>
  <c r="AF43" i="612"/>
  <c r="AF44" i="612"/>
  <c r="AB43" i="612"/>
  <c r="AB44" i="612"/>
  <c r="Z45" i="612"/>
  <c r="AA43" i="612"/>
  <c r="AA44" i="612" s="1"/>
  <c r="AA42" i="612"/>
  <c r="AA45" i="612" s="1"/>
  <c r="H43" i="612"/>
  <c r="H44" i="612" s="1"/>
  <c r="H42" i="612"/>
  <c r="C42" i="612"/>
  <c r="P43" i="612"/>
  <c r="P44" i="612" s="1"/>
  <c r="D42" i="612"/>
  <c r="J43" i="612"/>
  <c r="J44" i="612"/>
  <c r="J42" i="612"/>
  <c r="J45" i="612" s="1"/>
  <c r="AJ43" i="612"/>
  <c r="AJ44" i="612"/>
  <c r="AJ42" i="612"/>
  <c r="AJ45" i="612" s="1"/>
  <c r="S43" i="612"/>
  <c r="S44" i="612" s="1"/>
  <c r="B43" i="612"/>
  <c r="B44" i="612" s="1"/>
  <c r="M43" i="612"/>
  <c r="M44" i="612" s="1"/>
  <c r="M42" i="612"/>
  <c r="K43" i="612"/>
  <c r="K44" i="612"/>
  <c r="K42" i="612"/>
  <c r="K45" i="612" s="1"/>
  <c r="U43" i="612"/>
  <c r="U44" i="612" s="1"/>
  <c r="U42" i="612"/>
  <c r="V43" i="612"/>
  <c r="V44" i="612" s="1"/>
  <c r="V42" i="612"/>
  <c r="AH43" i="612"/>
  <c r="AH44" i="612"/>
  <c r="AH45" i="612" s="1"/>
  <c r="AH42" i="612"/>
  <c r="O43" i="612"/>
  <c r="O44" i="612" s="1"/>
  <c r="O45" i="612" s="1"/>
  <c r="O42" i="612"/>
  <c r="E42" i="612"/>
  <c r="E45" i="612" s="1"/>
  <c r="C45" i="612"/>
  <c r="H45" i="612"/>
  <c r="V45" i="612"/>
  <c r="I40" i="604"/>
  <c r="H40" i="604"/>
  <c r="B45" i="604"/>
  <c r="A45" i="604"/>
  <c r="B30" i="604"/>
  <c r="A30" i="604"/>
  <c r="I22" i="604"/>
  <c r="H22" i="604"/>
  <c r="B13" i="604"/>
  <c r="A13" i="604"/>
  <c r="I5" i="604"/>
  <c r="H5" i="604"/>
  <c r="G5" i="575"/>
  <c r="F5" i="575"/>
  <c r="F3" i="575"/>
  <c r="C17" i="575"/>
  <c r="B17" i="575"/>
  <c r="C16" i="575"/>
  <c r="B16" i="575"/>
  <c r="A153" i="36"/>
  <c r="A154" i="36"/>
  <c r="A155" i="36" s="1"/>
  <c r="A156" i="36" s="1"/>
  <c r="A157" i="36" s="1"/>
  <c r="A158" i="36" s="1"/>
  <c r="A159" i="36" s="1"/>
  <c r="A160" i="36" s="1"/>
  <c r="A161" i="36" s="1"/>
  <c r="A162" i="36" s="1"/>
  <c r="A163" i="36" s="1"/>
  <c r="A164" i="36" s="1"/>
  <c r="A165" i="36" s="1"/>
  <c r="A166" i="36" s="1"/>
  <c r="A167" i="36" s="1"/>
  <c r="A168" i="36" s="1"/>
  <c r="A169" i="36" s="1"/>
  <c r="A170" i="36" s="1"/>
  <c r="C151" i="36"/>
  <c r="D151" i="36" s="1"/>
  <c r="E151" i="36" s="1"/>
  <c r="F151" i="36" s="1"/>
  <c r="G151" i="36" s="1"/>
  <c r="H151" i="36" s="1"/>
  <c r="I151" i="36" s="1"/>
  <c r="J151" i="36" s="1"/>
  <c r="K151" i="36" s="1"/>
  <c r="L151" i="36" s="1"/>
  <c r="M151" i="36" s="1"/>
  <c r="N151" i="36" s="1"/>
  <c r="O151" i="36" s="1"/>
  <c r="P151" i="36" s="1"/>
  <c r="Q151" i="36" s="1"/>
  <c r="R151" i="36" s="1"/>
  <c r="S151" i="36" s="1"/>
  <c r="T151" i="36" s="1"/>
  <c r="A128" i="36"/>
  <c r="A129" i="36" s="1"/>
  <c r="A130" i="36" s="1"/>
  <c r="A131" i="36" s="1"/>
  <c r="A132" i="36" s="1"/>
  <c r="A133" i="36" s="1"/>
  <c r="A134" i="36" s="1"/>
  <c r="A135" i="36" s="1"/>
  <c r="A136" i="36" s="1"/>
  <c r="A137" i="36" s="1"/>
  <c r="A138" i="36" s="1"/>
  <c r="A139" i="36" s="1"/>
  <c r="A140" i="36" s="1"/>
  <c r="A141" i="36" s="1"/>
  <c r="A142" i="36" s="1"/>
  <c r="A143" i="36" s="1"/>
  <c r="A144" i="36" s="1"/>
  <c r="A145" i="36" s="1"/>
  <c r="C126" i="36"/>
  <c r="D126" i="36"/>
  <c r="E126" i="36" s="1"/>
  <c r="F126" i="36" s="1"/>
  <c r="G126" i="36" s="1"/>
  <c r="H126" i="36" s="1"/>
  <c r="I126" i="36" s="1"/>
  <c r="J126" i="36" s="1"/>
  <c r="K126" i="36" s="1"/>
  <c r="L126" i="36" s="1"/>
  <c r="M126" i="36" s="1"/>
  <c r="N126" i="36" s="1"/>
  <c r="O126" i="36" s="1"/>
  <c r="P126" i="36" s="1"/>
  <c r="Q126" i="36" s="1"/>
  <c r="R126" i="36" s="1"/>
  <c r="S126" i="36" s="1"/>
  <c r="T126" i="36" s="1"/>
  <c r="V19" i="346"/>
  <c r="V18" i="346"/>
  <c r="Z18" i="346" s="1"/>
  <c r="W16" i="346"/>
  <c r="U8" i="346"/>
  <c r="T8" i="346"/>
  <c r="S8" i="346"/>
  <c r="U7" i="346"/>
  <c r="T7" i="346"/>
  <c r="S7" i="346"/>
  <c r="U13" i="346" s="1"/>
  <c r="R8" i="346"/>
  <c r="R7" i="346"/>
  <c r="T6" i="349"/>
  <c r="T14" i="349" s="1"/>
  <c r="X6" i="349"/>
  <c r="U6" i="349"/>
  <c r="U14" i="349" s="1"/>
  <c r="H12" i="347"/>
  <c r="A123" i="35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C121" i="35"/>
  <c r="D121" i="35"/>
  <c r="E121" i="35" s="1"/>
  <c r="F121" i="35" s="1"/>
  <c r="G121" i="35" s="1"/>
  <c r="H121" i="35" s="1"/>
  <c r="I121" i="35" s="1"/>
  <c r="J121" i="35"/>
  <c r="K121" i="35" s="1"/>
  <c r="L121" i="35" s="1"/>
  <c r="M121" i="35" s="1"/>
  <c r="N121" i="35" s="1"/>
  <c r="O121" i="35" s="1"/>
  <c r="P121" i="35" s="1"/>
  <c r="Q121" i="35" s="1"/>
  <c r="R121" i="35" s="1"/>
  <c r="S121" i="35" s="1"/>
  <c r="T121" i="35" s="1"/>
  <c r="U121" i="35" s="1"/>
  <c r="V121" i="35" s="1"/>
  <c r="W121" i="35" s="1"/>
  <c r="X121" i="35" s="1"/>
  <c r="Y121" i="35" s="1"/>
  <c r="Z121" i="35" s="1"/>
  <c r="A94" i="35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C92" i="35"/>
  <c r="D92" i="35"/>
  <c r="E92" i="35" s="1"/>
  <c r="F92" i="35" s="1"/>
  <c r="G92" i="35" s="1"/>
  <c r="H92" i="35" s="1"/>
  <c r="I92" i="35" s="1"/>
  <c r="J92" i="35" s="1"/>
  <c r="K92" i="35" s="1"/>
  <c r="L92" i="35" s="1"/>
  <c r="M92" i="35" s="1"/>
  <c r="N92" i="35" s="1"/>
  <c r="O92" i="35" s="1"/>
  <c r="P92" i="35" s="1"/>
  <c r="Q92" i="35" s="1"/>
  <c r="R92" i="35" s="1"/>
  <c r="S92" i="35" s="1"/>
  <c r="T92" i="35" s="1"/>
  <c r="U92" i="35" s="1"/>
  <c r="V92" i="35" s="1"/>
  <c r="W92" i="35" s="1"/>
  <c r="X92" i="35" s="1"/>
  <c r="Y92" i="35" s="1"/>
  <c r="Z92" i="35" s="1"/>
  <c r="A65" i="35"/>
  <c r="A66" i="35"/>
  <c r="A67" i="35" s="1"/>
  <c r="A68" i="35" s="1"/>
  <c r="A69" i="35" s="1"/>
  <c r="A70" i="35" s="1"/>
  <c r="A71" i="35" s="1"/>
  <c r="A72" i="35"/>
  <c r="A73" i="35" s="1"/>
  <c r="A74" i="35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C63" i="35"/>
  <c r="D63" i="35"/>
  <c r="E63" i="35"/>
  <c r="F63" i="35" s="1"/>
  <c r="G63" i="35" s="1"/>
  <c r="H63" i="35" s="1"/>
  <c r="I63" i="35" s="1"/>
  <c r="J63" i="35" s="1"/>
  <c r="K63" i="35" s="1"/>
  <c r="L63" i="35" s="1"/>
  <c r="M63" i="35" s="1"/>
  <c r="N63" i="35" s="1"/>
  <c r="O63" i="35" s="1"/>
  <c r="P63" i="35" s="1"/>
  <c r="Q63" i="35" s="1"/>
  <c r="R63" i="35" s="1"/>
  <c r="S63" i="35" s="1"/>
  <c r="T63" i="35" s="1"/>
  <c r="U63" i="35" s="1"/>
  <c r="V63" i="35" s="1"/>
  <c r="W63" i="35" s="1"/>
  <c r="X63" i="35" s="1"/>
  <c r="Y63" i="35" s="1"/>
  <c r="Z63" i="35" s="1"/>
  <c r="A36" i="35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C34" i="35"/>
  <c r="D34" i="35"/>
  <c r="E34" i="35" s="1"/>
  <c r="F34" i="35" s="1"/>
  <c r="G34" i="35" s="1"/>
  <c r="H34" i="35" s="1"/>
  <c r="I34" i="35" s="1"/>
  <c r="J34" i="35" s="1"/>
  <c r="K34" i="35" s="1"/>
  <c r="L34" i="35" s="1"/>
  <c r="M34" i="35" s="1"/>
  <c r="N34" i="35" s="1"/>
  <c r="O34" i="35" s="1"/>
  <c r="P34" i="35" s="1"/>
  <c r="Q34" i="35" s="1"/>
  <c r="R34" i="35" s="1"/>
  <c r="S34" i="35" s="1"/>
  <c r="T34" i="35" s="1"/>
  <c r="U34" i="35" s="1"/>
  <c r="V34" i="35" s="1"/>
  <c r="W34" i="35" s="1"/>
  <c r="X34" i="35" s="1"/>
  <c r="Y34" i="35" s="1"/>
  <c r="Z34" i="35" s="1"/>
  <c r="A7" i="35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C5" i="35"/>
  <c r="D5" i="35"/>
  <c r="E5" i="35"/>
  <c r="F5" i="35" s="1"/>
  <c r="G5" i="35" s="1"/>
  <c r="H5" i="35" s="1"/>
  <c r="I5" i="35" s="1"/>
  <c r="J5" i="35" s="1"/>
  <c r="K5" i="35" s="1"/>
  <c r="L5" i="35" s="1"/>
  <c r="M5" i="35" s="1"/>
  <c r="N5" i="35" s="1"/>
  <c r="O5" i="35" s="1"/>
  <c r="P5" i="35" s="1"/>
  <c r="Q5" i="35" s="1"/>
  <c r="R5" i="35" s="1"/>
  <c r="S5" i="35" s="1"/>
  <c r="T5" i="35" s="1"/>
  <c r="U5" i="35" s="1"/>
  <c r="V5" i="35" s="1"/>
  <c r="W5" i="35" s="1"/>
  <c r="X5" i="35" s="1"/>
  <c r="Y5" i="35" s="1"/>
  <c r="Z5" i="35" s="1"/>
  <c r="U11" i="349"/>
  <c r="U10" i="349"/>
  <c r="U7" i="349"/>
  <c r="T7" i="349"/>
  <c r="B18" i="348"/>
  <c r="A18" i="348"/>
  <c r="I5" i="348"/>
  <c r="H5" i="348"/>
  <c r="I5" i="347"/>
  <c r="H5" i="347"/>
  <c r="B18" i="347"/>
  <c r="A18" i="347"/>
  <c r="D11" i="346"/>
  <c r="E7" i="346"/>
  <c r="E6" i="346"/>
  <c r="G13" i="346" s="1"/>
  <c r="E5" i="346"/>
  <c r="F5" i="346"/>
  <c r="D12" i="346"/>
  <c r="D13" i="346" s="1"/>
  <c r="T12" i="349"/>
  <c r="C5" i="338"/>
  <c r="C6" i="338"/>
  <c r="C7" i="338"/>
  <c r="C8" i="338"/>
  <c r="C9" i="338"/>
  <c r="C10" i="338"/>
  <c r="C11" i="338"/>
  <c r="C12" i="338"/>
  <c r="C13" i="338"/>
  <c r="C14" i="338"/>
  <c r="C15" i="338"/>
  <c r="C16" i="338"/>
  <c r="C17" i="338"/>
  <c r="C18" i="338"/>
  <c r="C4" i="338"/>
  <c r="G24" i="338"/>
  <c r="G25" i="338" s="1"/>
  <c r="I25" i="338" s="1"/>
  <c r="H20" i="338"/>
  <c r="H19" i="338"/>
  <c r="H18" i="338"/>
  <c r="I18" i="338"/>
  <c r="I23" i="338"/>
  <c r="B20" i="338"/>
  <c r="R8" i="338"/>
  <c r="R7" i="338"/>
  <c r="R6" i="338"/>
  <c r="R4" i="338"/>
  <c r="R5" i="338" s="1"/>
  <c r="E5" i="338"/>
  <c r="E6" i="338" s="1"/>
  <c r="E7" i="338" s="1"/>
  <c r="E8" i="338" s="1"/>
  <c r="A5" i="338"/>
  <c r="A6" i="338" s="1"/>
  <c r="A7" i="338" s="1"/>
  <c r="A8" i="338" s="1"/>
  <c r="A9" i="338" s="1"/>
  <c r="A10" i="338" s="1"/>
  <c r="A11" i="338" s="1"/>
  <c r="A12" i="338" s="1"/>
  <c r="A13" i="338" s="1"/>
  <c r="A14" i="338" s="1"/>
  <c r="A15" i="338" s="1"/>
  <c r="A16" i="338" s="1"/>
  <c r="A17" i="338" s="1"/>
  <c r="A18" i="338" s="1"/>
  <c r="D14" i="346"/>
  <c r="D15" i="346" s="1"/>
  <c r="J34" i="338"/>
  <c r="J28" i="338"/>
  <c r="J35" i="338"/>
  <c r="J29" i="338"/>
  <c r="J36" i="338"/>
  <c r="A100" i="36"/>
  <c r="A101" i="36" s="1"/>
  <c r="A102" i="36" s="1"/>
  <c r="A103" i="36" s="1"/>
  <c r="A104" i="36" s="1"/>
  <c r="A105" i="36" s="1"/>
  <c r="A106" i="36" s="1"/>
  <c r="A107" i="36" s="1"/>
  <c r="A108" i="36" s="1"/>
  <c r="A109" i="36" s="1"/>
  <c r="A110" i="36" s="1"/>
  <c r="A111" i="36" s="1"/>
  <c r="A112" i="36" s="1"/>
  <c r="A113" i="36" s="1"/>
  <c r="A114" i="36" s="1"/>
  <c r="A115" i="36" s="1"/>
  <c r="A116" i="36" s="1"/>
  <c r="A117" i="36" s="1"/>
  <c r="C98" i="36"/>
  <c r="D98" i="36"/>
  <c r="E98" i="36" s="1"/>
  <c r="F98" i="36" s="1"/>
  <c r="G98" i="36"/>
  <c r="H98" i="36" s="1"/>
  <c r="I98" i="36" s="1"/>
  <c r="J98" i="36" s="1"/>
  <c r="K98" i="36" s="1"/>
  <c r="L98" i="36" s="1"/>
  <c r="M98" i="36" s="1"/>
  <c r="N98" i="36" s="1"/>
  <c r="O98" i="36" s="1"/>
  <c r="P98" i="36" s="1"/>
  <c r="Q98" i="36" s="1"/>
  <c r="R98" i="36" s="1"/>
  <c r="S98" i="36" s="1"/>
  <c r="T98" i="36" s="1"/>
  <c r="A75" i="36"/>
  <c r="A76" i="36"/>
  <c r="A77" i="36" s="1"/>
  <c r="A78" i="36" s="1"/>
  <c r="A79" i="36" s="1"/>
  <c r="A80" i="36" s="1"/>
  <c r="A81" i="36" s="1"/>
  <c r="A82" i="36" s="1"/>
  <c r="A83" i="36" s="1"/>
  <c r="A84" i="36" s="1"/>
  <c r="A85" i="36" s="1"/>
  <c r="A86" i="36" s="1"/>
  <c r="A87" i="36" s="1"/>
  <c r="A88" i="36" s="1"/>
  <c r="A89" i="36" s="1"/>
  <c r="A90" i="36" s="1"/>
  <c r="A91" i="36" s="1"/>
  <c r="A92" i="36" s="1"/>
  <c r="C73" i="36"/>
  <c r="D73" i="36" s="1"/>
  <c r="E73" i="36" s="1"/>
  <c r="F73" i="36" s="1"/>
  <c r="G73" i="36" s="1"/>
  <c r="H73" i="36" s="1"/>
  <c r="I73" i="36" s="1"/>
  <c r="J73" i="36" s="1"/>
  <c r="K73" i="36" s="1"/>
  <c r="L73" i="36" s="1"/>
  <c r="M73" i="36" s="1"/>
  <c r="N73" i="36" s="1"/>
  <c r="O73" i="36" s="1"/>
  <c r="P73" i="36" s="1"/>
  <c r="Q73" i="36" s="1"/>
  <c r="R73" i="36" s="1"/>
  <c r="S73" i="36" s="1"/>
  <c r="T73" i="36" s="1"/>
  <c r="A50" i="36"/>
  <c r="A51" i="36"/>
  <c r="A52" i="36"/>
  <c r="A53" i="36" s="1"/>
  <c r="A54" i="36" s="1"/>
  <c r="A55" i="36" s="1"/>
  <c r="A56" i="36" s="1"/>
  <c r="A57" i="36" s="1"/>
  <c r="A58" i="36" s="1"/>
  <c r="A59" i="36" s="1"/>
  <c r="A60" i="36" s="1"/>
  <c r="A61" i="36" s="1"/>
  <c r="A62" i="36" s="1"/>
  <c r="A63" i="36" s="1"/>
  <c r="A64" i="36" s="1"/>
  <c r="A65" i="36" s="1"/>
  <c r="A66" i="36" s="1"/>
  <c r="A67" i="36" s="1"/>
  <c r="C48" i="36"/>
  <c r="D48" i="36" s="1"/>
  <c r="E48" i="36" s="1"/>
  <c r="F48" i="36" s="1"/>
  <c r="G48" i="36" s="1"/>
  <c r="H48" i="36" s="1"/>
  <c r="I48" i="36" s="1"/>
  <c r="J48" i="36" s="1"/>
  <c r="K48" i="36" s="1"/>
  <c r="L48" i="36" s="1"/>
  <c r="M48" i="36" s="1"/>
  <c r="N48" i="36" s="1"/>
  <c r="O48" i="36" s="1"/>
  <c r="P48" i="36" s="1"/>
  <c r="Q48" i="36" s="1"/>
  <c r="R48" i="36" s="1"/>
  <c r="S48" i="36" s="1"/>
  <c r="T48" i="36" s="1"/>
  <c r="A5" i="36"/>
  <c r="A6" i="36"/>
  <c r="A7" i="36" s="1"/>
  <c r="A8" i="36" s="1"/>
  <c r="A9" i="36" s="1"/>
  <c r="A10" i="36" s="1"/>
  <c r="A11" i="36" s="1"/>
  <c r="A12" i="36" s="1"/>
  <c r="A13" i="36" s="1"/>
  <c r="A14" i="36" s="1"/>
  <c r="A15" i="36" s="1"/>
  <c r="A16" i="36" s="1"/>
  <c r="A17" i="36" s="1"/>
  <c r="A18" i="36" s="1"/>
  <c r="A19" i="36" s="1"/>
  <c r="A20" i="36" s="1"/>
  <c r="A21" i="36" s="1"/>
  <c r="A22" i="36" s="1"/>
  <c r="C3" i="36"/>
  <c r="D3" i="36" s="1"/>
  <c r="E3" i="36" s="1"/>
  <c r="F3" i="36" s="1"/>
  <c r="G3" i="36" s="1"/>
  <c r="H3" i="36" s="1"/>
  <c r="I3" i="36" s="1"/>
  <c r="J3" i="36" s="1"/>
  <c r="K3" i="36" s="1"/>
  <c r="L3" i="36" s="1"/>
  <c r="M3" i="36" s="1"/>
  <c r="N3" i="36" s="1"/>
  <c r="O3" i="36" s="1"/>
  <c r="P3" i="36" s="1"/>
  <c r="Q3" i="36" s="1"/>
  <c r="R3" i="36" s="1"/>
  <c r="S3" i="36" s="1"/>
  <c r="T3" i="36" s="1"/>
  <c r="A12" i="603" l="1"/>
  <c r="A13" i="603" s="1"/>
  <c r="A14" i="603" s="1"/>
  <c r="A15" i="603" s="1"/>
  <c r="AM16" i="603" s="1"/>
  <c r="G16" i="603"/>
  <c r="T16" i="603"/>
  <c r="BF16" i="603"/>
  <c r="B16" i="603"/>
  <c r="F16" i="603"/>
  <c r="Q16" i="603"/>
  <c r="AJ16" i="603"/>
  <c r="S16" i="603"/>
  <c r="F15" i="346"/>
  <c r="D16" i="346"/>
  <c r="D17" i="346" s="1"/>
  <c r="F17" i="346" s="1"/>
  <c r="T15" i="349"/>
  <c r="T16" i="349" s="1"/>
  <c r="X8" i="349" s="1"/>
  <c r="X7" i="349"/>
  <c r="C18" i="611"/>
  <c r="E40" i="611"/>
  <c r="Y7" i="349"/>
  <c r="U15" i="349"/>
  <c r="U16" i="349" s="1"/>
  <c r="Y8" i="349" s="1"/>
  <c r="S18" i="346"/>
  <c r="S19" i="346" s="1"/>
  <c r="AD43" i="612"/>
  <c r="AD44" i="612" s="1"/>
  <c r="AD45" i="612" s="1"/>
  <c r="X43" i="612"/>
  <c r="X44" i="612" s="1"/>
  <c r="S45" i="612"/>
  <c r="N68" i="603"/>
  <c r="F14" i="346"/>
  <c r="G26" i="338"/>
  <c r="G21" i="346"/>
  <c r="Y6" i="349"/>
  <c r="Z19" i="346"/>
  <c r="U45" i="612"/>
  <c r="R43" i="612"/>
  <c r="R44" i="612" s="1"/>
  <c r="R45" i="612" s="1"/>
  <c r="W43" i="612"/>
  <c r="W44" i="612" s="1"/>
  <c r="W45" i="612" s="1"/>
  <c r="AC42" i="612"/>
  <c r="AC45" i="612" s="1"/>
  <c r="B45" i="612"/>
  <c r="I42" i="612"/>
  <c r="AB45" i="612"/>
  <c r="C29" i="611"/>
  <c r="AE42" i="612"/>
  <c r="AE45" i="612" s="1"/>
  <c r="I24" i="338"/>
  <c r="G17" i="346"/>
  <c r="F42" i="612"/>
  <c r="F45" i="612" s="1"/>
  <c r="H5" i="612"/>
  <c r="K5" i="612" s="1"/>
  <c r="AG45" i="612"/>
  <c r="U18" i="346"/>
  <c r="E7" i="611"/>
  <c r="U9" i="346"/>
  <c r="S13" i="346" s="1"/>
  <c r="S14" i="346" s="1"/>
  <c r="AF45" i="612"/>
  <c r="B21" i="338"/>
  <c r="B22" i="338"/>
  <c r="F10" i="346"/>
  <c r="F12" i="346"/>
  <c r="F11" i="346"/>
  <c r="G6" i="575"/>
  <c r="G7" i="575" s="1"/>
  <c r="F6" i="575"/>
  <c r="F7" i="575" s="1"/>
  <c r="J30" i="338"/>
  <c r="J27" i="338"/>
  <c r="J24" i="338"/>
  <c r="J32" i="338"/>
  <c r="J25" i="338"/>
  <c r="J37" i="338"/>
  <c r="J26" i="338"/>
  <c r="J33" i="338"/>
  <c r="G11" i="346"/>
  <c r="G15" i="346"/>
  <c r="G10" i="346"/>
  <c r="G14" i="346"/>
  <c r="U14" i="346"/>
  <c r="W14" i="346" s="1"/>
  <c r="Y14" i="346" s="1"/>
  <c r="W13" i="346"/>
  <c r="G27" i="338"/>
  <c r="I26" i="338"/>
  <c r="D18" i="346"/>
  <c r="J23" i="338"/>
  <c r="G12" i="346"/>
  <c r="V9" i="346"/>
  <c r="X14" i="346"/>
  <c r="T13" i="346"/>
  <c r="T18" i="346"/>
  <c r="F16" i="346"/>
  <c r="G16" i="346"/>
  <c r="I59" i="603"/>
  <c r="F13" i="346"/>
  <c r="I39" i="603"/>
  <c r="J31" i="338"/>
  <c r="G19" i="346"/>
  <c r="J16" i="603"/>
  <c r="AS16" i="603"/>
  <c r="BM16" i="603"/>
  <c r="R16" i="603"/>
  <c r="G18" i="346"/>
  <c r="U16" i="603"/>
  <c r="BN16" i="603"/>
  <c r="BL16" i="603"/>
  <c r="AF16" i="603"/>
  <c r="N18" i="603"/>
  <c r="G20" i="346"/>
  <c r="AH16" i="603"/>
  <c r="C16" i="603"/>
  <c r="Y45" i="612"/>
  <c r="P57" i="603"/>
  <c r="E57" i="603"/>
  <c r="M57" i="603"/>
  <c r="B57" i="603"/>
  <c r="L57" i="603"/>
  <c r="K57" i="603"/>
  <c r="O57" i="603"/>
  <c r="H57" i="603"/>
  <c r="J57" i="603"/>
  <c r="I57" i="603"/>
  <c r="N57" i="603"/>
  <c r="Z16" i="603"/>
  <c r="BO16" i="603"/>
  <c r="AD16" i="603"/>
  <c r="V16" i="603"/>
  <c r="BJ16" i="603"/>
  <c r="E16" i="603"/>
  <c r="Y16" i="603"/>
  <c r="AX16" i="603"/>
  <c r="BP16" i="603"/>
  <c r="AP16" i="603"/>
  <c r="BS16" i="603"/>
  <c r="BA16" i="603"/>
  <c r="AG16" i="603"/>
  <c r="BB16" i="603"/>
  <c r="M16" i="603"/>
  <c r="O16" i="603"/>
  <c r="AQ16" i="603"/>
  <c r="AK16" i="603"/>
  <c r="BI16" i="603"/>
  <c r="AL16" i="603"/>
  <c r="AB16" i="603"/>
  <c r="BG16" i="603"/>
  <c r="K16" i="603"/>
  <c r="BE16" i="603"/>
  <c r="N16" i="603"/>
  <c r="BR16" i="603"/>
  <c r="AC16" i="603"/>
  <c r="AV16" i="603"/>
  <c r="L16" i="603"/>
  <c r="BH16" i="603"/>
  <c r="AZ16" i="603"/>
  <c r="AN16" i="603"/>
  <c r="AO16" i="603"/>
  <c r="AW16" i="603"/>
  <c r="AT16" i="603"/>
  <c r="X16" i="603"/>
  <c r="I16" i="603"/>
  <c r="AY16" i="603"/>
  <c r="AI16" i="603"/>
  <c r="AA16" i="603"/>
  <c r="BQ16" i="603"/>
  <c r="D45" i="612"/>
  <c r="X45" i="612"/>
  <c r="N42" i="612"/>
  <c r="N43" i="612"/>
  <c r="N44" i="612" s="1"/>
  <c r="P45" i="612"/>
  <c r="D16" i="603"/>
  <c r="BK16" i="603"/>
  <c r="W16" i="603"/>
  <c r="I45" i="612"/>
  <c r="T42" i="612"/>
  <c r="T45" i="612" s="1"/>
  <c r="L43" i="612"/>
  <c r="L44" i="612" s="1"/>
  <c r="L42" i="612"/>
  <c r="L45" i="612" s="1"/>
  <c r="Q43" i="612"/>
  <c r="Q44" i="612" s="1"/>
  <c r="Q42" i="612"/>
  <c r="M45" i="612"/>
  <c r="AI43" i="612"/>
  <c r="AI44" i="612" s="1"/>
  <c r="AI42" i="612"/>
  <c r="Y43" i="612"/>
  <c r="Y44" i="612" s="1"/>
  <c r="C76" i="603"/>
  <c r="G57" i="603"/>
  <c r="A75" i="603"/>
  <c r="E76" i="603" s="1"/>
  <c r="K56" i="612"/>
  <c r="K80" i="612"/>
  <c r="AY10" i="715"/>
  <c r="AY14" i="715"/>
  <c r="AY15" i="715" s="1"/>
  <c r="A32" i="603"/>
  <c r="F57" i="603"/>
  <c r="D57" i="603"/>
  <c r="A63" i="612"/>
  <c r="A64" i="612" s="1"/>
  <c r="A85" i="612"/>
  <c r="F8" i="676"/>
  <c r="I7" i="676"/>
  <c r="J7" i="676" s="1"/>
  <c r="C57" i="603"/>
  <c r="I4" i="676"/>
  <c r="J4" i="676" s="1"/>
  <c r="I5" i="676"/>
  <c r="J5" i="676" s="1"/>
  <c r="A13" i="612"/>
  <c r="H5" i="603"/>
  <c r="K5" i="603" s="1"/>
  <c r="I6" i="676"/>
  <c r="J6" i="676" s="1"/>
  <c r="B19" i="611"/>
  <c r="C8" i="611"/>
  <c r="D8" i="611"/>
  <c r="B8" i="611"/>
  <c r="C19" i="611" l="1"/>
  <c r="E8" i="611"/>
  <c r="H60" i="603"/>
  <c r="F40" i="611"/>
  <c r="H16" i="603"/>
  <c r="F19" i="603" s="1"/>
  <c r="D18" i="611"/>
  <c r="BD16" i="603"/>
  <c r="F7" i="611"/>
  <c r="D29" i="611"/>
  <c r="BC16" i="603"/>
  <c r="W18" i="346"/>
  <c r="U19" i="346"/>
  <c r="W19" i="346" s="1"/>
  <c r="P16" i="603"/>
  <c r="L19" i="603" s="1"/>
  <c r="AE16" i="603"/>
  <c r="AU16" i="603"/>
  <c r="AR16" i="603"/>
  <c r="O18" i="603"/>
  <c r="N19" i="603"/>
  <c r="A14" i="612"/>
  <c r="I60" i="603"/>
  <c r="J59" i="603"/>
  <c r="J60" i="603" s="1"/>
  <c r="L65" i="612"/>
  <c r="L67" i="612" s="1"/>
  <c r="L68" i="612" s="1"/>
  <c r="E19" i="603"/>
  <c r="F65" i="612"/>
  <c r="F67" i="612" s="1"/>
  <c r="F68" i="612" s="1"/>
  <c r="H65" i="612"/>
  <c r="H67" i="612" s="1"/>
  <c r="H68" i="612" s="1"/>
  <c r="A33" i="603"/>
  <c r="B65" i="612"/>
  <c r="B67" i="612" s="1"/>
  <c r="B68" i="612" s="1"/>
  <c r="O65" i="612"/>
  <c r="O67" i="612" s="1"/>
  <c r="O68" i="612" s="1"/>
  <c r="O66" i="612"/>
  <c r="O69" i="612" s="1"/>
  <c r="AI45" i="612"/>
  <c r="N45" i="612"/>
  <c r="E48" i="612" s="1"/>
  <c r="C19" i="603"/>
  <c r="J19" i="603"/>
  <c r="A86" i="612"/>
  <c r="K65" i="612"/>
  <c r="K67" i="612" s="1"/>
  <c r="K68" i="612" s="1"/>
  <c r="E65" i="612"/>
  <c r="E67" i="612" s="1"/>
  <c r="E68" i="612" s="1"/>
  <c r="J65" i="612"/>
  <c r="J67" i="612" s="1"/>
  <c r="J68" i="612" s="1"/>
  <c r="B19" i="603"/>
  <c r="G19" i="603"/>
  <c r="I19" i="603"/>
  <c r="D19" i="346"/>
  <c r="F18" i="346"/>
  <c r="J39" i="603"/>
  <c r="P65" i="612"/>
  <c r="P67" i="612" s="1"/>
  <c r="P68" i="612" s="1"/>
  <c r="I8" i="676"/>
  <c r="J8" i="676" s="1"/>
  <c r="F9" i="676"/>
  <c r="M65" i="612"/>
  <c r="M67" i="612" s="1"/>
  <c r="M68" i="612" s="1"/>
  <c r="C65" i="612"/>
  <c r="C67" i="612" s="1"/>
  <c r="C68" i="612" s="1"/>
  <c r="G48" i="612"/>
  <c r="D19" i="603"/>
  <c r="C60" i="603"/>
  <c r="E60" i="603"/>
  <c r="F60" i="603"/>
  <c r="D60" i="603"/>
  <c r="B60" i="603"/>
  <c r="G60" i="603"/>
  <c r="AA18" i="346"/>
  <c r="AA19" i="346" s="1"/>
  <c r="T19" i="346"/>
  <c r="G65" i="612"/>
  <c r="G67" i="612" s="1"/>
  <c r="G68" i="612" s="1"/>
  <c r="I65" i="612"/>
  <c r="I67" i="612" s="1"/>
  <c r="I68" i="612" s="1"/>
  <c r="D65" i="612"/>
  <c r="D67" i="612" s="1"/>
  <c r="D68" i="612" s="1"/>
  <c r="N65" i="612"/>
  <c r="N67" i="612" s="1"/>
  <c r="N68" i="612" s="1"/>
  <c r="B76" i="603"/>
  <c r="F76" i="603"/>
  <c r="Q45" i="612"/>
  <c r="M19" i="603"/>
  <c r="V13" i="346"/>
  <c r="Z13" i="346" s="1"/>
  <c r="AA13" i="346"/>
  <c r="AA14" i="346" s="1"/>
  <c r="T14" i="346"/>
  <c r="V14" i="346" s="1"/>
  <c r="Z14" i="346" s="1"/>
  <c r="G28" i="338"/>
  <c r="I27" i="338"/>
  <c r="D76" i="603"/>
  <c r="B23" i="338"/>
  <c r="B24" i="338"/>
  <c r="D19" i="611" l="1"/>
  <c r="F8" i="611"/>
  <c r="E18" i="611"/>
  <c r="H19" i="603"/>
  <c r="Y19" i="346"/>
  <c r="X19" i="346"/>
  <c r="F66" i="612"/>
  <c r="F69" i="612" s="1"/>
  <c r="H66" i="612"/>
  <c r="H69" i="612" s="1"/>
  <c r="B48" i="612"/>
  <c r="L66" i="612"/>
  <c r="L69" i="612" s="1"/>
  <c r="K19" i="603"/>
  <c r="E29" i="611"/>
  <c r="B66" i="612"/>
  <c r="B69" i="612" s="1"/>
  <c r="G7" i="611"/>
  <c r="F10" i="676"/>
  <c r="I10" i="676" s="1"/>
  <c r="J10" i="676" s="1"/>
  <c r="I9" i="676"/>
  <c r="J9" i="676" s="1"/>
  <c r="J66" i="612"/>
  <c r="J69" i="612" s="1"/>
  <c r="P18" i="603"/>
  <c r="O19" i="603"/>
  <c r="N66" i="612"/>
  <c r="N69" i="612" s="1"/>
  <c r="A34" i="603"/>
  <c r="K60" i="603"/>
  <c r="H61" i="603" s="1"/>
  <c r="H48" i="612"/>
  <c r="P66" i="612"/>
  <c r="P69" i="612" s="1"/>
  <c r="M66" i="612"/>
  <c r="M69" i="612" s="1"/>
  <c r="F48" i="612"/>
  <c r="A87" i="612"/>
  <c r="C88" i="612" s="1"/>
  <c r="G66" i="612"/>
  <c r="G69" i="612" s="1"/>
  <c r="E79" i="603"/>
  <c r="F79" i="603"/>
  <c r="B79" i="603"/>
  <c r="C79" i="603"/>
  <c r="D79" i="603"/>
  <c r="K39" i="603"/>
  <c r="K66" i="612"/>
  <c r="K69" i="612" s="1"/>
  <c r="C66" i="612"/>
  <c r="C69" i="612" s="1"/>
  <c r="G29" i="338"/>
  <c r="I28" i="338"/>
  <c r="E61" i="603"/>
  <c r="D66" i="612"/>
  <c r="D69" i="612" s="1"/>
  <c r="A15" i="612"/>
  <c r="K16" i="612" s="1"/>
  <c r="BH16" i="612"/>
  <c r="J16" i="612"/>
  <c r="V16" i="612"/>
  <c r="AK16" i="612"/>
  <c r="AF16" i="612"/>
  <c r="S16" i="612"/>
  <c r="BO16" i="612"/>
  <c r="AY16" i="612"/>
  <c r="AA16" i="612"/>
  <c r="C16" i="612"/>
  <c r="E16" i="612"/>
  <c r="BA16" i="612"/>
  <c r="U16" i="612"/>
  <c r="BR16" i="612"/>
  <c r="BS16" i="612"/>
  <c r="R16" i="612"/>
  <c r="BG16" i="612"/>
  <c r="B88" i="612"/>
  <c r="C61" i="603"/>
  <c r="D20" i="346"/>
  <c r="F19" i="346"/>
  <c r="C48" i="612"/>
  <c r="D48" i="612"/>
  <c r="I66" i="612"/>
  <c r="I69" i="612" s="1"/>
  <c r="E66" i="612"/>
  <c r="E69" i="612" s="1"/>
  <c r="C72" i="612" s="1"/>
  <c r="L18" i="347"/>
  <c r="E41" i="611"/>
  <c r="D13" i="613"/>
  <c r="H6" i="613" s="1"/>
  <c r="H7" i="613" s="1"/>
  <c r="F41" i="611"/>
  <c r="B41" i="611"/>
  <c r="G10" i="676"/>
  <c r="H8" i="676"/>
  <c r="G4" i="676"/>
  <c r="H10" i="676"/>
  <c r="G7" i="676"/>
  <c r="G5" i="676"/>
  <c r="G9" i="676"/>
  <c r="H5" i="676"/>
  <c r="G8" i="676"/>
  <c r="H7" i="676"/>
  <c r="H4" i="676"/>
  <c r="G6" i="676"/>
  <c r="H9" i="676"/>
  <c r="H6" i="676"/>
  <c r="E13" i="613"/>
  <c r="I6" i="613" s="1"/>
  <c r="I7" i="613" s="1"/>
  <c r="D13" i="604"/>
  <c r="H6" i="604" s="1"/>
  <c r="K18" i="347"/>
  <c r="D41" i="611"/>
  <c r="E18" i="348"/>
  <c r="I6" i="348" s="1"/>
  <c r="C30" i="611"/>
  <c r="E30" i="604"/>
  <c r="I23" i="604" s="1"/>
  <c r="H27" i="604" s="1"/>
  <c r="H33" i="604" s="1"/>
  <c r="D18" i="347"/>
  <c r="H6" i="347" s="1"/>
  <c r="U8" i="349"/>
  <c r="D45" i="604"/>
  <c r="H41" i="604" s="1"/>
  <c r="E45" i="613"/>
  <c r="I41" i="613" s="1"/>
  <c r="I42" i="613" s="1"/>
  <c r="T8" i="349"/>
  <c r="D45" i="613"/>
  <c r="H41" i="613" s="1"/>
  <c r="H42" i="613" s="1"/>
  <c r="D30" i="611"/>
  <c r="E30" i="613"/>
  <c r="I23" i="613" s="1"/>
  <c r="I24" i="613" s="1"/>
  <c r="D18" i="348"/>
  <c r="H6" i="348" s="1"/>
  <c r="H10" i="348" s="1"/>
  <c r="B30" i="611"/>
  <c r="D30" i="604"/>
  <c r="H23" i="604" s="1"/>
  <c r="E45" i="604"/>
  <c r="I41" i="604" s="1"/>
  <c r="E13" i="604"/>
  <c r="I6" i="604" s="1"/>
  <c r="C41" i="611"/>
  <c r="E18" i="347"/>
  <c r="I6" i="347" s="1"/>
  <c r="H10" i="347" s="1"/>
  <c r="H11" i="347" s="1"/>
  <c r="H13" i="347" s="1"/>
  <c r="D30" i="613"/>
  <c r="H23" i="613" s="1"/>
  <c r="H24" i="613" s="1"/>
  <c r="G8" i="611" l="1"/>
  <c r="E30" i="611"/>
  <c r="E19" i="611"/>
  <c r="E72" i="612"/>
  <c r="B61" i="603"/>
  <c r="B62" i="603" s="1"/>
  <c r="J61" i="603"/>
  <c r="H7" i="611"/>
  <c r="F61" i="603"/>
  <c r="D61" i="603"/>
  <c r="F29" i="611"/>
  <c r="F18" i="611"/>
  <c r="K18" i="612"/>
  <c r="K19" i="612" s="1"/>
  <c r="K17" i="612"/>
  <c r="K20" i="612" s="1"/>
  <c r="U18" i="612"/>
  <c r="U19" i="612" s="1"/>
  <c r="U17" i="612"/>
  <c r="AF18" i="612"/>
  <c r="AF19" i="612" s="1"/>
  <c r="AF17" i="612"/>
  <c r="D21" i="346"/>
  <c r="F21" i="346" s="1"/>
  <c r="F20" i="346"/>
  <c r="BA18" i="612"/>
  <c r="BA19" i="612" s="1"/>
  <c r="BA17" i="612"/>
  <c r="AK18" i="612"/>
  <c r="AK19" i="612" s="1"/>
  <c r="AK17" i="612"/>
  <c r="AK20" i="612" s="1"/>
  <c r="E88" i="612"/>
  <c r="F88" i="612"/>
  <c r="E18" i="612"/>
  <c r="E19" i="612" s="1"/>
  <c r="E17" i="612"/>
  <c r="V18" i="612"/>
  <c r="V19" i="612" s="1"/>
  <c r="V17" i="612"/>
  <c r="C90" i="612"/>
  <c r="C91" i="612" s="1"/>
  <c r="C89" i="612"/>
  <c r="B90" i="612"/>
  <c r="B91" i="612" s="1"/>
  <c r="B89" i="612"/>
  <c r="B92" i="612" s="1"/>
  <c r="C18" i="612"/>
  <c r="C19" i="612" s="1"/>
  <c r="C17" i="612"/>
  <c r="J18" i="612"/>
  <c r="J19" i="612" s="1"/>
  <c r="J17" i="612"/>
  <c r="J20" i="612" s="1"/>
  <c r="I29" i="338"/>
  <c r="G30" i="338"/>
  <c r="L39" i="603"/>
  <c r="D72" i="612"/>
  <c r="C62" i="603"/>
  <c r="D62" i="603" s="1"/>
  <c r="E62" i="603" s="1"/>
  <c r="F62" i="603" s="1"/>
  <c r="BG18" i="612"/>
  <c r="BG19" i="612" s="1"/>
  <c r="BG17" i="612"/>
  <c r="AA17" i="612"/>
  <c r="AA18" i="612"/>
  <c r="AA19" i="612" s="1"/>
  <c r="BH18" i="612"/>
  <c r="BH19" i="612" s="1"/>
  <c r="BH17" i="612"/>
  <c r="BH20" i="612" s="1"/>
  <c r="B72" i="612"/>
  <c r="R18" i="612"/>
  <c r="R19" i="612" s="1"/>
  <c r="R17" i="612"/>
  <c r="AY18" i="612"/>
  <c r="AY19" i="612" s="1"/>
  <c r="AY17" i="612"/>
  <c r="L16" i="612"/>
  <c r="AT16" i="612"/>
  <c r="G16" i="612"/>
  <c r="AP16" i="612"/>
  <c r="BI16" i="612"/>
  <c r="X16" i="612"/>
  <c r="AG16" i="612"/>
  <c r="BD16" i="612"/>
  <c r="I16" i="612"/>
  <c r="P16" i="612"/>
  <c r="AI16" i="612"/>
  <c r="Z16" i="612"/>
  <c r="AB16" i="612"/>
  <c r="AL16" i="612"/>
  <c r="B16" i="612"/>
  <c r="BF16" i="612"/>
  <c r="T16" i="612"/>
  <c r="BL16" i="612"/>
  <c r="AS16" i="612"/>
  <c r="AC16" i="612"/>
  <c r="AZ16" i="612"/>
  <c r="AW16" i="612"/>
  <c r="AD16" i="612"/>
  <c r="BC16" i="612"/>
  <c r="BE16" i="612"/>
  <c r="AJ16" i="612"/>
  <c r="AV16" i="612"/>
  <c r="AH16" i="612"/>
  <c r="Q16" i="612"/>
  <c r="AR16" i="612"/>
  <c r="F16" i="612"/>
  <c r="H16" i="612"/>
  <c r="AN16" i="612"/>
  <c r="W16" i="612"/>
  <c r="AQ16" i="612"/>
  <c r="AM16" i="612"/>
  <c r="BM16" i="612"/>
  <c r="BQ16" i="612"/>
  <c r="BK16" i="612"/>
  <c r="AE16" i="612"/>
  <c r="AO16" i="612"/>
  <c r="BN16" i="612"/>
  <c r="D16" i="612"/>
  <c r="AX16" i="612"/>
  <c r="BP16" i="612"/>
  <c r="Y16" i="612"/>
  <c r="AU16" i="612"/>
  <c r="BB16" i="612"/>
  <c r="M16" i="612"/>
  <c r="BJ16" i="612"/>
  <c r="O16" i="612"/>
  <c r="F72" i="612"/>
  <c r="G61" i="603"/>
  <c r="D88" i="612"/>
  <c r="BS18" i="612"/>
  <c r="BS19" i="612" s="1"/>
  <c r="BS17" i="612"/>
  <c r="BS20" i="612" s="1"/>
  <c r="BO18" i="612"/>
  <c r="BO19" i="612" s="1"/>
  <c r="BO17" i="612"/>
  <c r="BR18" i="612"/>
  <c r="BR19" i="612" s="1"/>
  <c r="BR17" i="612"/>
  <c r="S18" i="612"/>
  <c r="S19" i="612" s="1"/>
  <c r="S17" i="612"/>
  <c r="G79" i="603"/>
  <c r="E80" i="603" s="1"/>
  <c r="B80" i="603"/>
  <c r="B81" i="603" s="1"/>
  <c r="I61" i="603"/>
  <c r="I48" i="612"/>
  <c r="F49" i="612" s="1"/>
  <c r="A35" i="603"/>
  <c r="P19" i="603"/>
  <c r="Q18" i="603"/>
  <c r="N16" i="612"/>
  <c r="H46" i="613"/>
  <c r="Q17" i="715"/>
  <c r="AA17" i="715"/>
  <c r="AB17" i="715"/>
  <c r="AH17" i="715"/>
  <c r="Z17" i="715"/>
  <c r="K17" i="715"/>
  <c r="AI17" i="715"/>
  <c r="AC17" i="715"/>
  <c r="AG17" i="715"/>
  <c r="AK17" i="715"/>
  <c r="V17" i="715"/>
  <c r="O17" i="715"/>
  <c r="AU17" i="715"/>
  <c r="AP17" i="715"/>
  <c r="P17" i="715"/>
  <c r="R17" i="715"/>
  <c r="AJ17" i="715"/>
  <c r="AR17" i="715"/>
  <c r="AT17" i="715"/>
  <c r="S17" i="715"/>
  <c r="T17" i="715"/>
  <c r="M17" i="715"/>
  <c r="N17" i="715"/>
  <c r="U17" i="715"/>
  <c r="AF17" i="715"/>
  <c r="AQ17" i="715"/>
  <c r="W17" i="715"/>
  <c r="AO17" i="715"/>
  <c r="AM17" i="715"/>
  <c r="AD17" i="715"/>
  <c r="X17" i="715"/>
  <c r="AS17" i="715"/>
  <c r="AN17" i="715"/>
  <c r="L17" i="715"/>
  <c r="AE17" i="715"/>
  <c r="AV17" i="715"/>
  <c r="AL17" i="715"/>
  <c r="Y17" i="715"/>
  <c r="AC29" i="715"/>
  <c r="X29" i="715"/>
  <c r="L29" i="715"/>
  <c r="AQ29" i="715"/>
  <c r="Y29" i="715"/>
  <c r="S29" i="715"/>
  <c r="AI29" i="715"/>
  <c r="AD29" i="715"/>
  <c r="AT29" i="715"/>
  <c r="V29" i="715"/>
  <c r="P29" i="715"/>
  <c r="AG29" i="715"/>
  <c r="AB29" i="715"/>
  <c r="T29" i="715"/>
  <c r="AK29" i="715"/>
  <c r="AV29" i="715"/>
  <c r="Z29" i="715"/>
  <c r="AJ29" i="715"/>
  <c r="AR29" i="715"/>
  <c r="M29" i="715"/>
  <c r="AL29" i="715"/>
  <c r="AO29" i="715"/>
  <c r="AE29" i="715"/>
  <c r="N29" i="715"/>
  <c r="O29" i="715"/>
  <c r="AS29" i="715"/>
  <c r="AH29" i="715"/>
  <c r="AN29" i="715"/>
  <c r="W29" i="715"/>
  <c r="AP29" i="715"/>
  <c r="R29" i="715"/>
  <c r="AM29" i="715"/>
  <c r="AF29" i="715"/>
  <c r="U29" i="715"/>
  <c r="AA29" i="715"/>
  <c r="AU29" i="715"/>
  <c r="Q29" i="715"/>
  <c r="K29" i="715"/>
  <c r="AU8" i="715"/>
  <c r="L8" i="715"/>
  <c r="AL8" i="715"/>
  <c r="M8" i="715"/>
  <c r="AB8" i="715"/>
  <c r="AC8" i="715"/>
  <c r="AM8" i="715"/>
  <c r="Y8" i="715"/>
  <c r="W8" i="715"/>
  <c r="AV8" i="715"/>
  <c r="AS8" i="715"/>
  <c r="AH8" i="715"/>
  <c r="AG8" i="715"/>
  <c r="AP8" i="715"/>
  <c r="Z8" i="715"/>
  <c r="AE8" i="715"/>
  <c r="P8" i="715"/>
  <c r="AK8" i="715"/>
  <c r="Q8" i="715"/>
  <c r="AD8" i="715"/>
  <c r="V8" i="715"/>
  <c r="O8" i="715"/>
  <c r="N8" i="715"/>
  <c r="AN8" i="715"/>
  <c r="AJ8" i="715"/>
  <c r="R8" i="715"/>
  <c r="AT8" i="715"/>
  <c r="K8" i="715"/>
  <c r="AA8" i="715"/>
  <c r="X8" i="715"/>
  <c r="AF8" i="715"/>
  <c r="AI8" i="715"/>
  <c r="T8" i="715"/>
  <c r="AO8" i="715"/>
  <c r="S8" i="715"/>
  <c r="AQ8" i="715"/>
  <c r="AR8" i="715"/>
  <c r="U8" i="715"/>
  <c r="X16" i="715"/>
  <c r="U16" i="715"/>
  <c r="AP16" i="715"/>
  <c r="W16" i="715"/>
  <c r="AU16" i="715"/>
  <c r="K16" i="715"/>
  <c r="M16" i="715"/>
  <c r="AC16" i="715"/>
  <c r="AK16" i="715"/>
  <c r="S16" i="715"/>
  <c r="AO16" i="715"/>
  <c r="AA16" i="715"/>
  <c r="AT16" i="715"/>
  <c r="AR16" i="715"/>
  <c r="P16" i="715"/>
  <c r="O16" i="715"/>
  <c r="AB16" i="715"/>
  <c r="AN16" i="715"/>
  <c r="T16" i="715"/>
  <c r="AV16" i="715"/>
  <c r="L16" i="715"/>
  <c r="AD16" i="715"/>
  <c r="N16" i="715"/>
  <c r="Y16" i="715"/>
  <c r="Z16" i="715"/>
  <c r="AH16" i="715"/>
  <c r="AF16" i="715"/>
  <c r="V16" i="715"/>
  <c r="AQ16" i="715"/>
  <c r="AI16" i="715"/>
  <c r="AG16" i="715"/>
  <c r="Q16" i="715"/>
  <c r="AJ16" i="715"/>
  <c r="AM16" i="715"/>
  <c r="R16" i="715"/>
  <c r="AE16" i="715"/>
  <c r="AS16" i="715"/>
  <c r="AL16" i="715"/>
  <c r="AB7" i="715"/>
  <c r="AU7" i="715"/>
  <c r="Z7" i="715"/>
  <c r="AJ7" i="715"/>
  <c r="O7" i="715"/>
  <c r="AT7" i="715"/>
  <c r="AR7" i="715"/>
  <c r="N7" i="715"/>
  <c r="P7" i="715"/>
  <c r="K7" i="715"/>
  <c r="AD7" i="715"/>
  <c r="X7" i="715"/>
  <c r="S7" i="715"/>
  <c r="AE7" i="715"/>
  <c r="AN7" i="715"/>
  <c r="AF7" i="715"/>
  <c r="AA7" i="715"/>
  <c r="Y7" i="715"/>
  <c r="AK7" i="715"/>
  <c r="V7" i="715"/>
  <c r="Q7" i="715"/>
  <c r="AC7" i="715"/>
  <c r="U7" i="715"/>
  <c r="AG7" i="715"/>
  <c r="AM7" i="715"/>
  <c r="AO7" i="715"/>
  <c r="T7" i="715"/>
  <c r="AQ7" i="715"/>
  <c r="W7" i="715"/>
  <c r="L7" i="715"/>
  <c r="R7" i="715"/>
  <c r="AI7" i="715"/>
  <c r="M7" i="715"/>
  <c r="AH7" i="715"/>
  <c r="AP7" i="715"/>
  <c r="AL7" i="715"/>
  <c r="AS7" i="715"/>
  <c r="AV7" i="715"/>
  <c r="L9" i="715"/>
  <c r="R9" i="715"/>
  <c r="AT9" i="715"/>
  <c r="X9" i="715"/>
  <c r="AU9" i="715"/>
  <c r="AA9" i="715"/>
  <c r="AI9" i="715"/>
  <c r="AN9" i="715"/>
  <c r="AQ9" i="715"/>
  <c r="AP9" i="715"/>
  <c r="AL9" i="715"/>
  <c r="N9" i="715"/>
  <c r="Y9" i="715"/>
  <c r="AE9" i="715"/>
  <c r="V9" i="715"/>
  <c r="P9" i="715"/>
  <c r="AC9" i="715"/>
  <c r="Z9" i="715"/>
  <c r="K9" i="715"/>
  <c r="AS9" i="715"/>
  <c r="AG9" i="715"/>
  <c r="AV9" i="715"/>
  <c r="AD9" i="715"/>
  <c r="M9" i="715"/>
  <c r="U9" i="715"/>
  <c r="S9" i="715"/>
  <c r="Q9" i="715"/>
  <c r="AB9" i="715"/>
  <c r="AO9" i="715"/>
  <c r="AK9" i="715"/>
  <c r="AM9" i="715"/>
  <c r="AR9" i="715"/>
  <c r="W9" i="715"/>
  <c r="O9" i="715"/>
  <c r="AF9" i="715"/>
  <c r="T9" i="715"/>
  <c r="AH9" i="715"/>
  <c r="AJ9" i="715"/>
  <c r="AC32" i="715"/>
  <c r="AE32" i="715"/>
  <c r="AH32" i="715"/>
  <c r="Q32" i="715"/>
  <c r="AK32" i="715"/>
  <c r="AQ32" i="715"/>
  <c r="AB32" i="715"/>
  <c r="L32" i="715"/>
  <c r="N32" i="715"/>
  <c r="K32" i="715"/>
  <c r="AS32" i="715"/>
  <c r="AM32" i="715"/>
  <c r="O32" i="715"/>
  <c r="P32" i="715"/>
  <c r="AJ32" i="715"/>
  <c r="Y32" i="715"/>
  <c r="X32" i="715"/>
  <c r="M32" i="715"/>
  <c r="V32" i="715"/>
  <c r="Z32" i="715"/>
  <c r="T32" i="715"/>
  <c r="AI32" i="715"/>
  <c r="AG32" i="715"/>
  <c r="S32" i="715"/>
  <c r="AU32" i="715"/>
  <c r="AD32" i="715"/>
  <c r="AR32" i="715"/>
  <c r="AA32" i="715"/>
  <c r="AL32" i="715"/>
  <c r="U32" i="715"/>
  <c r="W32" i="715"/>
  <c r="AT32" i="715"/>
  <c r="AF32" i="715"/>
  <c r="AO32" i="715"/>
  <c r="AP32" i="715"/>
  <c r="R32" i="715"/>
  <c r="AV32" i="715"/>
  <c r="AN32" i="715"/>
  <c r="AO11" i="715"/>
  <c r="AH11" i="715"/>
  <c r="W11" i="715"/>
  <c r="Y11" i="715"/>
  <c r="K11" i="715"/>
  <c r="AC11" i="715"/>
  <c r="T11" i="715"/>
  <c r="L11" i="715"/>
  <c r="P11" i="715"/>
  <c r="AF11" i="715"/>
  <c r="AJ11" i="715"/>
  <c r="AU11" i="715"/>
  <c r="AN11" i="715"/>
  <c r="AD11" i="715"/>
  <c r="AL11" i="715"/>
  <c r="AI11" i="715"/>
  <c r="M11" i="715"/>
  <c r="AE11" i="715"/>
  <c r="R11" i="715"/>
  <c r="S11" i="715"/>
  <c r="AT11" i="715"/>
  <c r="AB11" i="715"/>
  <c r="AS11" i="715"/>
  <c r="AV11" i="715"/>
  <c r="AQ11" i="715"/>
  <c r="AG11" i="715"/>
  <c r="AA11" i="715"/>
  <c r="X11" i="715"/>
  <c r="V11" i="715"/>
  <c r="AK11" i="715"/>
  <c r="O11" i="715"/>
  <c r="U11" i="715"/>
  <c r="N11" i="715"/>
  <c r="Q11" i="715"/>
  <c r="AM11" i="715"/>
  <c r="AR11" i="715"/>
  <c r="AP11" i="715"/>
  <c r="Z11" i="715"/>
  <c r="AT35" i="715"/>
  <c r="R35" i="715"/>
  <c r="AN35" i="715"/>
  <c r="O35" i="715"/>
  <c r="P35" i="715"/>
  <c r="Y35" i="715"/>
  <c r="AD35" i="715"/>
  <c r="AE35" i="715"/>
  <c r="AU35" i="715"/>
  <c r="AS35" i="715"/>
  <c r="AB35" i="715"/>
  <c r="AJ35" i="715"/>
  <c r="L35" i="715"/>
  <c r="U35" i="715"/>
  <c r="Z35" i="715"/>
  <c r="AK35" i="715"/>
  <c r="AG35" i="715"/>
  <c r="AA35" i="715"/>
  <c r="V35" i="715"/>
  <c r="N35" i="715"/>
  <c r="AL35" i="715"/>
  <c r="M35" i="715"/>
  <c r="Q35" i="715"/>
  <c r="W35" i="715"/>
  <c r="AM35" i="715"/>
  <c r="AC35" i="715"/>
  <c r="S35" i="715"/>
  <c r="AR35" i="715"/>
  <c r="AI35" i="715"/>
  <c r="AP35" i="715"/>
  <c r="K35" i="715"/>
  <c r="T35" i="715"/>
  <c r="X35" i="715"/>
  <c r="AV35" i="715"/>
  <c r="AF35" i="715"/>
  <c r="AO35" i="715"/>
  <c r="AH35" i="715"/>
  <c r="AQ35" i="715"/>
  <c r="W26" i="715"/>
  <c r="M26" i="715"/>
  <c r="AR26" i="715"/>
  <c r="Q26" i="715"/>
  <c r="AP26" i="715"/>
  <c r="L26" i="715"/>
  <c r="AN26" i="715"/>
  <c r="V26" i="715"/>
  <c r="AO26" i="715"/>
  <c r="AJ26" i="715"/>
  <c r="AI26" i="715"/>
  <c r="AC26" i="715"/>
  <c r="AF26" i="715"/>
  <c r="AM26" i="715"/>
  <c r="AD26" i="715"/>
  <c r="AU26" i="715"/>
  <c r="AA26" i="715"/>
  <c r="O26" i="715"/>
  <c r="T26" i="715"/>
  <c r="N26" i="715"/>
  <c r="AL26" i="715"/>
  <c r="AB26" i="715"/>
  <c r="S26" i="715"/>
  <c r="K26" i="715"/>
  <c r="X26" i="715"/>
  <c r="P26" i="715"/>
  <c r="AS26" i="715"/>
  <c r="Y26" i="715"/>
  <c r="Z26" i="715"/>
  <c r="AE26" i="715"/>
  <c r="U26" i="715"/>
  <c r="AK26" i="715"/>
  <c r="AH26" i="715"/>
  <c r="AG26" i="715"/>
  <c r="R26" i="715"/>
  <c r="AT26" i="715"/>
  <c r="AQ26" i="715"/>
  <c r="AV26" i="715"/>
  <c r="Z36" i="715"/>
  <c r="K36" i="715"/>
  <c r="P36" i="715"/>
  <c r="AJ36" i="715"/>
  <c r="AN36" i="715"/>
  <c r="U36" i="715"/>
  <c r="AU36" i="715"/>
  <c r="AI36" i="715"/>
  <c r="AD36" i="715"/>
  <c r="AE36" i="715"/>
  <c r="AF36" i="715"/>
  <c r="L36" i="715"/>
  <c r="N36" i="715"/>
  <c r="AT36" i="715"/>
  <c r="AK36" i="715"/>
  <c r="AC36" i="715"/>
  <c r="AB36" i="715"/>
  <c r="AQ36" i="715"/>
  <c r="R36" i="715"/>
  <c r="O36" i="715"/>
  <c r="S36" i="715"/>
  <c r="AR36" i="715"/>
  <c r="Q36" i="715"/>
  <c r="AP36" i="715"/>
  <c r="V36" i="715"/>
  <c r="X36" i="715"/>
  <c r="Y36" i="715"/>
  <c r="AA36" i="715"/>
  <c r="AH36" i="715"/>
  <c r="W36" i="715"/>
  <c r="AM36" i="715"/>
  <c r="M36" i="715"/>
  <c r="T36" i="715"/>
  <c r="AG36" i="715"/>
  <c r="AV36" i="715"/>
  <c r="AL36" i="715"/>
  <c r="AS36" i="715"/>
  <c r="AO36" i="715"/>
  <c r="AK6" i="715"/>
  <c r="AV6" i="715"/>
  <c r="M6" i="715"/>
  <c r="AU6" i="715"/>
  <c r="P6" i="715"/>
  <c r="AN6" i="715"/>
  <c r="Z6" i="715"/>
  <c r="AB6" i="715"/>
  <c r="R6" i="715"/>
  <c r="X6" i="715"/>
  <c r="AM6" i="715"/>
  <c r="U6" i="715"/>
  <c r="AT6" i="715"/>
  <c r="AO6" i="715"/>
  <c r="AA6" i="715"/>
  <c r="AI6" i="715"/>
  <c r="AL6" i="715"/>
  <c r="AS6" i="715"/>
  <c r="AD6" i="715"/>
  <c r="Y6" i="715"/>
  <c r="T6" i="715"/>
  <c r="K6" i="715"/>
  <c r="AP6" i="715"/>
  <c r="W6" i="715"/>
  <c r="AC6" i="715"/>
  <c r="N6" i="715"/>
  <c r="AE6" i="715"/>
  <c r="S6" i="715"/>
  <c r="O6" i="715"/>
  <c r="AJ6" i="715"/>
  <c r="L6" i="715"/>
  <c r="AF6" i="715"/>
  <c r="V6" i="715"/>
  <c r="AR6" i="715"/>
  <c r="AH6" i="715"/>
  <c r="AG6" i="715"/>
  <c r="AQ6" i="715"/>
  <c r="Q6" i="715"/>
  <c r="L12" i="715"/>
  <c r="K12" i="715"/>
  <c r="AN12" i="715"/>
  <c r="AQ12" i="715"/>
  <c r="AP12" i="715"/>
  <c r="W12" i="715"/>
  <c r="V12" i="715"/>
  <c r="AT12" i="715"/>
  <c r="AB12" i="715"/>
  <c r="S12" i="715"/>
  <c r="O12" i="715"/>
  <c r="N12" i="715"/>
  <c r="R12" i="715"/>
  <c r="AC12" i="715"/>
  <c r="Z12" i="715"/>
  <c r="AA12" i="715"/>
  <c r="AR12" i="715"/>
  <c r="AJ12" i="715"/>
  <c r="M12" i="715"/>
  <c r="AH12" i="715"/>
  <c r="AG12" i="715"/>
  <c r="X12" i="715"/>
  <c r="AE12" i="715"/>
  <c r="P12" i="715"/>
  <c r="AV12" i="715"/>
  <c r="AD12" i="715"/>
  <c r="T12" i="715"/>
  <c r="AS12" i="715"/>
  <c r="U12" i="715"/>
  <c r="AL12" i="715"/>
  <c r="AM12" i="715"/>
  <c r="AF12" i="715"/>
  <c r="AO12" i="715"/>
  <c r="AK12" i="715"/>
  <c r="Y12" i="715"/>
  <c r="Q12" i="715"/>
  <c r="AU12" i="715"/>
  <c r="AI12" i="715"/>
  <c r="W24" i="715"/>
  <c r="AE24" i="715"/>
  <c r="AK24" i="715"/>
  <c r="AV24" i="715"/>
  <c r="AB24" i="715"/>
  <c r="AR24" i="715"/>
  <c r="T24" i="715"/>
  <c r="AU24" i="715"/>
  <c r="Y24" i="715"/>
  <c r="V24" i="715"/>
  <c r="AH24" i="715"/>
  <c r="AP24" i="715"/>
  <c r="L24" i="715"/>
  <c r="AO24" i="715"/>
  <c r="AI24" i="715"/>
  <c r="X24" i="715"/>
  <c r="AQ24" i="715"/>
  <c r="AD24" i="715"/>
  <c r="Q24" i="715"/>
  <c r="K24" i="715"/>
  <c r="AT24" i="715"/>
  <c r="U24" i="715"/>
  <c r="AC24" i="715"/>
  <c r="AJ24" i="715"/>
  <c r="AF24" i="715"/>
  <c r="M24" i="715"/>
  <c r="AL24" i="715"/>
  <c r="P24" i="715"/>
  <c r="N24" i="715"/>
  <c r="AN24" i="715"/>
  <c r="AM24" i="715"/>
  <c r="R24" i="715"/>
  <c r="AA24" i="715"/>
  <c r="Z24" i="715"/>
  <c r="S24" i="715"/>
  <c r="AG24" i="715"/>
  <c r="AS24" i="715"/>
  <c r="O24" i="715"/>
  <c r="R10" i="715"/>
  <c r="AR10" i="715"/>
  <c r="AB10" i="715"/>
  <c r="Y10" i="715"/>
  <c r="O10" i="715"/>
  <c r="AU10" i="715"/>
  <c r="S10" i="715"/>
  <c r="AV10" i="715"/>
  <c r="AC10" i="715"/>
  <c r="AI10" i="715"/>
  <c r="K10" i="715"/>
  <c r="X10" i="715"/>
  <c r="AQ10" i="715"/>
  <c r="AK10" i="715"/>
  <c r="AJ10" i="715"/>
  <c r="AH10" i="715"/>
  <c r="M10" i="715"/>
  <c r="AO10" i="715"/>
  <c r="AF10" i="715"/>
  <c r="U10" i="715"/>
  <c r="T10" i="715"/>
  <c r="Z10" i="715"/>
  <c r="V10" i="715"/>
  <c r="AL10" i="715"/>
  <c r="Q10" i="715"/>
  <c r="P10" i="715"/>
  <c r="AM10" i="715"/>
  <c r="AG10" i="715"/>
  <c r="L10" i="715"/>
  <c r="AP10" i="715"/>
  <c r="AN10" i="715"/>
  <c r="AS10" i="715"/>
  <c r="AE10" i="715"/>
  <c r="N10" i="715"/>
  <c r="W10" i="715"/>
  <c r="AD10" i="715"/>
  <c r="AA10" i="715"/>
  <c r="AT10" i="715"/>
  <c r="AJ20" i="715"/>
  <c r="AK20" i="715"/>
  <c r="L20" i="715"/>
  <c r="V20" i="715"/>
  <c r="R20" i="715"/>
  <c r="Y20" i="715"/>
  <c r="AL20" i="715"/>
  <c r="AU20" i="715"/>
  <c r="AF20" i="715"/>
  <c r="AG20" i="715"/>
  <c r="AC20" i="715"/>
  <c r="Z20" i="715"/>
  <c r="P20" i="715"/>
  <c r="K20" i="715"/>
  <c r="M20" i="715"/>
  <c r="AO20" i="715"/>
  <c r="AR20" i="715"/>
  <c r="N20" i="715"/>
  <c r="AI20" i="715"/>
  <c r="AN20" i="715"/>
  <c r="AP20" i="715"/>
  <c r="U20" i="715"/>
  <c r="AV20" i="715"/>
  <c r="AT20" i="715"/>
  <c r="AD20" i="715"/>
  <c r="W20" i="715"/>
  <c r="AS20" i="715"/>
  <c r="S20" i="715"/>
  <c r="AQ20" i="715"/>
  <c r="X20" i="715"/>
  <c r="AA20" i="715"/>
  <c r="AE20" i="715"/>
  <c r="O20" i="715"/>
  <c r="AB20" i="715"/>
  <c r="AM20" i="715"/>
  <c r="T20" i="715"/>
  <c r="Q20" i="715"/>
  <c r="AH20" i="715"/>
  <c r="AI4" i="715"/>
  <c r="N4" i="715"/>
  <c r="Y4" i="715"/>
  <c r="S4" i="715"/>
  <c r="AQ4" i="715"/>
  <c r="M4" i="715"/>
  <c r="AH4" i="715"/>
  <c r="AC4" i="715"/>
  <c r="AT4" i="715"/>
  <c r="AG4" i="715"/>
  <c r="Z4" i="715"/>
  <c r="X4" i="715"/>
  <c r="O4" i="715"/>
  <c r="L4" i="715"/>
  <c r="U4" i="715"/>
  <c r="AF4" i="715"/>
  <c r="AP4" i="715"/>
  <c r="AD4" i="715"/>
  <c r="AK4" i="715"/>
  <c r="AR4" i="715"/>
  <c r="AE4" i="715"/>
  <c r="AB4" i="715"/>
  <c r="Q4" i="715"/>
  <c r="AV4" i="715"/>
  <c r="AS4" i="715"/>
  <c r="V4" i="715"/>
  <c r="K4" i="715"/>
  <c r="W4" i="715"/>
  <c r="AJ4" i="715"/>
  <c r="AU4" i="715"/>
  <c r="AM4" i="715"/>
  <c r="P4" i="715"/>
  <c r="AA4" i="715"/>
  <c r="AN4" i="715"/>
  <c r="AO4" i="715"/>
  <c r="AL4" i="715"/>
  <c r="R4" i="715"/>
  <c r="T4" i="715"/>
  <c r="AG25" i="715"/>
  <c r="AJ25" i="715"/>
  <c r="AI25" i="715"/>
  <c r="Y25" i="715"/>
  <c r="AQ25" i="715"/>
  <c r="AA25" i="715"/>
  <c r="AT25" i="715"/>
  <c r="AR25" i="715"/>
  <c r="X25" i="715"/>
  <c r="AF25" i="715"/>
  <c r="S25" i="715"/>
  <c r="Q25" i="715"/>
  <c r="AS25" i="715"/>
  <c r="V25" i="715"/>
  <c r="AN25" i="715"/>
  <c r="AE25" i="715"/>
  <c r="K25" i="715"/>
  <c r="AK25" i="715"/>
  <c r="R25" i="715"/>
  <c r="AO25" i="715"/>
  <c r="AH25" i="715"/>
  <c r="U25" i="715"/>
  <c r="AP25" i="715"/>
  <c r="AB25" i="715"/>
  <c r="T25" i="715"/>
  <c r="O25" i="715"/>
  <c r="AM25" i="715"/>
  <c r="M25" i="715"/>
  <c r="W25" i="715"/>
  <c r="AV25" i="715"/>
  <c r="AC25" i="715"/>
  <c r="AU25" i="715"/>
  <c r="AD25" i="715"/>
  <c r="N25" i="715"/>
  <c r="Z25" i="715"/>
  <c r="L25" i="715"/>
  <c r="AL25" i="715"/>
  <c r="P25" i="715"/>
  <c r="AL18" i="715"/>
  <c r="Q18" i="715"/>
  <c r="R18" i="715"/>
  <c r="AF18" i="715"/>
  <c r="AM18" i="715"/>
  <c r="AI18" i="715"/>
  <c r="V18" i="715"/>
  <c r="L18" i="715"/>
  <c r="S18" i="715"/>
  <c r="Y18" i="715"/>
  <c r="O18" i="715"/>
  <c r="AN18" i="715"/>
  <c r="W18" i="715"/>
  <c r="AQ18" i="715"/>
  <c r="AV18" i="715"/>
  <c r="N18" i="715"/>
  <c r="AE18" i="715"/>
  <c r="K18" i="715"/>
  <c r="AA18" i="715"/>
  <c r="AS18" i="715"/>
  <c r="AP18" i="715"/>
  <c r="AO18" i="715"/>
  <c r="AC18" i="715"/>
  <c r="Z18" i="715"/>
  <c r="AK18" i="715"/>
  <c r="AU18" i="715"/>
  <c r="U18" i="715"/>
  <c r="AR18" i="715"/>
  <c r="M18" i="715"/>
  <c r="X18" i="715"/>
  <c r="P18" i="715"/>
  <c r="AJ18" i="715"/>
  <c r="AB18" i="715"/>
  <c r="AH18" i="715"/>
  <c r="AD18" i="715"/>
  <c r="T18" i="715"/>
  <c r="AG18" i="715"/>
  <c r="AT18" i="715"/>
  <c r="S43" i="715"/>
  <c r="AD43" i="715"/>
  <c r="Y43" i="715"/>
  <c r="K43" i="715"/>
  <c r="T43" i="715"/>
  <c r="AO43" i="715"/>
  <c r="AV43" i="715"/>
  <c r="N43" i="715"/>
  <c r="AE43" i="715"/>
  <c r="AP43" i="715"/>
  <c r="Z43" i="715"/>
  <c r="AM43" i="715"/>
  <c r="X43" i="715"/>
  <c r="AS43" i="715"/>
  <c r="AF43" i="715"/>
  <c r="AH43" i="715"/>
  <c r="AT43" i="715"/>
  <c r="AI43" i="715"/>
  <c r="Q43" i="715"/>
  <c r="L43" i="715"/>
  <c r="AQ43" i="715"/>
  <c r="O43" i="715"/>
  <c r="M43" i="715"/>
  <c r="R43" i="715"/>
  <c r="W43" i="715"/>
  <c r="V43" i="715"/>
  <c r="P43" i="715"/>
  <c r="U43" i="715"/>
  <c r="AC43" i="715"/>
  <c r="AL43" i="715"/>
  <c r="AJ43" i="715"/>
  <c r="AN43" i="715"/>
  <c r="AU43" i="715"/>
  <c r="AK43" i="715"/>
  <c r="AB43" i="715"/>
  <c r="AG43" i="715"/>
  <c r="AR43" i="715"/>
  <c r="AA43" i="715"/>
  <c r="AF30" i="715"/>
  <c r="AI30" i="715"/>
  <c r="O30" i="715"/>
  <c r="AC30" i="715"/>
  <c r="L30" i="715"/>
  <c r="AA30" i="715"/>
  <c r="S30" i="715"/>
  <c r="AH30" i="715"/>
  <c r="U30" i="715"/>
  <c r="X30" i="715"/>
  <c r="AE30" i="715"/>
  <c r="V30" i="715"/>
  <c r="AR30" i="715"/>
  <c r="Z30" i="715"/>
  <c r="AJ30" i="715"/>
  <c r="AM30" i="715"/>
  <c r="T30" i="715"/>
  <c r="AB30" i="715"/>
  <c r="AL30" i="715"/>
  <c r="Y30" i="715"/>
  <c r="P30" i="715"/>
  <c r="N30" i="715"/>
  <c r="Q30" i="715"/>
  <c r="K30" i="715"/>
  <c r="AU30" i="715"/>
  <c r="AD30" i="715"/>
  <c r="W30" i="715"/>
  <c r="AP30" i="715"/>
  <c r="AQ30" i="715"/>
  <c r="AV30" i="715"/>
  <c r="AK30" i="715"/>
  <c r="AS30" i="715"/>
  <c r="R30" i="715"/>
  <c r="AG30" i="715"/>
  <c r="M30" i="715"/>
  <c r="AT30" i="715"/>
  <c r="AO30" i="715"/>
  <c r="AN30" i="715"/>
  <c r="S19" i="715"/>
  <c r="AC19" i="715"/>
  <c r="R19" i="715"/>
  <c r="M19" i="715"/>
  <c r="AA19" i="715"/>
  <c r="AK19" i="715"/>
  <c r="AB19" i="715"/>
  <c r="AR19" i="715"/>
  <c r="V19" i="715"/>
  <c r="Y19" i="715"/>
  <c r="Z19" i="715"/>
  <c r="AS19" i="715"/>
  <c r="AQ19" i="715"/>
  <c r="AE19" i="715"/>
  <c r="X19" i="715"/>
  <c r="W19" i="715"/>
  <c r="L19" i="715"/>
  <c r="AD19" i="715"/>
  <c r="K19" i="715"/>
  <c r="T19" i="715"/>
  <c r="AV19" i="715"/>
  <c r="AI19" i="715"/>
  <c r="AH19" i="715"/>
  <c r="P19" i="715"/>
  <c r="AJ19" i="715"/>
  <c r="AG19" i="715"/>
  <c r="AF19" i="715"/>
  <c r="U19" i="715"/>
  <c r="AU19" i="715"/>
  <c r="O19" i="715"/>
  <c r="N19" i="715"/>
  <c r="AL19" i="715"/>
  <c r="AP19" i="715"/>
  <c r="AT19" i="715"/>
  <c r="AN19" i="715"/>
  <c r="AO19" i="715"/>
  <c r="AM19" i="715"/>
  <c r="Q19" i="715"/>
  <c r="AO21" i="715"/>
  <c r="AG21" i="715"/>
  <c r="AQ21" i="715"/>
  <c r="L21" i="715"/>
  <c r="AH21" i="715"/>
  <c r="AC21" i="715"/>
  <c r="AR21" i="715"/>
  <c r="AS21" i="715"/>
  <c r="M21" i="715"/>
  <c r="Z21" i="715"/>
  <c r="O21" i="715"/>
  <c r="AT21" i="715"/>
  <c r="U21" i="715"/>
  <c r="AM21" i="715"/>
  <c r="W21" i="715"/>
  <c r="AV21" i="715"/>
  <c r="T21" i="715"/>
  <c r="V21" i="715"/>
  <c r="P21" i="715"/>
  <c r="Y21" i="715"/>
  <c r="AN21" i="715"/>
  <c r="AA21" i="715"/>
  <c r="Q21" i="715"/>
  <c r="AK21" i="715"/>
  <c r="AD21" i="715"/>
  <c r="AB21" i="715"/>
  <c r="AE21" i="715"/>
  <c r="AI21" i="715"/>
  <c r="AP21" i="715"/>
  <c r="AL21" i="715"/>
  <c r="K21" i="715"/>
  <c r="S21" i="715"/>
  <c r="AJ21" i="715"/>
  <c r="AF21" i="715"/>
  <c r="N21" i="715"/>
  <c r="R21" i="715"/>
  <c r="X21" i="715"/>
  <c r="AU21" i="715"/>
  <c r="AE41" i="715"/>
  <c r="AK41" i="715"/>
  <c r="AS41" i="715"/>
  <c r="L41" i="715"/>
  <c r="AA41" i="715"/>
  <c r="M41" i="715"/>
  <c r="V41" i="715"/>
  <c r="AI41" i="715"/>
  <c r="U41" i="715"/>
  <c r="P41" i="715"/>
  <c r="AF41" i="715"/>
  <c r="AH41" i="715"/>
  <c r="Q41" i="715"/>
  <c r="AL41" i="715"/>
  <c r="AC41" i="715"/>
  <c r="K41" i="715"/>
  <c r="O41" i="715"/>
  <c r="AP41" i="715"/>
  <c r="R41" i="715"/>
  <c r="AQ41" i="715"/>
  <c r="AO41" i="715"/>
  <c r="AM41" i="715"/>
  <c r="AN41" i="715"/>
  <c r="AJ41" i="715"/>
  <c r="T41" i="715"/>
  <c r="N41" i="715"/>
  <c r="X41" i="715"/>
  <c r="Z41" i="715"/>
  <c r="AR41" i="715"/>
  <c r="AU41" i="715"/>
  <c r="S41" i="715"/>
  <c r="AT41" i="715"/>
  <c r="AB41" i="715"/>
  <c r="Y41" i="715"/>
  <c r="AG41" i="715"/>
  <c r="AD41" i="715"/>
  <c r="W41" i="715"/>
  <c r="AV41" i="715"/>
  <c r="AM40" i="715"/>
  <c r="AH40" i="715"/>
  <c r="AD40" i="715"/>
  <c r="K40" i="715"/>
  <c r="Y40" i="715"/>
  <c r="AA40" i="715"/>
  <c r="AI40" i="715"/>
  <c r="W40" i="715"/>
  <c r="AS40" i="715"/>
  <c r="AP40" i="715"/>
  <c r="X40" i="715"/>
  <c r="AT40" i="715"/>
  <c r="N40" i="715"/>
  <c r="U40" i="715"/>
  <c r="AK40" i="715"/>
  <c r="AC40" i="715"/>
  <c r="S40" i="715"/>
  <c r="AJ40" i="715"/>
  <c r="AN40" i="715"/>
  <c r="R40" i="715"/>
  <c r="AR40" i="715"/>
  <c r="AB40" i="715"/>
  <c r="Z40" i="715"/>
  <c r="M40" i="715"/>
  <c r="L40" i="715"/>
  <c r="P40" i="715"/>
  <c r="AF40" i="715"/>
  <c r="AL40" i="715"/>
  <c r="AE40" i="715"/>
  <c r="AV40" i="715"/>
  <c r="T40" i="715"/>
  <c r="V40" i="715"/>
  <c r="O40" i="715"/>
  <c r="AU40" i="715"/>
  <c r="AO40" i="715"/>
  <c r="AQ40" i="715"/>
  <c r="Q40" i="715"/>
  <c r="AG40" i="715"/>
  <c r="O42" i="715"/>
  <c r="AJ42" i="715"/>
  <c r="AD42" i="715"/>
  <c r="AM42" i="715"/>
  <c r="R42" i="715"/>
  <c r="N42" i="715"/>
  <c r="AQ42" i="715"/>
  <c r="AN42" i="715"/>
  <c r="X42" i="715"/>
  <c r="AG42" i="715"/>
  <c r="W42" i="715"/>
  <c r="AK42" i="715"/>
  <c r="V42" i="715"/>
  <c r="AL42" i="715"/>
  <c r="AE42" i="715"/>
  <c r="AA42" i="715"/>
  <c r="AB42" i="715"/>
  <c r="L42" i="715"/>
  <c r="AT42" i="715"/>
  <c r="K42" i="715"/>
  <c r="T42" i="715"/>
  <c r="Q42" i="715"/>
  <c r="AS42" i="715"/>
  <c r="AF42" i="715"/>
  <c r="AH42" i="715"/>
  <c r="Y42" i="715"/>
  <c r="AP42" i="715"/>
  <c r="S42" i="715"/>
  <c r="U42" i="715"/>
  <c r="AR42" i="715"/>
  <c r="Z42" i="715"/>
  <c r="AO42" i="715"/>
  <c r="AI42" i="715"/>
  <c r="AU42" i="715"/>
  <c r="AV42" i="715"/>
  <c r="P42" i="715"/>
  <c r="AC42" i="715"/>
  <c r="M42" i="715"/>
  <c r="AN37" i="715"/>
  <c r="AD37" i="715"/>
  <c r="AG37" i="715"/>
  <c r="O37" i="715"/>
  <c r="Q37" i="715"/>
  <c r="AR37" i="715"/>
  <c r="AL37" i="715"/>
  <c r="AP37" i="715"/>
  <c r="S37" i="715"/>
  <c r="AF37" i="715"/>
  <c r="AA37" i="715"/>
  <c r="AU37" i="715"/>
  <c r="Z37" i="715"/>
  <c r="T37" i="715"/>
  <c r="U37" i="715"/>
  <c r="AC37" i="715"/>
  <c r="AM37" i="715"/>
  <c r="AK37" i="715"/>
  <c r="V37" i="715"/>
  <c r="X37" i="715"/>
  <c r="N37" i="715"/>
  <c r="L37" i="715"/>
  <c r="AH37" i="715"/>
  <c r="AQ37" i="715"/>
  <c r="AE37" i="715"/>
  <c r="M37" i="715"/>
  <c r="R37" i="715"/>
  <c r="AO37" i="715"/>
  <c r="W37" i="715"/>
  <c r="Y37" i="715"/>
  <c r="AI37" i="715"/>
  <c r="AT37" i="715"/>
  <c r="P37" i="715"/>
  <c r="AV37" i="715"/>
  <c r="AJ37" i="715"/>
  <c r="AS37" i="715"/>
  <c r="AB37" i="715"/>
  <c r="K37" i="715"/>
  <c r="AC28" i="715"/>
  <c r="AF28" i="715"/>
  <c r="AV28" i="715"/>
  <c r="R28" i="715"/>
  <c r="O28" i="715"/>
  <c r="X28" i="715"/>
  <c r="M28" i="715"/>
  <c r="AM28" i="715"/>
  <c r="AH28" i="715"/>
  <c r="AL28" i="715"/>
  <c r="N28" i="715"/>
  <c r="S28" i="715"/>
  <c r="AE28" i="715"/>
  <c r="AA28" i="715"/>
  <c r="AU28" i="715"/>
  <c r="AQ28" i="715"/>
  <c r="AB28" i="715"/>
  <c r="AN28" i="715"/>
  <c r="P28" i="715"/>
  <c r="L28" i="715"/>
  <c r="Z28" i="715"/>
  <c r="AJ28" i="715"/>
  <c r="U28" i="715"/>
  <c r="AI28" i="715"/>
  <c r="W28" i="715"/>
  <c r="AR28" i="715"/>
  <c r="Q28" i="715"/>
  <c r="AG28" i="715"/>
  <c r="T28" i="715"/>
  <c r="AP28" i="715"/>
  <c r="AO28" i="715"/>
  <c r="K28" i="715"/>
  <c r="AK28" i="715"/>
  <c r="AD28" i="715"/>
  <c r="Y28" i="715"/>
  <c r="AT28" i="715"/>
  <c r="AS28" i="715"/>
  <c r="V28" i="715"/>
  <c r="AP38" i="715"/>
  <c r="AU38" i="715"/>
  <c r="AN38" i="715"/>
  <c r="AL38" i="715"/>
  <c r="AS38" i="715"/>
  <c r="N38" i="715"/>
  <c r="AA38" i="715"/>
  <c r="AK38" i="715"/>
  <c r="AD38" i="715"/>
  <c r="X38" i="715"/>
  <c r="AG38" i="715"/>
  <c r="W38" i="715"/>
  <c r="V38" i="715"/>
  <c r="T38" i="715"/>
  <c r="AI38" i="715"/>
  <c r="AE38" i="715"/>
  <c r="Z38" i="715"/>
  <c r="M38" i="715"/>
  <c r="AC38" i="715"/>
  <c r="U38" i="715"/>
  <c r="AT38" i="715"/>
  <c r="AO38" i="715"/>
  <c r="S38" i="715"/>
  <c r="Y38" i="715"/>
  <c r="AQ38" i="715"/>
  <c r="K38" i="715"/>
  <c r="AB38" i="715"/>
  <c r="AR38" i="715"/>
  <c r="AM38" i="715"/>
  <c r="AJ38" i="715"/>
  <c r="AV38" i="715"/>
  <c r="L38" i="715"/>
  <c r="R38" i="715"/>
  <c r="AH38" i="715"/>
  <c r="O38" i="715"/>
  <c r="P38" i="715"/>
  <c r="Q38" i="715"/>
  <c r="AF38" i="715"/>
  <c r="K33" i="715"/>
  <c r="AS33" i="715"/>
  <c r="AR33" i="715"/>
  <c r="AA33" i="715"/>
  <c r="AQ33" i="715"/>
  <c r="AH33" i="715"/>
  <c r="S33" i="715"/>
  <c r="P33" i="715"/>
  <c r="AM33" i="715"/>
  <c r="AI33" i="715"/>
  <c r="AB33" i="715"/>
  <c r="AV33" i="715"/>
  <c r="AN33" i="715"/>
  <c r="AK33" i="715"/>
  <c r="AD33" i="715"/>
  <c r="W33" i="715"/>
  <c r="V33" i="715"/>
  <c r="AP33" i="715"/>
  <c r="AC33" i="715"/>
  <c r="AE33" i="715"/>
  <c r="AU33" i="715"/>
  <c r="R33" i="715"/>
  <c r="T33" i="715"/>
  <c r="L33" i="715"/>
  <c r="Y33" i="715"/>
  <c r="X33" i="715"/>
  <c r="Z33" i="715"/>
  <c r="Q33" i="715"/>
  <c r="U33" i="715"/>
  <c r="AT33" i="715"/>
  <c r="AJ33" i="715"/>
  <c r="O33" i="715"/>
  <c r="M33" i="715"/>
  <c r="AO33" i="715"/>
  <c r="N33" i="715"/>
  <c r="AL33" i="715"/>
  <c r="AF33" i="715"/>
  <c r="AG33" i="715"/>
  <c r="H28" i="613"/>
  <c r="AG13" i="715"/>
  <c r="AS13" i="715"/>
  <c r="K13" i="715"/>
  <c r="T13" i="715"/>
  <c r="AV13" i="715"/>
  <c r="Z13" i="715"/>
  <c r="AC13" i="715"/>
  <c r="N13" i="715"/>
  <c r="V13" i="715"/>
  <c r="Y13" i="715"/>
  <c r="AI13" i="715"/>
  <c r="AM13" i="715"/>
  <c r="AK13" i="715"/>
  <c r="AU13" i="715"/>
  <c r="AD13" i="715"/>
  <c r="AQ13" i="715"/>
  <c r="W13" i="715"/>
  <c r="AJ13" i="715"/>
  <c r="O13" i="715"/>
  <c r="P13" i="715"/>
  <c r="M13" i="715"/>
  <c r="X13" i="715"/>
  <c r="AT13" i="715"/>
  <c r="AB13" i="715"/>
  <c r="AF13" i="715"/>
  <c r="S13" i="715"/>
  <c r="AP13" i="715"/>
  <c r="AH13" i="715"/>
  <c r="Q13" i="715"/>
  <c r="AN13" i="715"/>
  <c r="L13" i="715"/>
  <c r="AE13" i="715"/>
  <c r="AL13" i="715"/>
  <c r="AA13" i="715"/>
  <c r="U13" i="715"/>
  <c r="AR13" i="715"/>
  <c r="R13" i="715"/>
  <c r="AO13" i="715"/>
  <c r="Q27" i="715"/>
  <c r="L27" i="715"/>
  <c r="X27" i="715"/>
  <c r="Z27" i="715"/>
  <c r="P27" i="715"/>
  <c r="O27" i="715"/>
  <c r="AV27" i="715"/>
  <c r="AC27" i="715"/>
  <c r="AT27" i="715"/>
  <c r="AM27" i="715"/>
  <c r="AF27" i="715"/>
  <c r="M27" i="715"/>
  <c r="AJ27" i="715"/>
  <c r="K27" i="715"/>
  <c r="AB27" i="715"/>
  <c r="Y27" i="715"/>
  <c r="AE27" i="715"/>
  <c r="AD27" i="715"/>
  <c r="AS27" i="715"/>
  <c r="AN27" i="715"/>
  <c r="R27" i="715"/>
  <c r="AK27" i="715"/>
  <c r="AQ27" i="715"/>
  <c r="AO27" i="715"/>
  <c r="AR27" i="715"/>
  <c r="T27" i="715"/>
  <c r="U27" i="715"/>
  <c r="V27" i="715"/>
  <c r="N27" i="715"/>
  <c r="S27" i="715"/>
  <c r="AP27" i="715"/>
  <c r="AG27" i="715"/>
  <c r="W27" i="715"/>
  <c r="AH27" i="715"/>
  <c r="AI27" i="715"/>
  <c r="AL27" i="715"/>
  <c r="AA27" i="715"/>
  <c r="AU27" i="715"/>
  <c r="P23" i="715"/>
  <c r="AB23" i="715"/>
  <c r="AM23" i="715"/>
  <c r="AI23" i="715"/>
  <c r="AD23" i="715"/>
  <c r="AV23" i="715"/>
  <c r="Z23" i="715"/>
  <c r="AU23" i="715"/>
  <c r="R23" i="715"/>
  <c r="AC23" i="715"/>
  <c r="AE23" i="715"/>
  <c r="AF23" i="715"/>
  <c r="V23" i="715"/>
  <c r="M23" i="715"/>
  <c r="L23" i="715"/>
  <c r="K23" i="715"/>
  <c r="AH23" i="715"/>
  <c r="AQ23" i="715"/>
  <c r="AG23" i="715"/>
  <c r="AO23" i="715"/>
  <c r="AN23" i="715"/>
  <c r="T23" i="715"/>
  <c r="AL23" i="715"/>
  <c r="N23" i="715"/>
  <c r="U23" i="715"/>
  <c r="AT23" i="715"/>
  <c r="AP23" i="715"/>
  <c r="X23" i="715"/>
  <c r="AS23" i="715"/>
  <c r="AR23" i="715"/>
  <c r="AK23" i="715"/>
  <c r="AA23" i="715"/>
  <c r="Q23" i="715"/>
  <c r="Y23" i="715"/>
  <c r="W23" i="715"/>
  <c r="O23" i="715"/>
  <c r="S23" i="715"/>
  <c r="AJ23" i="715"/>
  <c r="AH22" i="715"/>
  <c r="L22" i="715"/>
  <c r="AJ22" i="715"/>
  <c r="Q22" i="715"/>
  <c r="AF22" i="715"/>
  <c r="K22" i="715"/>
  <c r="N22" i="715"/>
  <c r="AO22" i="715"/>
  <c r="AR22" i="715"/>
  <c r="X22" i="715"/>
  <c r="AP22" i="715"/>
  <c r="AK22" i="715"/>
  <c r="AB22" i="715"/>
  <c r="AU22" i="715"/>
  <c r="AL22" i="715"/>
  <c r="AQ22" i="715"/>
  <c r="U22" i="715"/>
  <c r="AE22" i="715"/>
  <c r="W22" i="715"/>
  <c r="AT22" i="715"/>
  <c r="AS22" i="715"/>
  <c r="Z22" i="715"/>
  <c r="V22" i="715"/>
  <c r="T22" i="715"/>
  <c r="AA22" i="715"/>
  <c r="O22" i="715"/>
  <c r="AG22" i="715"/>
  <c r="R22" i="715"/>
  <c r="P22" i="715"/>
  <c r="AM22" i="715"/>
  <c r="Y22" i="715"/>
  <c r="AV22" i="715"/>
  <c r="AI22" i="715"/>
  <c r="AN22" i="715"/>
  <c r="AC22" i="715"/>
  <c r="M22" i="715"/>
  <c r="AD22" i="715"/>
  <c r="S22" i="715"/>
  <c r="AG31" i="715"/>
  <c r="AN31" i="715"/>
  <c r="AS31" i="715"/>
  <c r="AT31" i="715"/>
  <c r="S31" i="715"/>
  <c r="L31" i="715"/>
  <c r="AF31" i="715"/>
  <c r="AR31" i="715"/>
  <c r="R31" i="715"/>
  <c r="V31" i="715"/>
  <c r="AH31" i="715"/>
  <c r="AO31" i="715"/>
  <c r="O31" i="715"/>
  <c r="AU31" i="715"/>
  <c r="AA31" i="715"/>
  <c r="AI31" i="715"/>
  <c r="AQ31" i="715"/>
  <c r="P31" i="715"/>
  <c r="X31" i="715"/>
  <c r="AM31" i="715"/>
  <c r="AK31" i="715"/>
  <c r="Y31" i="715"/>
  <c r="AB31" i="715"/>
  <c r="T31" i="715"/>
  <c r="AV31" i="715"/>
  <c r="W31" i="715"/>
  <c r="N31" i="715"/>
  <c r="AL31" i="715"/>
  <c r="AP31" i="715"/>
  <c r="Z31" i="715"/>
  <c r="AC31" i="715"/>
  <c r="AJ31" i="715"/>
  <c r="AD31" i="715"/>
  <c r="AE31" i="715"/>
  <c r="U31" i="715"/>
  <c r="K31" i="715"/>
  <c r="M31" i="715"/>
  <c r="Q31" i="715"/>
  <c r="AI34" i="715"/>
  <c r="AQ34" i="715"/>
  <c r="S34" i="715"/>
  <c r="AH34" i="715"/>
  <c r="AS34" i="715"/>
  <c r="R34" i="715"/>
  <c r="Q34" i="715"/>
  <c r="AM34" i="715"/>
  <c r="AL34" i="715"/>
  <c r="N34" i="715"/>
  <c r="M34" i="715"/>
  <c r="W34" i="715"/>
  <c r="AV34" i="715"/>
  <c r="Y34" i="715"/>
  <c r="AF34" i="715"/>
  <c r="AU34" i="715"/>
  <c r="AE34" i="715"/>
  <c r="AK34" i="715"/>
  <c r="AP34" i="715"/>
  <c r="AN34" i="715"/>
  <c r="X34" i="715"/>
  <c r="T34" i="715"/>
  <c r="U34" i="715"/>
  <c r="V34" i="715"/>
  <c r="AO34" i="715"/>
  <c r="AA34" i="715"/>
  <c r="AJ34" i="715"/>
  <c r="P34" i="715"/>
  <c r="Z34" i="715"/>
  <c r="K34" i="715"/>
  <c r="O34" i="715"/>
  <c r="AT34" i="715"/>
  <c r="AD34" i="715"/>
  <c r="AR34" i="715"/>
  <c r="AG34" i="715"/>
  <c r="L34" i="715"/>
  <c r="AC34" i="715"/>
  <c r="AB34" i="715"/>
  <c r="N15" i="715"/>
  <c r="AA15" i="715"/>
  <c r="Y15" i="715"/>
  <c r="Z15" i="715"/>
  <c r="U15" i="715"/>
  <c r="V15" i="715"/>
  <c r="AE15" i="715"/>
  <c r="M15" i="715"/>
  <c r="R15" i="715"/>
  <c r="AB15" i="715"/>
  <c r="AH15" i="715"/>
  <c r="O15" i="715"/>
  <c r="K15" i="715"/>
  <c r="X15" i="715"/>
  <c r="T15" i="715"/>
  <c r="W15" i="715"/>
  <c r="P15" i="715"/>
  <c r="AJ15" i="715"/>
  <c r="AG15" i="715"/>
  <c r="AR15" i="715"/>
  <c r="AF15" i="715"/>
  <c r="L15" i="715"/>
  <c r="Q15" i="715"/>
  <c r="AL15" i="715"/>
  <c r="AN15" i="715"/>
  <c r="AP15" i="715"/>
  <c r="AV15" i="715"/>
  <c r="AQ15" i="715"/>
  <c r="AK15" i="715"/>
  <c r="S15" i="715"/>
  <c r="AM15" i="715"/>
  <c r="AS15" i="715"/>
  <c r="AT15" i="715"/>
  <c r="AC15" i="715"/>
  <c r="AD15" i="715"/>
  <c r="AO15" i="715"/>
  <c r="AI15" i="715"/>
  <c r="AU15" i="715"/>
  <c r="R14" i="715"/>
  <c r="V14" i="715"/>
  <c r="AA14" i="715"/>
  <c r="AO14" i="715"/>
  <c r="N14" i="715"/>
  <c r="AP14" i="715"/>
  <c r="AU14" i="715"/>
  <c r="AM14" i="715"/>
  <c r="AK14" i="715"/>
  <c r="AC14" i="715"/>
  <c r="Q14" i="715"/>
  <c r="AI14" i="715"/>
  <c r="Z14" i="715"/>
  <c r="AH14" i="715"/>
  <c r="AS14" i="715"/>
  <c r="L14" i="715"/>
  <c r="AB14" i="715"/>
  <c r="X14" i="715"/>
  <c r="S14" i="715"/>
  <c r="P14" i="715"/>
  <c r="AE14" i="715"/>
  <c r="AQ14" i="715"/>
  <c r="T14" i="715"/>
  <c r="O14" i="715"/>
  <c r="W14" i="715"/>
  <c r="AG14" i="715"/>
  <c r="AD14" i="715"/>
  <c r="AV14" i="715"/>
  <c r="AF14" i="715"/>
  <c r="AR14" i="715"/>
  <c r="U14" i="715"/>
  <c r="Y14" i="715"/>
  <c r="K14" i="715"/>
  <c r="M14" i="715"/>
  <c r="AJ14" i="715"/>
  <c r="AN14" i="715"/>
  <c r="AT14" i="715"/>
  <c r="AL14" i="715"/>
  <c r="S5" i="715"/>
  <c r="AV5" i="715"/>
  <c r="AB5" i="715"/>
  <c r="AD5" i="715"/>
  <c r="O5" i="715"/>
  <c r="AI5" i="715"/>
  <c r="T5" i="715"/>
  <c r="AK5" i="715"/>
  <c r="P5" i="715"/>
  <c r="AU5" i="715"/>
  <c r="AJ5" i="715"/>
  <c r="K5" i="715"/>
  <c r="AH5" i="715"/>
  <c r="Q5" i="715"/>
  <c r="AL5" i="715"/>
  <c r="Z5" i="715"/>
  <c r="AO5" i="715"/>
  <c r="U5" i="715"/>
  <c r="V5" i="715"/>
  <c r="R5" i="715"/>
  <c r="AT5" i="715"/>
  <c r="AE5" i="715"/>
  <c r="Y5" i="715"/>
  <c r="AN5" i="715"/>
  <c r="W5" i="715"/>
  <c r="AC5" i="715"/>
  <c r="M5" i="715"/>
  <c r="AF5" i="715"/>
  <c r="AP5" i="715"/>
  <c r="AA5" i="715"/>
  <c r="AQ5" i="715"/>
  <c r="L5" i="715"/>
  <c r="AR5" i="715"/>
  <c r="AM5" i="715"/>
  <c r="AG5" i="715"/>
  <c r="AS5" i="715"/>
  <c r="X5" i="715"/>
  <c r="N5" i="715"/>
  <c r="Z39" i="715"/>
  <c r="T39" i="715"/>
  <c r="U39" i="715"/>
  <c r="AN39" i="715"/>
  <c r="AI39" i="715"/>
  <c r="Y39" i="715"/>
  <c r="AD39" i="715"/>
  <c r="AB39" i="715"/>
  <c r="AK39" i="715"/>
  <c r="AG39" i="715"/>
  <c r="AL39" i="715"/>
  <c r="N39" i="715"/>
  <c r="AU39" i="715"/>
  <c r="AQ39" i="715"/>
  <c r="AR39" i="715"/>
  <c r="AV39" i="715"/>
  <c r="Q39" i="715"/>
  <c r="AT39" i="715"/>
  <c r="W39" i="715"/>
  <c r="AH39" i="715"/>
  <c r="AO39" i="715"/>
  <c r="M39" i="715"/>
  <c r="AF39" i="715"/>
  <c r="AC39" i="715"/>
  <c r="P39" i="715"/>
  <c r="L39" i="715"/>
  <c r="O39" i="715"/>
  <c r="AP39" i="715"/>
  <c r="AJ39" i="715"/>
  <c r="K39" i="715"/>
  <c r="V39" i="715"/>
  <c r="AE39" i="715"/>
  <c r="AM39" i="715"/>
  <c r="AA39" i="715"/>
  <c r="X39" i="715"/>
  <c r="R39" i="715"/>
  <c r="S39" i="715"/>
  <c r="AS39" i="715"/>
  <c r="H12" i="348"/>
  <c r="Y9" i="349"/>
  <c r="Y10" i="349" s="1"/>
  <c r="Y11" i="349" s="1"/>
  <c r="U17" i="349"/>
  <c r="U18" i="349" s="1"/>
  <c r="U12" i="349"/>
  <c r="G41" i="611"/>
  <c r="H11" i="613"/>
  <c r="X9" i="349"/>
  <c r="X10" i="349" s="1"/>
  <c r="X11" i="349" s="1"/>
  <c r="T17" i="349"/>
  <c r="T18" i="349" s="1"/>
  <c r="H45" i="604"/>
  <c r="H51" i="604" s="1"/>
  <c r="H48" i="613"/>
  <c r="H28" i="604"/>
  <c r="H30" i="604" s="1"/>
  <c r="H10" i="604"/>
  <c r="H8" i="611" l="1"/>
  <c r="F19" i="611"/>
  <c r="F30" i="611"/>
  <c r="AA20" i="612"/>
  <c r="I7" i="611"/>
  <c r="BG20" i="612"/>
  <c r="R20" i="612"/>
  <c r="E20" i="612"/>
  <c r="BR20" i="612"/>
  <c r="G18" i="611"/>
  <c r="G29" i="611"/>
  <c r="U20" i="612"/>
  <c r="Y17" i="612"/>
  <c r="Y20" i="612" s="1"/>
  <c r="Y18" i="612"/>
  <c r="Y19" i="612" s="1"/>
  <c r="AR18" i="612"/>
  <c r="AR19" i="612" s="1"/>
  <c r="AR17" i="612"/>
  <c r="AR20" i="612" s="1"/>
  <c r="X18" i="612"/>
  <c r="X19" i="612" s="1"/>
  <c r="X17" i="612"/>
  <c r="C80" i="603"/>
  <c r="BP18" i="612"/>
  <c r="BP19" i="612" s="1"/>
  <c r="BP17" i="612"/>
  <c r="BP20" i="612" s="1"/>
  <c r="BM18" i="612"/>
  <c r="BM19" i="612" s="1"/>
  <c r="BM17" i="612"/>
  <c r="Q18" i="612"/>
  <c r="Q19" i="612" s="1"/>
  <c r="Q17" i="612"/>
  <c r="AZ18" i="612"/>
  <c r="AZ19" i="612" s="1"/>
  <c r="AZ17" i="612"/>
  <c r="AZ20" i="612" s="1"/>
  <c r="AB18" i="612"/>
  <c r="AB19" i="612" s="1"/>
  <c r="AB17" i="612"/>
  <c r="AB20" i="612" s="1"/>
  <c r="BI18" i="612"/>
  <c r="BI19" i="612" s="1"/>
  <c r="BI17" i="612"/>
  <c r="BI20" i="612" s="1"/>
  <c r="V20" i="612"/>
  <c r="C81" i="603"/>
  <c r="D81" i="603" s="1"/>
  <c r="E81" i="603" s="1"/>
  <c r="BQ18" i="612"/>
  <c r="BQ19" i="612" s="1"/>
  <c r="BQ17" i="612"/>
  <c r="BQ20" i="612" s="1"/>
  <c r="AW18" i="612"/>
  <c r="AW19" i="612" s="1"/>
  <c r="AW17" i="612"/>
  <c r="AW20" i="612" s="1"/>
  <c r="AL18" i="612"/>
  <c r="AL19" i="612" s="1"/>
  <c r="AL17" i="612"/>
  <c r="AL20" i="612" s="1"/>
  <c r="S20" i="612"/>
  <c r="BO20" i="612"/>
  <c r="D80" i="603"/>
  <c r="AX18" i="612"/>
  <c r="AX19" i="612" s="1"/>
  <c r="AX17" i="612"/>
  <c r="AM18" i="612"/>
  <c r="AM19" i="612" s="1"/>
  <c r="AM17" i="612"/>
  <c r="AH18" i="612"/>
  <c r="AH19" i="612" s="1"/>
  <c r="AH17" i="612"/>
  <c r="AC18" i="612"/>
  <c r="AC19" i="612" s="1"/>
  <c r="AC17" i="612"/>
  <c r="Z18" i="612"/>
  <c r="Z19" i="612" s="1"/>
  <c r="Z17" i="612"/>
  <c r="AP18" i="612"/>
  <c r="AP19" i="612" s="1"/>
  <c r="AP17" i="612"/>
  <c r="G62" i="603"/>
  <c r="H62" i="603" s="1"/>
  <c r="I62" i="603" s="1"/>
  <c r="J62" i="603" s="1"/>
  <c r="C20" i="612"/>
  <c r="BA20" i="612"/>
  <c r="D18" i="612"/>
  <c r="D19" i="612" s="1"/>
  <c r="D17" i="612"/>
  <c r="D20" i="612" s="1"/>
  <c r="BJ18" i="612"/>
  <c r="BJ19" i="612" s="1"/>
  <c r="BJ17" i="612"/>
  <c r="BJ20" i="612" s="1"/>
  <c r="BN18" i="612"/>
  <c r="BN19" i="612" s="1"/>
  <c r="BN17" i="612"/>
  <c r="W18" i="612"/>
  <c r="W19" i="612" s="1"/>
  <c r="W17" i="612"/>
  <c r="AJ18" i="612"/>
  <c r="AJ19" i="612" s="1"/>
  <c r="AJ17" i="612"/>
  <c r="BL18" i="612"/>
  <c r="BL19" i="612" s="1"/>
  <c r="BL17" i="612"/>
  <c r="BL20" i="612" s="1"/>
  <c r="P18" i="612"/>
  <c r="P19" i="612" s="1"/>
  <c r="P17" i="612"/>
  <c r="AT18" i="612"/>
  <c r="AT19" i="612" s="1"/>
  <c r="AT17" i="612"/>
  <c r="M39" i="603"/>
  <c r="AQ18" i="612"/>
  <c r="AQ19" i="612" s="1"/>
  <c r="AQ17" i="612"/>
  <c r="G18" i="612"/>
  <c r="G19" i="612" s="1"/>
  <c r="G17" i="612"/>
  <c r="A36" i="603"/>
  <c r="G37" i="603"/>
  <c r="M37" i="603"/>
  <c r="I37" i="603"/>
  <c r="K37" i="603"/>
  <c r="F37" i="603"/>
  <c r="M18" i="612"/>
  <c r="M19" i="612" s="1"/>
  <c r="M17" i="612"/>
  <c r="AO18" i="612"/>
  <c r="AO19" i="612" s="1"/>
  <c r="AO17" i="612"/>
  <c r="AO20" i="612" s="1"/>
  <c r="AN18" i="612"/>
  <c r="AN19" i="612" s="1"/>
  <c r="AN17" i="612"/>
  <c r="AN20" i="612" s="1"/>
  <c r="BE18" i="612"/>
  <c r="BE19" i="612" s="1"/>
  <c r="BE17" i="612"/>
  <c r="BE20" i="612" s="1"/>
  <c r="T17" i="612"/>
  <c r="T18" i="612"/>
  <c r="T19" i="612" s="1"/>
  <c r="I18" i="612"/>
  <c r="I19" i="612" s="1"/>
  <c r="I17" i="612"/>
  <c r="I20" i="612" s="1"/>
  <c r="L17" i="612"/>
  <c r="L18" i="612"/>
  <c r="L19" i="612" s="1"/>
  <c r="F90" i="612"/>
  <c r="F91" i="612" s="1"/>
  <c r="F89" i="612"/>
  <c r="F92" i="612" s="1"/>
  <c r="AV18" i="612"/>
  <c r="AV19" i="612" s="1"/>
  <c r="AV17" i="612"/>
  <c r="G72" i="612"/>
  <c r="N18" i="612"/>
  <c r="N19" i="612" s="1"/>
  <c r="N17" i="612"/>
  <c r="E49" i="612"/>
  <c r="B49" i="612"/>
  <c r="B50" i="612" s="1"/>
  <c r="C50" i="612" s="1"/>
  <c r="D50" i="612" s="1"/>
  <c r="E50" i="612" s="1"/>
  <c r="F50" i="612" s="1"/>
  <c r="G50" i="612" s="1"/>
  <c r="H50" i="612" s="1"/>
  <c r="G49" i="612"/>
  <c r="C49" i="612"/>
  <c r="D49" i="612"/>
  <c r="BB18" i="612"/>
  <c r="BB19" i="612" s="1"/>
  <c r="BB17" i="612"/>
  <c r="BB20" i="612" s="1"/>
  <c r="AE18" i="612"/>
  <c r="AE19" i="612" s="1"/>
  <c r="AE17" i="612"/>
  <c r="H18" i="612"/>
  <c r="H19" i="612" s="1"/>
  <c r="H17" i="612"/>
  <c r="BC18" i="612"/>
  <c r="BC19" i="612" s="1"/>
  <c r="BC17" i="612"/>
  <c r="BF18" i="612"/>
  <c r="BF19" i="612" s="1"/>
  <c r="BF17" i="612"/>
  <c r="BF20" i="612" s="1"/>
  <c r="BD18" i="612"/>
  <c r="BD19" i="612" s="1"/>
  <c r="BD17" i="612"/>
  <c r="AY20" i="612"/>
  <c r="G31" i="338"/>
  <c r="I30" i="338"/>
  <c r="H49" i="612"/>
  <c r="E90" i="612"/>
  <c r="E91" i="612" s="1"/>
  <c r="E89" i="612"/>
  <c r="E92" i="612" s="1"/>
  <c r="F80" i="603"/>
  <c r="O18" i="612"/>
  <c r="O19" i="612" s="1"/>
  <c r="O17" i="612"/>
  <c r="O20" i="612" s="1"/>
  <c r="AS18" i="612"/>
  <c r="AS19" i="612" s="1"/>
  <c r="AS17" i="612"/>
  <c r="AI18" i="612"/>
  <c r="AI19" i="612" s="1"/>
  <c r="AI17" i="612"/>
  <c r="AI20" i="612" s="1"/>
  <c r="Q19" i="603"/>
  <c r="S19" i="603" s="1"/>
  <c r="R18" i="603"/>
  <c r="R19" i="603" s="1"/>
  <c r="D90" i="612"/>
  <c r="D91" i="612" s="1"/>
  <c r="D89" i="612"/>
  <c r="D92" i="612" s="1"/>
  <c r="AU18" i="612"/>
  <c r="AU19" i="612" s="1"/>
  <c r="AU17" i="612"/>
  <c r="BK18" i="612"/>
  <c r="BK19" i="612" s="1"/>
  <c r="BK17" i="612"/>
  <c r="BK20" i="612" s="1"/>
  <c r="F18" i="612"/>
  <c r="F19" i="612" s="1"/>
  <c r="F17" i="612"/>
  <c r="F20" i="612" s="1"/>
  <c r="AD18" i="612"/>
  <c r="AD19" i="612" s="1"/>
  <c r="AD17" i="612"/>
  <c r="AD20" i="612" s="1"/>
  <c r="B18" i="612"/>
  <c r="B19" i="612" s="1"/>
  <c r="B17" i="612"/>
  <c r="AG18" i="612"/>
  <c r="AG19" i="612" s="1"/>
  <c r="AG17" i="612"/>
  <c r="AG20" i="612" s="1"/>
  <c r="C92" i="612"/>
  <c r="C95" i="612" s="1"/>
  <c r="AF20" i="612"/>
  <c r="H11" i="604"/>
  <c r="H13" i="604" s="1"/>
  <c r="H46" i="604"/>
  <c r="H48" i="604" s="1"/>
  <c r="H30" i="613"/>
  <c r="H13" i="613"/>
  <c r="U13" i="349"/>
  <c r="T13" i="349"/>
  <c r="AY17" i="715"/>
  <c r="AY11" i="715"/>
  <c r="AY16" i="715"/>
  <c r="AY12" i="715"/>
  <c r="AY13" i="715"/>
  <c r="I8" i="611" l="1"/>
  <c r="G30" i="611"/>
  <c r="G19" i="611"/>
  <c r="BM20" i="612"/>
  <c r="AV20" i="612"/>
  <c r="AP20" i="612"/>
  <c r="AM20" i="612"/>
  <c r="B20" i="612"/>
  <c r="AU20" i="612"/>
  <c r="AS20" i="612"/>
  <c r="J7" i="611"/>
  <c r="AQ20" i="612"/>
  <c r="H29" i="611"/>
  <c r="X20" i="612"/>
  <c r="H18" i="611"/>
  <c r="N20" i="612"/>
  <c r="Q20" i="612"/>
  <c r="H20" i="603"/>
  <c r="E20" i="603"/>
  <c r="K20" i="603"/>
  <c r="M20" i="603"/>
  <c r="G20" i="603"/>
  <c r="D20" i="603"/>
  <c r="F20" i="603"/>
  <c r="L20" i="603"/>
  <c r="B20" i="603"/>
  <c r="B21" i="603" s="1"/>
  <c r="C21" i="603" s="1"/>
  <c r="D21" i="603" s="1"/>
  <c r="N20" i="603"/>
  <c r="I20" i="603"/>
  <c r="J20" i="603"/>
  <c r="C20" i="603"/>
  <c r="O20" i="603"/>
  <c r="P20" i="603"/>
  <c r="BD20" i="612"/>
  <c r="AE20" i="612"/>
  <c r="P20" i="612"/>
  <c r="BN20" i="612"/>
  <c r="AH20" i="612"/>
  <c r="D95" i="612"/>
  <c r="Q20" i="603"/>
  <c r="L20" i="612"/>
  <c r="B95" i="612"/>
  <c r="R20" i="603"/>
  <c r="C73" i="612"/>
  <c r="E73" i="612"/>
  <c r="BC20" i="612"/>
  <c r="B73" i="612"/>
  <c r="B74" i="612" s="1"/>
  <c r="C74" i="612" s="1"/>
  <c r="J37" i="603"/>
  <c r="AE37" i="603"/>
  <c r="AD37" i="603"/>
  <c r="S37" i="603"/>
  <c r="Z37" i="603"/>
  <c r="R37" i="603"/>
  <c r="O37" i="603"/>
  <c r="E37" i="603"/>
  <c r="W37" i="603"/>
  <c r="H37" i="603"/>
  <c r="AH37" i="603"/>
  <c r="U37" i="603"/>
  <c r="AG37" i="603"/>
  <c r="Y37" i="603"/>
  <c r="P37" i="603"/>
  <c r="B37" i="603"/>
  <c r="AC37" i="603"/>
  <c r="AJ37" i="603"/>
  <c r="N37" i="603"/>
  <c r="V37" i="603"/>
  <c r="AF37" i="603"/>
  <c r="C37" i="603"/>
  <c r="L37" i="603"/>
  <c r="AA37" i="603"/>
  <c r="AB37" i="603"/>
  <c r="X37" i="603"/>
  <c r="Q37" i="603"/>
  <c r="AI37" i="603"/>
  <c r="T37" i="603"/>
  <c r="AJ20" i="612"/>
  <c r="D73" i="612"/>
  <c r="Z20" i="612"/>
  <c r="AX20" i="612"/>
  <c r="M20" i="612"/>
  <c r="G20" i="612"/>
  <c r="F23" i="612" s="1"/>
  <c r="N39" i="603"/>
  <c r="G32" i="338"/>
  <c r="I31" i="338"/>
  <c r="H20" i="612"/>
  <c r="E23" i="612" s="1"/>
  <c r="T20" i="612"/>
  <c r="AT20" i="612"/>
  <c r="W20" i="612"/>
  <c r="AC20" i="612"/>
  <c r="F81" i="603"/>
  <c r="F73" i="612"/>
  <c r="D37" i="603"/>
  <c r="H19" i="611" l="1"/>
  <c r="H30" i="611"/>
  <c r="K30" i="611" s="1"/>
  <c r="J8" i="611"/>
  <c r="I18" i="611"/>
  <c r="I29" i="611"/>
  <c r="K7" i="611"/>
  <c r="D74" i="612"/>
  <c r="E74" i="612" s="1"/>
  <c r="E21" i="603"/>
  <c r="F21" i="603" s="1"/>
  <c r="G21" i="603" s="1"/>
  <c r="H21" i="603" s="1"/>
  <c r="I21" i="603" s="1"/>
  <c r="J21" i="603" s="1"/>
  <c r="K21" i="603" s="1"/>
  <c r="L21" i="603" s="1"/>
  <c r="M21" i="603" s="1"/>
  <c r="N21" i="603" s="1"/>
  <c r="O21" i="603" s="1"/>
  <c r="P21" i="603" s="1"/>
  <c r="Q21" i="603" s="1"/>
  <c r="R21" i="603" s="1"/>
  <c r="J23" i="612"/>
  <c r="D23" i="612"/>
  <c r="H23" i="612"/>
  <c r="B23" i="612"/>
  <c r="D40" i="603"/>
  <c r="B40" i="603"/>
  <c r="C40" i="603"/>
  <c r="E40" i="603"/>
  <c r="G40" i="603"/>
  <c r="F40" i="603"/>
  <c r="H40" i="603"/>
  <c r="I40" i="603"/>
  <c r="J40" i="603"/>
  <c r="K40" i="603"/>
  <c r="L40" i="603"/>
  <c r="F74" i="612"/>
  <c r="E95" i="612"/>
  <c r="C96" i="612" s="1"/>
  <c r="G33" i="338"/>
  <c r="I32" i="338"/>
  <c r="I23" i="612"/>
  <c r="G23" i="612"/>
  <c r="C23" i="612"/>
  <c r="N40" i="603"/>
  <c r="M40" i="603"/>
  <c r="K8" i="611" l="1"/>
  <c r="I30" i="611"/>
  <c r="I19" i="611"/>
  <c r="L7" i="611"/>
  <c r="B96" i="612"/>
  <c r="B97" i="612" s="1"/>
  <c r="C97" i="612" s="1"/>
  <c r="D96" i="612"/>
  <c r="J29" i="611"/>
  <c r="J18" i="611"/>
  <c r="G34" i="338"/>
  <c r="I33" i="338"/>
  <c r="K23" i="612"/>
  <c r="H24" i="612" s="1"/>
  <c r="O40" i="603"/>
  <c r="N41" i="603" s="1"/>
  <c r="G24" i="612"/>
  <c r="D24" i="612"/>
  <c r="C24" i="612"/>
  <c r="J24" i="612"/>
  <c r="J30" i="611" l="1"/>
  <c r="J19" i="611"/>
  <c r="L8" i="611"/>
  <c r="M41" i="603"/>
  <c r="L41" i="603"/>
  <c r="B24" i="612"/>
  <c r="B25" i="612" s="1"/>
  <c r="C25" i="612" s="1"/>
  <c r="D25" i="612" s="1"/>
  <c r="K18" i="611"/>
  <c r="G41" i="603"/>
  <c r="I41" i="603"/>
  <c r="D97" i="612"/>
  <c r="M7" i="611"/>
  <c r="E41" i="603"/>
  <c r="F41" i="603"/>
  <c r="I34" i="338"/>
  <c r="G35" i="338"/>
  <c r="H41" i="603"/>
  <c r="K41" i="603"/>
  <c r="B41" i="603"/>
  <c r="B42" i="603" s="1"/>
  <c r="C42" i="603" s="1"/>
  <c r="D42" i="603" s="1"/>
  <c r="E42" i="603" s="1"/>
  <c r="F42" i="603" s="1"/>
  <c r="G42" i="603" s="1"/>
  <c r="H42" i="603" s="1"/>
  <c r="I42" i="603" s="1"/>
  <c r="J42" i="603" s="1"/>
  <c r="K42" i="603" s="1"/>
  <c r="L42" i="603" s="1"/>
  <c r="M42" i="603" s="1"/>
  <c r="N42" i="603" s="1"/>
  <c r="C41" i="603"/>
  <c r="D41" i="603"/>
  <c r="J41" i="603"/>
  <c r="E24" i="612"/>
  <c r="F24" i="612"/>
  <c r="I24" i="612"/>
  <c r="K19" i="611" l="1"/>
  <c r="M8" i="611"/>
  <c r="L18" i="611"/>
  <c r="N7" i="611"/>
  <c r="E25" i="612"/>
  <c r="F25" i="612" s="1"/>
  <c r="G25" i="612" s="1"/>
  <c r="H25" i="612" s="1"/>
  <c r="I25" i="612" s="1"/>
  <c r="J25" i="612" s="1"/>
  <c r="I35" i="338"/>
  <c r="G36" i="338"/>
  <c r="N8" i="611" l="1"/>
  <c r="L19" i="611"/>
  <c r="O7" i="611"/>
  <c r="M18" i="611"/>
  <c r="G37" i="338"/>
  <c r="I37" i="338" s="1"/>
  <c r="I36" i="338"/>
  <c r="M19" i="611" l="1"/>
  <c r="O8" i="611"/>
  <c r="N18" i="611"/>
  <c r="P7" i="611"/>
  <c r="P8" i="611" l="1"/>
  <c r="N19" i="611"/>
  <c r="O19" i="611" s="1"/>
  <c r="Q7" i="611"/>
  <c r="Q8" i="611" l="1"/>
  <c r="R7" i="611"/>
  <c r="R8" i="611" l="1"/>
  <c r="S8" i="6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<sst xmlns="http://schemas.openxmlformats.org/spreadsheetml/2006/main" count="1412" uniqueCount="368">
  <si>
    <t>Table of Contents</t>
  </si>
  <si>
    <t>Geometric Mean</t>
  </si>
  <si>
    <t>mean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</si>
  <si>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</si>
  <si>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</si>
  <si>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</si>
  <si>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</si>
  <si>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</si>
  <si>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</si>
  <si>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</si>
  <si>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</si>
  <si>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</si>
  <si>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</si>
  <si>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</si>
  <si>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</si>
  <si>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</si>
  <si>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Harmonic Mean</t>
  </si>
  <si>
    <t>AAD</t>
  </si>
  <si>
    <t>MAD</t>
  </si>
  <si>
    <t>IQR</t>
  </si>
  <si>
    <t>Descriptive Statistics</t>
  </si>
  <si>
    <t>Sample 1</t>
  </si>
  <si>
    <t>Sample 2</t>
  </si>
  <si>
    <t>freq</t>
  </si>
  <si>
    <t>lower</t>
  </si>
  <si>
    <t>upper</t>
  </si>
  <si>
    <t>n</t>
  </si>
  <si>
    <t>Frequency</t>
  </si>
  <si>
    <t>Bins</t>
  </si>
  <si>
    <t>More</t>
  </si>
  <si>
    <t>Alpha</t>
  </si>
  <si>
    <t>Raw Data</t>
  </si>
  <si>
    <t>a</t>
  </si>
  <si>
    <t>b</t>
  </si>
  <si>
    <t>α</t>
  </si>
  <si>
    <t>Min</t>
  </si>
  <si>
    <t>Q1-Min</t>
  </si>
  <si>
    <t>Med-Q1</t>
  </si>
  <si>
    <t>Q3-Med</t>
  </si>
  <si>
    <t>Max-Q3</t>
  </si>
  <si>
    <t>Q1</t>
  </si>
  <si>
    <t>k</t>
  </si>
  <si>
    <t>Subject</t>
  </si>
  <si>
    <t>Std Dev</t>
  </si>
  <si>
    <t>df</t>
  </si>
  <si>
    <t>SUMMARY</t>
  </si>
  <si>
    <t>Cohen d</t>
  </si>
  <si>
    <t xml:space="preserve"> </t>
  </si>
  <si>
    <t>p-value</t>
  </si>
  <si>
    <t>t-crit</t>
  </si>
  <si>
    <t>One Tail</t>
  </si>
  <si>
    <t>Two Tail</t>
  </si>
  <si>
    <t>QQ Tables</t>
  </si>
  <si>
    <t>Interval</t>
  </si>
  <si>
    <t>Data</t>
  </si>
  <si>
    <t>Std Data</t>
  </si>
  <si>
    <t>std dev</t>
  </si>
  <si>
    <t>T Test: Two Independent Samples</t>
  </si>
  <si>
    <t>Hyp Mean Diff</t>
  </si>
  <si>
    <t>Groups</t>
  </si>
  <si>
    <t>Variance</t>
  </si>
  <si>
    <t>Pooled</t>
  </si>
  <si>
    <t>T TEST: Equal Variances</t>
  </si>
  <si>
    <t>T TEST: Unequal Variances</t>
  </si>
  <si>
    <t>Control</t>
  </si>
  <si>
    <t>Drug</t>
  </si>
  <si>
    <t>Person</t>
  </si>
  <si>
    <t>Before</t>
  </si>
  <si>
    <t>After</t>
  </si>
  <si>
    <t>t-stat</t>
  </si>
  <si>
    <t>Wilcoxon Rank-Sum Test Table</t>
  </si>
  <si>
    <t>Critical values for W with alpha = .01, two-tailed</t>
  </si>
  <si>
    <r>
      <rPr>
        <sz val="10"/>
        <color theme="1"/>
        <rFont val="Calibri"/>
        <family val="2"/>
        <scheme val="minor"/>
      </rPr>
      <t>n2</t>
    </r>
    <r>
      <rPr>
        <sz val="11"/>
        <color theme="1"/>
        <rFont val="Calibri"/>
        <family val="2"/>
        <scheme val="minor"/>
      </rPr>
      <t>\</t>
    </r>
    <r>
      <rPr>
        <vertAlign val="superscript"/>
        <sz val="16"/>
        <color theme="1"/>
        <rFont val="Calibri"/>
        <family val="2"/>
        <scheme val="minor"/>
      </rPr>
      <t>n1</t>
    </r>
  </si>
  <si>
    <t>--</t>
  </si>
  <si>
    <t>Critical values for W with alpha = .05, two-tailed</t>
  </si>
  <si>
    <t>Critical values for W with alpha = .20, two-tailed</t>
  </si>
  <si>
    <t>-</t>
  </si>
  <si>
    <t>Mann-Whitney Table</t>
  </si>
  <si>
    <r>
      <rPr>
        <sz val="10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>\</t>
    </r>
    <r>
      <rPr>
        <vertAlign val="superscript"/>
        <sz val="16"/>
        <color theme="1"/>
        <rFont val="Calibri"/>
        <family val="2"/>
        <scheme val="minor"/>
      </rPr>
      <t>n2</t>
    </r>
  </si>
  <si>
    <t>Critical values for U with alpha = .05, two-tailed</t>
  </si>
  <si>
    <t>Critical values for U with alpha = .01, two-tailed</t>
  </si>
  <si>
    <t>Critical values for U with alpha = .10, two-tailed</t>
  </si>
  <si>
    <t>Critical values for U with alpha = .02, two-tailed</t>
  </si>
  <si>
    <t>http://www.math.tu-dresden.de/~avoss/Applied_Statistics/Whitney-Mann-TableII.pdf</t>
  </si>
  <si>
    <t>(two tailed significance levels)</t>
  </si>
  <si>
    <t>alpha values</t>
  </si>
  <si>
    <t xml:space="preserve">For a one-tailed test, alpha is half the value given; </t>
  </si>
  <si>
    <t xml:space="preserve">e.g. α = .025 (one-tailed) is equivalent to α = .05 (two-tailed) </t>
  </si>
  <si>
    <r>
      <t xml:space="preserve">n = the number of subjects and the value given is the critical W value for a particular n and </t>
    </r>
    <r>
      <rPr>
        <sz val="11"/>
        <color theme="1"/>
        <rFont val="Calibri"/>
        <family val="2"/>
      </rPr>
      <t>α</t>
    </r>
  </si>
  <si>
    <r>
      <t xml:space="preserve">The obtained value of W-obs is statistically significant if it is </t>
    </r>
    <r>
      <rPr>
        <sz val="11"/>
        <color theme="1"/>
        <rFont val="Calibri"/>
        <family val="2"/>
      </rPr>
      <t>≤ the value W-crit given in the table</t>
    </r>
  </si>
  <si>
    <t>E.g.: if W-obs 22 and n = 22 and α = ,05 (two-tailed) or = .025 (one-tailed) then since W-crit = 25,</t>
  </si>
  <si>
    <t>the conclusion is that the difference is unlikely due solely to chance.</t>
  </si>
  <si>
    <t>n1</t>
  </si>
  <si>
    <t>n2</t>
  </si>
  <si>
    <t>alpha</t>
  </si>
  <si>
    <t>chi-sq</t>
  </si>
  <si>
    <t>r</t>
  </si>
  <si>
    <t>Effect size</t>
  </si>
  <si>
    <t>z-crit</t>
  </si>
  <si>
    <t>Ranks</t>
  </si>
  <si>
    <t>count</t>
  </si>
  <si>
    <t>Std Norm</t>
  </si>
  <si>
    <t>Sorted</t>
  </si>
  <si>
    <t>T</t>
  </si>
  <si>
    <t>sig</t>
  </si>
  <si>
    <t>m</t>
  </si>
  <si>
    <t>median</t>
  </si>
  <si>
    <t>tails</t>
  </si>
  <si>
    <t>Q3</t>
  </si>
  <si>
    <t>Diff</t>
  </si>
  <si>
    <t>std err</t>
  </si>
  <si>
    <t>effect r</t>
  </si>
  <si>
    <t>W</t>
  </si>
  <si>
    <t>variance</t>
  </si>
  <si>
    <t>prob</t>
  </si>
  <si>
    <t>z-score</t>
  </si>
  <si>
    <t>Memory</t>
  </si>
  <si>
    <t>Sign</t>
  </si>
  <si>
    <t>Sign Test</t>
  </si>
  <si>
    <t>Wilcoxon Rank-Sum Test</t>
  </si>
  <si>
    <t>Original data</t>
  </si>
  <si>
    <t>W'</t>
  </si>
  <si>
    <t>W-crit</t>
  </si>
  <si>
    <t>rank sum</t>
  </si>
  <si>
    <t>Reverse Ranks</t>
  </si>
  <si>
    <t>Non-smokers</t>
  </si>
  <si>
    <t>Smokers</t>
  </si>
  <si>
    <t>Ranked Data</t>
  </si>
  <si>
    <t>Non-S</t>
  </si>
  <si>
    <t>Test via normal distribution</t>
  </si>
  <si>
    <t>Mann-Whitney U Test</t>
  </si>
  <si>
    <t>U</t>
  </si>
  <si>
    <t>U-crit</t>
  </si>
  <si>
    <t>Abs Diff</t>
  </si>
  <si>
    <t>Wilcoxon Signed-Rank Test for Paired Samples</t>
  </si>
  <si>
    <t>Rank of Abs Diff</t>
  </si>
  <si>
    <t>Positive Ranks</t>
  </si>
  <si>
    <t>Negative Ranks</t>
  </si>
  <si>
    <t>T-crit</t>
  </si>
  <si>
    <t>Right</t>
  </si>
  <si>
    <t>Left</t>
  </si>
  <si>
    <t>Couple</t>
  </si>
  <si>
    <t>Wife</t>
  </si>
  <si>
    <t>Husband</t>
  </si>
  <si>
    <t>W test</t>
  </si>
  <si>
    <t>min(W,W')</t>
  </si>
  <si>
    <t>Ranks -</t>
  </si>
  <si>
    <t>Ranks +</t>
  </si>
  <si>
    <t>Critical values for W with alpha = .10, two-tailed</t>
  </si>
  <si>
    <t>Critical values for W with alpha = .02, two-tailed</t>
  </si>
  <si>
    <t/>
  </si>
  <si>
    <t>SignRank</t>
  </si>
  <si>
    <t>Table of Critical Values for Wilcoxon Signed Rank Test</t>
  </si>
  <si>
    <t>Wilcoxon Signed-Ranks Test for Paired Samples</t>
  </si>
  <si>
    <t>Concise Table of Contents</t>
  </si>
  <si>
    <t>Non-parametric Tests</t>
  </si>
  <si>
    <t>Tables</t>
  </si>
  <si>
    <t>Wilcoxon's Rank Sum Table for Independent Samples</t>
  </si>
  <si>
    <t>Sign test</t>
  </si>
  <si>
    <t>Wilcoxon rank-sum test for independent samples</t>
  </si>
  <si>
    <t>Mann-Whitney test</t>
  </si>
  <si>
    <t>Wilcoxon signed-ranks test</t>
  </si>
  <si>
    <t>Wilcoxon Signed-Rank Test for Paired Samples (Example 1)</t>
  </si>
  <si>
    <t>Signed-Rank test for paired samples normal approximation (Example 2)</t>
  </si>
  <si>
    <t>Signed Rank test for one sample (Example 3)</t>
  </si>
  <si>
    <t>Wilcoxon Rank Sum Test for Independent Samples (Example 1)</t>
  </si>
  <si>
    <t>Wilcoxon Rank Sum Test unequal sample sizes (Example 2)</t>
  </si>
  <si>
    <t>Wilcoxon Rank Sum Test normal approximation (Example 3)</t>
  </si>
  <si>
    <t>Mann-Whitney U Test (Example 1)</t>
  </si>
  <si>
    <t>Mann-Whitney U Test normal approximation (Example 2)</t>
  </si>
  <si>
    <t>Wilcoxon Rank Sum Test and assumptions (Figure 2)</t>
  </si>
  <si>
    <t>z score</t>
  </si>
  <si>
    <t>Box Plot</t>
  </si>
  <si>
    <t>Shapiro-Wilk Test</t>
  </si>
  <si>
    <t>normal</t>
  </si>
  <si>
    <t>Mann-Whitney Test for Two Independent Samples</t>
  </si>
  <si>
    <t># unequal</t>
  </si>
  <si>
    <t>T+</t>
  </si>
  <si>
    <t>T-</t>
  </si>
  <si>
    <t>Wilcoxon Signed-Rank Test for a Single Sample</t>
  </si>
  <si>
    <t>sample median</t>
  </si>
  <si>
    <t>pop median</t>
  </si>
  <si>
    <t>one tail</t>
  </si>
  <si>
    <t>two tail</t>
  </si>
  <si>
    <t>Real Statistics data analysis tool</t>
  </si>
  <si>
    <t>tot</t>
  </si>
  <si>
    <t>cum</t>
  </si>
  <si>
    <t>=MANN(A6:D15,E6:H15)</t>
  </si>
  <si>
    <t>min</t>
  </si>
  <si>
    <t>max</t>
  </si>
  <si>
    <t>2 tail test</t>
  </si>
  <si>
    <t>1-tail</t>
  </si>
  <si>
    <t>2-tail</t>
  </si>
  <si>
    <t>http://facultyweb.berry.edu/vbissonnette/tables/mwu.pdf</t>
  </si>
  <si>
    <t>Real Statistics functions</t>
  </si>
  <si>
    <t>Critical values for U with alpha = .005, two-tailed</t>
  </si>
  <si>
    <t>http://coaps.fsu.edu/pub/williams/Misc/2283111.pdf</t>
  </si>
  <si>
    <t>Critical values for U with alpha = .20, two-tailed</t>
  </si>
  <si>
    <t>http://sphweb.bumc.bu.edu/otlt/MPH-Modules/BS/BS704_Nonparametric/Wilcoxon-Signed%20Rank-Table.pdf</t>
  </si>
  <si>
    <t>http://www.watpon.com/table/t_signedranktest.pdf</t>
  </si>
  <si>
    <t>N+</t>
  </si>
  <si>
    <t>N-</t>
  </si>
  <si>
    <t>N</t>
  </si>
  <si>
    <t>Mood's Median Test</t>
  </si>
  <si>
    <t>One-sample sign test (Example 1)</t>
  </si>
  <si>
    <t>Mood's median test (Example 2)</t>
  </si>
  <si>
    <t>&gt; Median</t>
  </si>
  <si>
    <t>&lt;= Median</t>
  </si>
  <si>
    <t>=CHI_STAT(F6:G7)</t>
  </si>
  <si>
    <t>=CHI_TEST(F6:G7)</t>
  </si>
  <si>
    <t>Real Statistics function</t>
  </si>
  <si>
    <t>Tails</t>
  </si>
  <si>
    <t>values for alpha = .2 and .002</t>
  </si>
  <si>
    <t>other values:</t>
  </si>
  <si>
    <t>http://onlinelibrary.wiley.com/doi/10.1002/9780470776124.app1/pdf</t>
  </si>
  <si>
    <t>w/o ties correction</t>
  </si>
  <si>
    <t>Wilcoxon Signed Ranks Test</t>
  </si>
  <si>
    <t>Permutation functions (one tail)</t>
  </si>
  <si>
    <t>Permutation functions (two tail)</t>
  </si>
  <si>
    <t>Permutation distribution</t>
  </si>
  <si>
    <t>Exact test</t>
  </si>
  <si>
    <t>Wilcoxon Signed Ranks Test - Exact Test</t>
  </si>
  <si>
    <t>Wilcoxon Signed Ranks Exact Test</t>
  </si>
  <si>
    <t>Wilcoxon Rank Sum Exact Test</t>
  </si>
  <si>
    <t>=WCRIT(H5,I5,H8,2)</t>
  </si>
  <si>
    <t>=WCRIT(H40,I40,H23,2)</t>
  </si>
  <si>
    <t>Exact test (Example 4)</t>
  </si>
  <si>
    <t>Permutation distribution via Real Statistics functions</t>
  </si>
  <si>
    <t>=WCRIT(H22,I22,H25,H26)</t>
  </si>
  <si>
    <t>Mann-Whitney Exact Test</t>
  </si>
  <si>
    <t>R1</t>
  </si>
  <si>
    <t>U1</t>
  </si>
  <si>
    <t>R2</t>
  </si>
  <si>
    <t>U2</t>
  </si>
  <si>
    <t>Mann-Whitney Test</t>
  </si>
  <si>
    <t>Exact Test</t>
  </si>
  <si>
    <t>Exact test (modifying Permutation distribution)</t>
  </si>
  <si>
    <t>Example 2 using Real Statistics function with two arguments</t>
  </si>
  <si>
    <t>Using Excel Real Statistics function</t>
  </si>
  <si>
    <t>Use of Real Statistics functions</t>
  </si>
  <si>
    <t>cum %</t>
  </si>
  <si>
    <t>left</t>
  </si>
  <si>
    <t>right</t>
  </si>
  <si>
    <t>Non-Smo</t>
  </si>
  <si>
    <t>=K9+K11*NORM.S.INV(K4/2)-0.05</t>
  </si>
  <si>
    <t>=2*(1-NORM.S.DIST(K12,TRUE))</t>
  </si>
  <si>
    <t>ties</t>
  </si>
  <si>
    <t>two tailed</t>
  </si>
  <si>
    <t>Sign Test confidence intervals</t>
  </si>
  <si>
    <t>1-α</t>
  </si>
  <si>
    <t>Confidence interval for sign test</t>
  </si>
  <si>
    <t>Confidence Intervals for the Wilcoxon Signed-Rank Test for Paired Samples</t>
  </si>
  <si>
    <t>Confidence Intervals for the Mann-Whitney test</t>
  </si>
  <si>
    <t>Continuity and ties correction</t>
  </si>
  <si>
    <t>Continuity correction</t>
  </si>
  <si>
    <t>Ties correction</t>
  </si>
  <si>
    <t>w/o ties or continuity</t>
  </si>
  <si>
    <t>w/o continuity</t>
  </si>
  <si>
    <t>Grand Min</t>
  </si>
  <si>
    <t>U-crit+</t>
  </si>
  <si>
    <t>=NORM.S.INV(1-AY4/2)</t>
  </si>
  <si>
    <t>=MANN_CONF(A4:D13,E4:H13,TRUE)</t>
  </si>
  <si>
    <t>=2*NORM.DIST(AY9,AY5*AY6/2,SQRT(AY5*AY6*(AY5+AY6+1)/12),TRUE)</t>
  </si>
  <si>
    <t>=2*NORM.DIST(AY14,AY5*AY6/2,SQRT(AY5*AY6*(AY5+AY6+1)/12),TRUE)</t>
  </si>
  <si>
    <t>T-crit+</t>
  </si>
  <si>
    <t>Confidence Interval</t>
  </si>
  <si>
    <t>Confidence Interval using normal approximation</t>
  </si>
  <si>
    <t>Difference</t>
  </si>
  <si>
    <t>W-stat</t>
  </si>
  <si>
    <t>d'Agostino-Pearson</t>
  </si>
  <si>
    <t>DA-stat</t>
  </si>
  <si>
    <t>Max</t>
  </si>
  <si>
    <t>Outliers</t>
  </si>
  <si>
    <t>yates</t>
  </si>
  <si>
    <t>p-norm</t>
  </si>
  <si>
    <t>p-exact</t>
  </si>
  <si>
    <t>p-simul</t>
  </si>
  <si>
    <t>MW_TEST</t>
  </si>
  <si>
    <t>=-NORM.S.INV(W18)</t>
  </si>
  <si>
    <t>=T14+T16*NORM.S.INV(T11)</t>
  </si>
  <si>
    <t>=1-NORM.S.DIST(T17,TRUE)</t>
  </si>
  <si>
    <t>SR_TEST(ties + continuity)</t>
  </si>
  <si>
    <t>table lookup</t>
  </si>
  <si>
    <t>SR_TEST(no ties or continuity)</t>
  </si>
  <si>
    <t>Real Statistics functions (no ties, no cont)</t>
  </si>
  <si>
    <t>p (1 tail)</t>
  </si>
  <si>
    <t>p (2 tails)</t>
  </si>
  <si>
    <t>Real Statistics functions (default)</t>
  </si>
  <si>
    <t>SR_SIMUL</t>
  </si>
  <si>
    <t>Table of Critical Values for Wilcoxon Matched Pairs Signed Rank Test</t>
  </si>
  <si>
    <t>p (2 tail)</t>
  </si>
  <si>
    <t>Signed-ranks exact test</t>
  </si>
  <si>
    <t>Wilcoxon's Signed Ranks Table</t>
  </si>
  <si>
    <t>SR_TEST (w/o ties + continuity)</t>
  </si>
  <si>
    <t>SR_TEST (ties + continuity)</t>
  </si>
  <si>
    <t>SR_TEST (w/o ties or continuity)</t>
  </si>
  <si>
    <t>SR_TEST (ties w/o continuity)</t>
  </si>
  <si>
    <t>Paired samples</t>
  </si>
  <si>
    <t>QQ Plot - Difference</t>
  </si>
  <si>
    <t>Hyp Med</t>
  </si>
  <si>
    <t>Multiple t tests</t>
  </si>
  <si>
    <t>M1</t>
  </si>
  <si>
    <t>M2</t>
  </si>
  <si>
    <t>M3</t>
  </si>
  <si>
    <t>M4</t>
  </si>
  <si>
    <t>Pairwise Mann-Whitney tests</t>
  </si>
  <si>
    <t>Pairwise Mann-Whitney exact tests</t>
  </si>
  <si>
    <t>Benjamini-Hochberg Method</t>
  </si>
  <si>
    <t>group 1</t>
  </si>
  <si>
    <t>group 2</t>
  </si>
  <si>
    <t>FDR</t>
  </si>
  <si>
    <t># of tests</t>
  </si>
  <si>
    <t>rank</t>
  </si>
  <si>
    <t>Multiple paired signed-ranks tests</t>
  </si>
  <si>
    <t>T1</t>
  </si>
  <si>
    <t>T2</t>
  </si>
  <si>
    <t>T3</t>
  </si>
  <si>
    <t>T4</t>
  </si>
  <si>
    <t>Pairwise Signed-ranks tests</t>
  </si>
  <si>
    <t>Pairwise Signed-ranks exact tests</t>
  </si>
  <si>
    <t>Hochberg's Method</t>
  </si>
  <si>
    <t>Multiple Mann-Whitney tests</t>
  </si>
  <si>
    <t>Multiple Signed-Ranks tests</t>
  </si>
  <si>
    <t>Cliff's Delta effect size</t>
  </si>
  <si>
    <t>Mann-Whitney and related tests</t>
  </si>
  <si>
    <t>Signed ranks test</t>
  </si>
  <si>
    <t>Sign and related tests</t>
  </si>
  <si>
    <t>Real Statistics Using Excel - Examples Workbook Non-parametric 1</t>
  </si>
  <si>
    <t>Trinomial test</t>
  </si>
  <si>
    <r>
      <t xml:space="preserve">Cliff's </t>
    </r>
    <r>
      <rPr>
        <sz val="11"/>
        <color theme="1"/>
        <rFont val="Calibri"/>
        <family val="2"/>
      </rPr>
      <t>δ</t>
    </r>
  </si>
  <si>
    <t>Cliff's Delta</t>
  </si>
  <si>
    <t>Trinomial Test</t>
  </si>
  <si>
    <t>n+</t>
  </si>
  <si>
    <t>p0</t>
  </si>
  <si>
    <t>n-</t>
  </si>
  <si>
    <t>n0</t>
  </si>
  <si>
    <t>(1-p0)/2</t>
  </si>
  <si>
    <t>d</t>
  </si>
  <si>
    <t>d/k</t>
  </si>
  <si>
    <t>2 tailed</t>
  </si>
  <si>
    <t>p(d)</t>
  </si>
  <si>
    <t>=NORM.S.DIST(RAND(),1,1)</t>
  </si>
  <si>
    <t>=NORM.S.DIST(RAND(),2,1)</t>
  </si>
  <si>
    <t>Power of MW Test</t>
  </si>
  <si>
    <t>effect 1</t>
  </si>
  <si>
    <t>effect 2</t>
  </si>
  <si>
    <t>size 1</t>
  </si>
  <si>
    <t>size 2</t>
  </si>
  <si>
    <t>iterations</t>
  </si>
  <si>
    <t>power</t>
  </si>
  <si>
    <t>=MW_POWER(B4,B5,B6,B7,B8,"norm",2,TRUE,TRUE,0.05)</t>
  </si>
  <si>
    <t>effect</t>
  </si>
  <si>
    <t>size</t>
  </si>
  <si>
    <t>=SR_POWER(B3,B4,B5,"logistic")</t>
  </si>
  <si>
    <t>MW Power</t>
  </si>
  <si>
    <t>MW power and sample size</t>
  </si>
  <si>
    <t>Signed-ranks power and sample size</t>
  </si>
  <si>
    <t>Copyright © 2013 - 2020 Charles Zaiontz</t>
  </si>
  <si>
    <t>row</t>
  </si>
  <si>
    <t>col</t>
  </si>
  <si>
    <t>cells</t>
  </si>
  <si>
    <t>devsq</t>
  </si>
  <si>
    <t>var0</t>
  </si>
  <si>
    <t>var</t>
  </si>
  <si>
    <t>s.e.</t>
  </si>
  <si>
    <t>zcrit</t>
  </si>
  <si>
    <t>delta</t>
  </si>
  <si>
    <t>Charles Zaiontz, 19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</si>
</sst>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  <xf numFmtId="9" fontId="1" fillId="0" borderId="0" applyFont="0" applyFill="0" applyBorder="0" applyAlignment="0" applyProtection="0"/>
  </cellStyleXfs>
  <cellXfs count="228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/>
    <xf numFmtId="0" fontId="0" fillId="0" borderId="0" xfId="0" applyFon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0" fillId="0" borderId="11" xfId="0" applyFill="1" applyBorder="1" applyAlignment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/>
    <xf numFmtId="0" fontId="0" fillId="0" borderId="0" xfId="0" applyFill="1" applyBorder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Border="1" applyAlignment="1">
      <alignment horizontal="right"/>
    </xf>
    <xf numFmtId="0" fontId="0" fillId="0" borderId="0" xfId="0" quotePrefix="1" applyFill="1" applyBorder="1" applyAlignment="1">
      <alignment horizontal="right"/>
    </xf>
    <xf numFmtId="0" fontId="0" fillId="0" borderId="0" xfId="0" quotePrefix="1" applyAlignment="1">
      <alignment horizontal="right"/>
    </xf>
    <xf numFmtId="0" fontId="9" fillId="0" borderId="0" xfId="0" applyFont="1" applyBorder="1"/>
    <xf numFmtId="0" fontId="0" fillId="0" borderId="0" xfId="0" applyAlignment="1">
      <alignment horizontal="center" vertical="center" wrapText="1"/>
    </xf>
    <xf numFmtId="0" fontId="6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0" fillId="0" borderId="12" xfId="0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1" xfId="0" applyBorder="1"/>
    <xf numFmtId="0" fontId="0" fillId="0" borderId="26" xfId="0" applyBorder="1" applyAlignment="1">
      <alignment horizontal="center"/>
    </xf>
    <xf numFmtId="0" fontId="0" fillId="0" borderId="23" xfId="0" applyBorder="1"/>
    <xf numFmtId="0" fontId="0" fillId="0" borderId="26" xfId="0" applyFill="1" applyBorder="1"/>
    <xf numFmtId="0" fontId="0" fillId="0" borderId="21" xfId="0" applyFill="1" applyBorder="1"/>
    <xf numFmtId="0" fontId="0" fillId="0" borderId="25" xfId="0" applyBorder="1" applyAlignment="1">
      <alignment horizontal="right"/>
    </xf>
    <xf numFmtId="0" fontId="0" fillId="0" borderId="0" xfId="0" applyAlignment="1">
      <alignment horizontal="center"/>
    </xf>
    <xf numFmtId="0" fontId="5" fillId="0" borderId="10" xfId="0" applyFont="1" applyFill="1" applyBorder="1" applyAlignment="1">
      <alignment horizontal="center"/>
    </xf>
    <xf numFmtId="0" fontId="0" fillId="0" borderId="24" xfId="0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1" fontId="6" fillId="0" borderId="24" xfId="0" applyNumberFormat="1" applyFont="1" applyBorder="1" applyAlignment="1">
      <alignment horizontal="center"/>
    </xf>
    <xf numFmtId="1" fontId="6" fillId="0" borderId="18" xfId="0" applyNumberFormat="1" applyFont="1" applyBorder="1" applyAlignment="1">
      <alignment horizontal="center"/>
    </xf>
    <xf numFmtId="1" fontId="0" fillId="0" borderId="19" xfId="0" applyNumberFormat="1" applyBorder="1"/>
    <xf numFmtId="0" fontId="0" fillId="0" borderId="26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 vertical="center" wrapText="1"/>
    </xf>
    <xf numFmtId="0" fontId="0" fillId="0" borderId="27" xfId="0" applyBorder="1"/>
    <xf numFmtId="0" fontId="6" fillId="0" borderId="0" xfId="0" applyFont="1" applyFill="1" applyBorder="1" applyAlignment="1">
      <alignment horizontal="left"/>
    </xf>
    <xf numFmtId="0" fontId="6" fillId="0" borderId="34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0" fillId="0" borderId="35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16" xfId="0" quotePrefix="1" applyBorder="1" applyAlignment="1">
      <alignment horizontal="right"/>
    </xf>
    <xf numFmtId="0" fontId="0" fillId="0" borderId="38" xfId="0" applyBorder="1"/>
    <xf numFmtId="0" fontId="0" fillId="0" borderId="39" xfId="0" applyBorder="1"/>
    <xf numFmtId="0" fontId="9" fillId="0" borderId="0" xfId="0" applyFont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2" borderId="26" xfId="0" applyFill="1" applyBorder="1"/>
    <xf numFmtId="0" fontId="0" fillId="2" borderId="21" xfId="0" applyFill="1" applyBorder="1"/>
    <xf numFmtId="0" fontId="0" fillId="0" borderId="21" xfId="0" applyFont="1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/>
    <xf numFmtId="0" fontId="0" fillId="0" borderId="45" xfId="0" applyFill="1" applyBorder="1"/>
    <xf numFmtId="164" fontId="0" fillId="0" borderId="21" xfId="4" applyNumberFormat="1" applyFont="1" applyBorder="1"/>
    <xf numFmtId="164" fontId="0" fillId="0" borderId="17" xfId="4" applyNumberFormat="1" applyFont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45" xfId="0" applyBorder="1" applyAlignment="1">
      <alignment horizontal="right"/>
    </xf>
    <xf numFmtId="0" fontId="0" fillId="2" borderId="0" xfId="0" applyFill="1" applyBorder="1"/>
    <xf numFmtId="0" fontId="5" fillId="0" borderId="4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47" xfId="0" applyFont="1" applyBorder="1"/>
    <xf numFmtId="0" fontId="0" fillId="0" borderId="3" xfId="0" applyFont="1" applyBorder="1"/>
    <xf numFmtId="0" fontId="0" fillId="0" borderId="41" xfId="0" applyFont="1" applyBorder="1"/>
    <xf numFmtId="0" fontId="9" fillId="0" borderId="21" xfId="0" applyFont="1" applyFill="1" applyBorder="1"/>
    <xf numFmtId="0" fontId="9" fillId="0" borderId="17" xfId="0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9" fillId="0" borderId="0" xfId="0" applyFont="1" applyFill="1" applyBorder="1"/>
    <xf numFmtId="0" fontId="9" fillId="0" borderId="47" xfId="0" quotePrefix="1" applyFont="1" applyBorder="1" applyAlignment="1">
      <alignment horizontal="right"/>
    </xf>
    <xf numFmtId="0" fontId="9" fillId="0" borderId="0" xfId="0" quotePrefix="1" applyFont="1" applyBorder="1" applyAlignment="1">
      <alignment horizontal="right"/>
    </xf>
    <xf numFmtId="0" fontId="9" fillId="0" borderId="51" xfId="0" quotePrefix="1" applyFont="1" applyBorder="1" applyAlignment="1">
      <alignment horizontal="right"/>
    </xf>
    <xf numFmtId="0" fontId="9" fillId="0" borderId="21" xfId="0" quotePrefix="1" applyFont="1" applyBorder="1" applyAlignment="1">
      <alignment horizontal="right"/>
    </xf>
    <xf numFmtId="0" fontId="9" fillId="0" borderId="47" xfId="0" applyFont="1" applyBorder="1"/>
    <xf numFmtId="0" fontId="9" fillId="0" borderId="45" xfId="0" applyFont="1" applyFill="1" applyBorder="1"/>
    <xf numFmtId="0" fontId="9" fillId="0" borderId="47" xfId="0" applyFont="1" applyFill="1" applyBorder="1"/>
    <xf numFmtId="0" fontId="9" fillId="0" borderId="51" xfId="0" applyFont="1" applyFill="1" applyBorder="1"/>
    <xf numFmtId="0" fontId="0" fillId="2" borderId="0" xfId="0" applyFont="1" applyFill="1"/>
    <xf numFmtId="0" fontId="0" fillId="2" borderId="50" xfId="0" applyFill="1" applyBorder="1"/>
    <xf numFmtId="0" fontId="0" fillId="2" borderId="47" xfId="0" applyFill="1" applyBorder="1"/>
    <xf numFmtId="0" fontId="9" fillId="2" borderId="47" xfId="0" applyFont="1" applyFill="1" applyBorder="1"/>
    <xf numFmtId="0" fontId="0" fillId="2" borderId="51" xfId="0" applyFill="1" applyBorder="1"/>
    <xf numFmtId="0" fontId="0" fillId="2" borderId="0" xfId="0" applyFill="1"/>
    <xf numFmtId="0" fontId="0" fillId="2" borderId="16" xfId="0" applyFill="1" applyBorder="1"/>
    <xf numFmtId="0" fontId="0" fillId="2" borderId="45" xfId="0" applyFill="1" applyBorder="1"/>
    <xf numFmtId="0" fontId="0" fillId="2" borderId="17" xfId="0" applyFill="1" applyBorder="1"/>
    <xf numFmtId="0" fontId="2" fillId="2" borderId="0" xfId="0" applyFont="1" applyFill="1"/>
    <xf numFmtId="0" fontId="9" fillId="2" borderId="0" xfId="0" applyFont="1" applyFill="1"/>
    <xf numFmtId="0" fontId="0" fillId="0" borderId="5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0" fillId="0" borderId="3" xfId="4" applyNumberFormat="1" applyFont="1" applyBorder="1"/>
    <xf numFmtId="0" fontId="0" fillId="0" borderId="52" xfId="0" applyBorder="1"/>
    <xf numFmtId="0" fontId="0" fillId="0" borderId="53" xfId="0" applyBorder="1" applyAlignment="1">
      <alignment horizontal="right"/>
    </xf>
    <xf numFmtId="0" fontId="0" fillId="0" borderId="53" xfId="0" applyBorder="1"/>
    <xf numFmtId="0" fontId="0" fillId="0" borderId="53" xfId="0" applyBorder="1" applyAlignment="1">
      <alignment horizontal="center"/>
    </xf>
    <xf numFmtId="0" fontId="0" fillId="0" borderId="53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2" xfId="0" applyBorder="1"/>
    <xf numFmtId="0" fontId="0" fillId="0" borderId="63" xfId="0" applyBorder="1"/>
    <xf numFmtId="0" fontId="0" fillId="0" borderId="61" xfId="0" applyBorder="1"/>
    <xf numFmtId="0" fontId="0" fillId="0" borderId="64" xfId="0" applyBorder="1"/>
    <xf numFmtId="0" fontId="0" fillId="0" borderId="65" xfId="0" applyBorder="1"/>
    <xf numFmtId="0" fontId="0" fillId="0" borderId="66" xfId="0" applyBorder="1" applyAlignment="1">
      <alignment horizontal="center"/>
    </xf>
    <xf numFmtId="2" fontId="0" fillId="0" borderId="53" xfId="0" applyNumberFormat="1" applyBorder="1"/>
    <xf numFmtId="0" fontId="0" fillId="0" borderId="45" xfId="0" applyBorder="1" applyAlignment="1">
      <alignment horizontal="center"/>
    </xf>
    <xf numFmtId="0" fontId="0" fillId="0" borderId="66" xfId="0" applyBorder="1" applyAlignment="1">
      <alignment horizontal="right"/>
    </xf>
    <xf numFmtId="0" fontId="0" fillId="0" borderId="66" xfId="0" applyBorder="1"/>
    <xf numFmtId="1" fontId="6" fillId="0" borderId="0" xfId="0" applyNumberFormat="1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1" fontId="6" fillId="0" borderId="45" xfId="0" applyNumberFormat="1" applyFont="1" applyBorder="1" applyAlignment="1">
      <alignment horizontal="center"/>
    </xf>
    <xf numFmtId="0" fontId="6" fillId="0" borderId="66" xfId="0" applyFont="1" applyBorder="1" applyAlignment="1">
      <alignment horizontal="center"/>
    </xf>
    <xf numFmtId="0" fontId="6" fillId="0" borderId="66" xfId="0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45" xfId="0" applyNumberFormat="1" applyBorder="1" applyAlignment="1">
      <alignment horizontal="center"/>
    </xf>
    <xf numFmtId="0" fontId="0" fillId="0" borderId="66" xfId="0" applyBorder="1" applyAlignment="1">
      <alignment horizontal="center" vertical="center" wrapText="1"/>
    </xf>
    <xf numFmtId="1" fontId="6" fillId="0" borderId="45" xfId="0" applyNumberFormat="1" applyFont="1" applyFill="1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0" fontId="0" fillId="0" borderId="6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57" xfId="0" applyBorder="1" applyAlignment="1">
      <alignment horizontal="right"/>
    </xf>
    <xf numFmtId="0" fontId="0" fillId="0" borderId="24" xfId="0" applyFill="1" applyBorder="1" applyAlignment="1">
      <alignment horizontal="right"/>
    </xf>
    <xf numFmtId="0" fontId="0" fillId="0" borderId="66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wrapText="1"/>
    </xf>
    <xf numFmtId="2" fontId="0" fillId="0" borderId="53" xfId="0" applyNumberFormat="1" applyBorder="1" applyAlignment="1">
      <alignment horizontal="right"/>
    </xf>
    <xf numFmtId="0" fontId="0" fillId="0" borderId="53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/>
    </xf>
    <xf numFmtId="0" fontId="6" fillId="0" borderId="65" xfId="0" applyFont="1" applyBorder="1" applyAlignment="1">
      <alignment horizontal="center"/>
    </xf>
    <xf numFmtId="1" fontId="6" fillId="0" borderId="65" xfId="0" applyNumberFormat="1" applyFont="1" applyBorder="1" applyAlignment="1">
      <alignment horizontal="center"/>
    </xf>
    <xf numFmtId="1" fontId="0" fillId="0" borderId="60" xfId="0" applyNumberFormat="1" applyBorder="1"/>
    <xf numFmtId="0" fontId="0" fillId="0" borderId="5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7" xfId="0" applyFill="1" applyBorder="1"/>
    <xf numFmtId="0" fontId="0" fillId="0" borderId="24" xfId="0" applyFill="1" applyBorder="1"/>
    <xf numFmtId="0" fontId="13" fillId="0" borderId="21" xfId="0" applyFont="1" applyBorder="1"/>
    <xf numFmtId="0" fontId="0" fillId="0" borderId="18" xfId="0" applyFill="1" applyBorder="1"/>
    <xf numFmtId="0" fontId="0" fillId="0" borderId="16" xfId="0" applyFill="1" applyBorder="1"/>
    <xf numFmtId="0" fontId="0" fillId="0" borderId="4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Percent" xfId="4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'Sign Test'!$G$4:$G$9</c:f>
              <c:strCach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More</c:v>
                </c:pt>
              </c:strCache>
            </c:strRef>
          </c:cat>
          <c:val>
            <c:numRef>
              <c:f>'Sign Test'!$H$4:$H$9</c:f>
              <c:numCache>
                <c:formatCode>General</c:formatCode>
                <c:ptCount val="6"/>
                <c:pt idx="0">
                  <c:v>7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D-4EE6-91F8-82441B38B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250472"/>
        <c:axId val="883327832"/>
      </c:barChart>
      <c:catAx>
        <c:axId val="521250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883327832"/>
        <c:crosses val="autoZero"/>
        <c:auto val="1"/>
        <c:lblAlgn val="ctr"/>
        <c:lblOffset val="100"/>
        <c:noMultiLvlLbl val="0"/>
      </c:catAx>
      <c:valAx>
        <c:axId val="883327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1250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'Sign Test'!$Q$4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'Sign Test'!$R$3</c:f>
              <c:strCache>
                <c:ptCount val="1"/>
                <c:pt idx="0">
                  <c:v>Memory</c:v>
                </c:pt>
              </c:strCache>
            </c:strRef>
          </c:cat>
          <c:val>
            <c:numRef>
              <c:f>'Sign Test'!$R$4</c:f>
              <c:numCache>
                <c:formatCode>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3-4A85-BDB5-51343A1808FB}"/>
            </c:ext>
          </c:extLst>
        </c:ser>
        <c:ser>
          <c:idx val="1"/>
          <c:order val="1"/>
          <c:tx>
            <c:strRef>
              <c:f>'Sign Test'!$Q$5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'Sign Test'!$R$3</c:f>
              <c:strCache>
                <c:ptCount val="1"/>
                <c:pt idx="0">
                  <c:v>Memory</c:v>
                </c:pt>
              </c:strCache>
            </c:strRef>
          </c:cat>
          <c:val>
            <c:numRef>
              <c:f>'Sign Test'!$R$5</c:f>
              <c:numCache>
                <c:formatCode>0</c:formatCode>
                <c:ptCount val="1"/>
                <c:pt idx="0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B3-4A85-BDB5-51343A1808FB}"/>
            </c:ext>
          </c:extLst>
        </c:ser>
        <c:ser>
          <c:idx val="2"/>
          <c:order val="2"/>
          <c:tx>
            <c:strRef>
              <c:f>'Sign Test'!$Q$6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'Sign Test'!$R$3</c:f>
              <c:strCache>
                <c:ptCount val="1"/>
                <c:pt idx="0">
                  <c:v>Memory</c:v>
                </c:pt>
              </c:strCache>
            </c:strRef>
          </c:cat>
          <c:val>
            <c:numRef>
              <c:f>'Sign Test'!$R$6</c:f>
              <c:numCache>
                <c:formatCode>0</c:formatCode>
                <c:ptCount val="1"/>
                <c:pt idx="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B3-4A85-BDB5-51343A1808FB}"/>
            </c:ext>
          </c:extLst>
        </c:ser>
        <c:ser>
          <c:idx val="3"/>
          <c:order val="3"/>
          <c:tx>
            <c:strRef>
              <c:f>'Sign Test'!$Q$7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'Sign Test'!$R$8</c:f>
                <c:numCache>
                  <c:formatCode>General</c:formatCode>
                  <c:ptCount val="1"/>
                  <c:pt idx="0">
                    <c:v>27.5</c:v>
                  </c:pt>
                </c:numCache>
              </c:numRef>
            </c:plus>
          </c:errBars>
          <c:cat>
            <c:strRef>
              <c:f>'Sign Test'!$R$3</c:f>
              <c:strCache>
                <c:ptCount val="1"/>
                <c:pt idx="0">
                  <c:v>Memory</c:v>
                </c:pt>
              </c:strCache>
            </c:strRef>
          </c:cat>
          <c:val>
            <c:numRef>
              <c:f>'Sign Test'!$R$7</c:f>
              <c:numCache>
                <c:formatCode>0</c:formatCode>
                <c:ptCount val="1"/>
                <c:pt idx="0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B3-4A85-BDB5-51343A180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3329400"/>
        <c:axId val="883328224"/>
      </c:barChart>
      <c:catAx>
        <c:axId val="883329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3328224"/>
        <c:crosses val="autoZero"/>
        <c:auto val="1"/>
        <c:lblAlgn val="ctr"/>
        <c:lblOffset val="100"/>
        <c:noMultiLvlLbl val="0"/>
      </c:catAx>
      <c:valAx>
        <c:axId val="88332822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883329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'Sign Test'!$H$23:$H$37</c:f>
              <c:numCache>
                <c:formatCode>General</c:formatCode>
                <c:ptCount val="15"/>
                <c:pt idx="0">
                  <c:v>3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45</c:v>
                </c:pt>
                <c:pt idx="13">
                  <c:v>45</c:v>
                </c:pt>
                <c:pt idx="14">
                  <c:v>50</c:v>
                </c:pt>
              </c:numCache>
            </c:numRef>
          </c:xVal>
          <c:yVal>
            <c:numRef>
              <c:f>'Sign Test'!$I$23:$I$37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7-4562-8A82-C700890B5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330576"/>
        <c:axId val="522198912"/>
      </c:scatterChart>
      <c:valAx>
        <c:axId val="88333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2198912"/>
        <c:crosses val="autoZero"/>
        <c:crossBetween val="midCat"/>
      </c:valAx>
      <c:valAx>
        <c:axId val="522198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3330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'Sign A'!$I$4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</a:extLst>
          </c:spPr>
          <c:invertIfNegative val="0"/>
          <c:cat>
            <c:strRef>
              <c:f>'Sign A'!$J$3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'Sign A'!$J$4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1E-4552-B8E0-19FBF1165DF9}"/>
            </c:ext>
          </c:extLst>
        </c:ser>
        <c:ser>
          <c:idx val="1"/>
          <c:order val="1"/>
          <c:tx>
            <c:strRef>
              <c:f>'Sign A'!$I$5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'Sign A'!$J$3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'Sign A'!$J$5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1E-4552-B8E0-19FBF1165DF9}"/>
            </c:ext>
          </c:extLst>
        </c:ser>
        <c:ser>
          <c:idx val="2"/>
          <c:order val="2"/>
          <c:tx>
            <c:strRef>
              <c:f>'Sign A'!$I$6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'Sign A'!$J$3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'Sign A'!$J$6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1E-4552-B8E0-19FBF1165DF9}"/>
            </c:ext>
          </c:extLst>
        </c:ser>
        <c:ser>
          <c:idx val="3"/>
          <c:order val="3"/>
          <c:tx>
            <c:strRef>
              <c:f>'Sign A'!$I$7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'Sign A'!$J$8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</c:errBars>
          <c:cat>
            <c:strRef>
              <c:f>'Sign A'!$J$3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'Sign A'!$J$7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1E-4552-B8E0-19FBF1165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8234296"/>
        <c:axId val="748235864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'Sign A'!$J$9</c:f>
              <c:numCache>
                <c:formatCode>General</c:formatCode>
                <c:ptCount val="1"/>
                <c:pt idx="0">
                  <c:v>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1E-4552-B8E0-19FBF1165DF9}"/>
            </c:ext>
          </c:extLst>
        </c:ser>
        <c:ser>
          <c:idx val="5"/>
          <c:order val="5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xVal>
          <c:yVal>
            <c:numRef>
              <c:f>'Sign A'!$J$20:$J$23</c:f>
              <c:numCache>
                <c:formatCode>General</c:formatCode>
                <c:ptCount val="4"/>
                <c:pt idx="0">
                  <c:v>35</c:v>
                </c:pt>
                <c:pt idx="1">
                  <c:v>-9</c:v>
                </c:pt>
                <c:pt idx="2">
                  <c:v>55</c:v>
                </c:pt>
                <c:pt idx="3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1E-4552-B8E0-19FBF1165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34296"/>
        <c:axId val="748235864"/>
      </c:scatterChart>
      <c:catAx>
        <c:axId val="748234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8235864"/>
        <c:crosses val="autoZero"/>
        <c:auto val="1"/>
        <c:lblAlgn val="ctr"/>
        <c:lblOffset val="100"/>
        <c:noMultiLvlLbl val="0"/>
      </c:catAx>
      <c:valAx>
        <c:axId val="748235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8234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Difference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'Sign A'!$P$8:$P$22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'Sign A'!$Q$8:$Q$22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6E-4EB8-B1EB-2B6BAC8B2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32728"/>
        <c:axId val="748233120"/>
      </c:scatterChart>
      <c:valAx>
        <c:axId val="748232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8233120"/>
        <c:crosses val="autoZero"/>
        <c:crossBetween val="midCat"/>
      </c:valAx>
      <c:valAx>
        <c:axId val="748233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8232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Control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'Wilcoxon 1'!$E$10:$E$21</c:f>
              <c:numCache>
                <c:formatCode>General</c:formatCode>
                <c:ptCount val="12"/>
                <c:pt idx="0">
                  <c:v>4</c:v>
                </c:pt>
                <c:pt idx="1">
                  <c:v>9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18</c:v>
                </c:pt>
                <c:pt idx="9">
                  <c:v>26</c:v>
                </c:pt>
                <c:pt idx="10">
                  <c:v>31</c:v>
                </c:pt>
                <c:pt idx="11">
                  <c:v>34</c:v>
                </c:pt>
              </c:numCache>
            </c:numRef>
          </c:xVal>
          <c:yVal>
            <c:numRef>
              <c:f>'Wilcoxon 1'!$F$10:$F$21</c:f>
              <c:numCache>
                <c:formatCode>General</c:formatCode>
                <c:ptCount val="12"/>
                <c:pt idx="0">
                  <c:v>-1.7316643961222451</c:v>
                </c:pt>
                <c:pt idx="1">
                  <c:v>-1.1503493803760083</c:v>
                </c:pt>
                <c:pt idx="2">
                  <c:v>-0.81221780149991241</c:v>
                </c:pt>
                <c:pt idx="3">
                  <c:v>-0.54852228269809788</c:v>
                </c:pt>
                <c:pt idx="4">
                  <c:v>-0.3186393639643752</c:v>
                </c:pt>
                <c:pt idx="5">
                  <c:v>-0.10463345561407539</c:v>
                </c:pt>
                <c:pt idx="6">
                  <c:v>0.10463345561407525</c:v>
                </c:pt>
                <c:pt idx="7">
                  <c:v>0.3186393639643752</c:v>
                </c:pt>
                <c:pt idx="8">
                  <c:v>0.54852228269809822</c:v>
                </c:pt>
                <c:pt idx="9">
                  <c:v>0.81221780149991241</c:v>
                </c:pt>
                <c:pt idx="10">
                  <c:v>1.1503493803760083</c:v>
                </c:pt>
                <c:pt idx="11">
                  <c:v>1.7316643961222455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CB-4CED-8F7F-93313657A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34688"/>
        <c:axId val="748235472"/>
      </c:scatterChart>
      <c:valAx>
        <c:axId val="74823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8235472"/>
        <c:crosses val="autoZero"/>
        <c:crossBetween val="midCat"/>
      </c:valAx>
      <c:valAx>
        <c:axId val="748235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8234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'Wilcoxon 1'!$I$27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'Wilcoxon 1'!$J$26:$K$26</c:f>
              <c:strCache>
                <c:ptCount val="2"/>
                <c:pt idx="0">
                  <c:v>Control</c:v>
                </c:pt>
                <c:pt idx="1">
                  <c:v>Drug</c:v>
                </c:pt>
              </c:strCache>
            </c:strRef>
          </c:cat>
          <c:val>
            <c:numRef>
              <c:f>'Wilcoxon 1'!$J$27:$K$27</c:f>
              <c:numCache>
                <c:formatCode>General</c:formatCode>
                <c:ptCount val="2"/>
                <c:pt idx="0">
                  <c:v>4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7-4821-AFDE-14C1C41C67EE}"/>
            </c:ext>
          </c:extLst>
        </c:ser>
        <c:ser>
          <c:idx val="1"/>
          <c:order val="1"/>
          <c:tx>
            <c:strRef>
              <c:f>'Wilcoxon 1'!$I$28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'Wilcoxon 1'!$J$26:$K$26</c:f>
              <c:strCache>
                <c:ptCount val="2"/>
                <c:pt idx="0">
                  <c:v>Control</c:v>
                </c:pt>
                <c:pt idx="1">
                  <c:v>Drug</c:v>
                </c:pt>
              </c:strCache>
            </c:strRef>
          </c:cat>
          <c:val>
            <c:numRef>
              <c:f>'Wilcoxon 1'!$J$28:$K$28</c:f>
              <c:numCache>
                <c:formatCode>General</c:formatCode>
                <c:ptCount val="2"/>
                <c:pt idx="0">
                  <c:v>7.75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67-4821-AFDE-14C1C41C67EE}"/>
            </c:ext>
          </c:extLst>
        </c:ser>
        <c:ser>
          <c:idx val="2"/>
          <c:order val="2"/>
          <c:tx>
            <c:strRef>
              <c:f>'Wilcoxon 1'!$I$29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'Wilcoxon 1'!$J$26:$K$26</c:f>
              <c:strCache>
                <c:ptCount val="2"/>
                <c:pt idx="0">
                  <c:v>Control</c:v>
                </c:pt>
                <c:pt idx="1">
                  <c:v>Drug</c:v>
                </c:pt>
              </c:strCache>
            </c:strRef>
          </c:cat>
          <c:val>
            <c:numRef>
              <c:f>'Wilcoxon 1'!$J$29:$K$29</c:f>
              <c:numCache>
                <c:formatCode>General</c:formatCode>
                <c:ptCount val="2"/>
                <c:pt idx="0">
                  <c:v>2.75</c:v>
                </c:pt>
                <c:pt idx="1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67-4821-AFDE-14C1C41C67EE}"/>
            </c:ext>
          </c:extLst>
        </c:ser>
        <c:ser>
          <c:idx val="3"/>
          <c:order val="3"/>
          <c:tx>
            <c:strRef>
              <c:f>'Wilcoxon 1'!$I$30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'Wilcoxon 1'!$J$31:$K$31</c:f>
                <c:numCache>
                  <c:formatCode>General</c:formatCode>
                  <c:ptCount val="2"/>
                  <c:pt idx="0">
                    <c:v>14</c:v>
                  </c:pt>
                  <c:pt idx="1">
                    <c:v>4.75</c:v>
                  </c:pt>
                </c:numCache>
              </c:numRef>
            </c:plus>
          </c:errBars>
          <c:cat>
            <c:strRef>
              <c:f>'Wilcoxon 1'!$J$26:$K$26</c:f>
              <c:strCache>
                <c:ptCount val="2"/>
                <c:pt idx="0">
                  <c:v>Control</c:v>
                </c:pt>
                <c:pt idx="1">
                  <c:v>Drug</c:v>
                </c:pt>
              </c:strCache>
            </c:strRef>
          </c:cat>
          <c:val>
            <c:numRef>
              <c:f>'Wilcoxon 1'!$J$30:$K$30</c:f>
              <c:numCache>
                <c:formatCode>General</c:formatCode>
                <c:ptCount val="2"/>
                <c:pt idx="0">
                  <c:v>5.5</c:v>
                </c:pt>
                <c:pt idx="1">
                  <c:v>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67-4821-AFDE-14C1C41C6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0655712"/>
        <c:axId val="780655320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'Wilcoxon 1'!$J$32:$K$32</c:f>
              <c:numCache>
                <c:formatCode>General</c:formatCode>
                <c:ptCount val="2"/>
                <c:pt idx="0">
                  <c:v>17</c:v>
                </c:pt>
                <c:pt idx="1">
                  <c:v>24.333333333333332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67-4821-AFDE-14C1C41C6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655712"/>
        <c:axId val="780655320"/>
      </c:scatterChart>
      <c:catAx>
        <c:axId val="78065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0655320"/>
        <c:crosses val="autoZero"/>
        <c:auto val="1"/>
        <c:lblAlgn val="ctr"/>
        <c:lblOffset val="100"/>
        <c:noMultiLvlLbl val="0"/>
      </c:catAx>
      <c:valAx>
        <c:axId val="780655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0655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'Wilcox Pair 1'!$N$5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'Wilcox Pair 1'!$O$4</c:f>
              <c:strCache>
                <c:ptCount val="1"/>
                <c:pt idx="0">
                  <c:v>Diff</c:v>
                </c:pt>
              </c:strCache>
            </c:strRef>
          </c:cat>
          <c:val>
            <c:numRef>
              <c:f>'Wilcox Pair 1'!$O$5</c:f>
              <c:numCache>
                <c:formatCode>General</c:formatCode>
                <c:ptCount val="1"/>
                <c:pt idx="0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0-4940-8E82-B9B635D8969F}"/>
            </c:ext>
          </c:extLst>
        </c:ser>
        <c:ser>
          <c:idx val="1"/>
          <c:order val="1"/>
          <c:tx>
            <c:strRef>
              <c:f>'Wilcox Pair 1'!$N$6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'Wilcox Pair 1'!$O$4</c:f>
              <c:strCache>
                <c:ptCount val="1"/>
                <c:pt idx="0">
                  <c:v>Diff</c:v>
                </c:pt>
              </c:strCache>
            </c:strRef>
          </c:cat>
          <c:val>
            <c:numRef>
              <c:f>'Wilcox Pair 1'!$O$6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00-4940-8E82-B9B635D8969F}"/>
            </c:ext>
          </c:extLst>
        </c:ser>
        <c:ser>
          <c:idx val="2"/>
          <c:order val="2"/>
          <c:tx>
            <c:strRef>
              <c:f>'Wilcox Pair 1'!$N$7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'Wilcox Pair 1'!$O$4</c:f>
              <c:strCache>
                <c:ptCount val="1"/>
                <c:pt idx="0">
                  <c:v>Diff</c:v>
                </c:pt>
              </c:strCache>
            </c:strRef>
          </c:cat>
          <c:val>
            <c:numRef>
              <c:f>'Wilcox Pair 1'!$O$7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00-4940-8E82-B9B635D8969F}"/>
            </c:ext>
          </c:extLst>
        </c:ser>
        <c:ser>
          <c:idx val="3"/>
          <c:order val="3"/>
          <c:tx>
            <c:strRef>
              <c:f>'Wilcox Pair 1'!$N$8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'Wilcox Pair 1'!$O$9</c:f>
                <c:numCache>
                  <c:formatCode>General</c:formatCode>
                  <c:ptCount val="1"/>
                  <c:pt idx="0">
                    <c:v>16.5</c:v>
                  </c:pt>
                </c:numCache>
              </c:numRef>
            </c:plus>
          </c:errBars>
          <c:cat>
            <c:strRef>
              <c:f>'Wilcox Pair 1'!$O$4</c:f>
              <c:strCache>
                <c:ptCount val="1"/>
                <c:pt idx="0">
                  <c:v>Diff</c:v>
                </c:pt>
              </c:strCache>
            </c:strRef>
          </c:cat>
          <c:val>
            <c:numRef>
              <c:f>'Wilcox Pair 1'!$O$8</c:f>
              <c:numCache>
                <c:formatCode>General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00-4940-8E82-B9B635D89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0654536"/>
        <c:axId val="780652576"/>
      </c:barChart>
      <c:catAx>
        <c:axId val="780654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80652576"/>
        <c:crosses val="autoZero"/>
        <c:auto val="1"/>
        <c:lblAlgn val="ctr"/>
        <c:lblOffset val="100"/>
        <c:noMultiLvlLbl val="0"/>
      </c:catAx>
      <c:valAx>
        <c:axId val="780652576"/>
        <c:scaling>
          <c:orientation val="minMax"/>
          <c:min val="-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0654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2</xdr:row>
      <xdr:rowOff>0</xdr:rowOff>
    </xdr:from>
    <xdr:to>
      <xdr:col>14</xdr:col>
      <xdr:colOff>447675</xdr:colOff>
      <xdr:row>12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533400</xdr:colOff>
      <xdr:row>1</xdr:row>
      <xdr:rowOff>176212</xdr:rowOff>
    </xdr:from>
    <xdr:to>
      <xdr:col>25</xdr:col>
      <xdr:colOff>19050</xdr:colOff>
      <xdr:row>13</xdr:row>
      <xdr:rowOff>122872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381000</xdr:colOff>
      <xdr:row>14</xdr:row>
      <xdr:rowOff>157162</xdr:rowOff>
    </xdr:from>
    <xdr:to>
      <xdr:col>18</xdr:col>
      <xdr:colOff>76200</xdr:colOff>
      <xdr:row>29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0</xdr:row>
      <xdr:rowOff>128587</xdr:rowOff>
    </xdr:from>
    <xdr:to>
      <xdr:col>20</xdr:col>
      <xdr:colOff>495300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190500</xdr:colOff>
      <xdr:row>14</xdr:row>
      <xdr:rowOff>176212</xdr:rowOff>
    </xdr:from>
    <xdr:to>
      <xdr:col>20</xdr:col>
      <xdr:colOff>495300</xdr:colOff>
      <xdr:row>29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33</xdr:row>
      <xdr:rowOff>23812</xdr:rowOff>
    </xdr:from>
    <xdr:to>
      <xdr:col>7</xdr:col>
      <xdr:colOff>590550</xdr:colOff>
      <xdr:row>47</xdr:row>
      <xdr:rowOff>147637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609599</xdr:colOff>
      <xdr:row>33</xdr:row>
      <xdr:rowOff>23812</xdr:rowOff>
    </xdr:from>
    <xdr:to>
      <xdr:col>15</xdr:col>
      <xdr:colOff>392112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1</xdr:row>
      <xdr:rowOff>4762</xdr:rowOff>
    </xdr:from>
    <xdr:to>
      <xdr:col>17</xdr:col>
      <xdr:colOff>542925</xdr:colOff>
      <xdr:row>12</xdr:row>
      <xdr:rowOff>107632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B11"/>
  <sheetViews>
    <sheetView tabSelected="1" zoomScaleNormal="100" workbookViewId="0">
      <selection activeCell="H6" sqref="H6"/>
    </sheetView>
  </sheetViews>
  <sheetFormatPr defaultRowHeight="14.5" x14ac:dyDescent="0.35"/>
  <cols>
    <col min="1" max="1" width="57.54296875" customWidth="1"/>
  </cols>
  <sheetData>
    <row r="1" spans="1:2" x14ac:dyDescent="0.35">
      <c r="A1" s="1" t="s">
        <v>327</v>
      </c>
      <c r="B1" s="1"/>
    </row>
    <row r="2" spans="1:2" x14ac:dyDescent="0.35">
      <c r="A2" s="1" t="s">
        <v>367</v>
      </c>
      <c r="B2" s="1"/>
    </row>
    <row r="3" spans="1:2" x14ac:dyDescent="0.35">
      <c r="A3" s="1"/>
      <c r="B3" s="1"/>
    </row>
    <row r="4" spans="1:2" x14ac:dyDescent="0.35">
      <c r="A4" s="100" t="s">
        <v>357</v>
      </c>
    </row>
    <row r="6" spans="1:2" x14ac:dyDescent="0.35">
      <c r="A6" s="1" t="s">
        <v>154</v>
      </c>
    </row>
    <row r="8" spans="1:2" x14ac:dyDescent="0.35">
      <c r="A8" s="2" t="s">
        <v>326</v>
      </c>
    </row>
    <row r="9" spans="1:2" x14ac:dyDescent="0.35">
      <c r="A9" s="2" t="s">
        <v>324</v>
      </c>
    </row>
    <row r="10" spans="1:2" x14ac:dyDescent="0.35">
      <c r="A10" s="2" t="s">
        <v>325</v>
      </c>
    </row>
    <row r="11" spans="1:2" x14ac:dyDescent="0.35">
      <c r="A11" s="2" t="s">
        <v>156</v>
      </c>
    </row>
  </sheetData>
  <hyperlinks>
    <hyperlink ref="A11" location="TOC!A54" display="Tables" xr:uid="{00000000-0004-0000-0000-000000000000}"/>
    <hyperlink ref="A8" location="TOC!A10" display="Sign and related tests" xr:uid="{00000000-0004-0000-0000-000001000000}"/>
    <hyperlink ref="A9" location="TOC!A22" display="Mann-Whitney and related tests" xr:uid="{00000000-0004-0000-0000-000002000000}"/>
    <hyperlink ref="A10" location="TOC!A43" display="Signed ranks test" xr:uid="{00000000-0004-0000-0000-00000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57"/>
  <sheetViews>
    <sheetView zoomScale="110" zoomScaleNormal="110" workbookViewId="0"/>
  </sheetViews>
  <sheetFormatPr defaultRowHeight="15" customHeight="1" x14ac:dyDescent="0.35"/>
  <cols>
    <col min="1" max="1" width="4" customWidth="1"/>
    <col min="2" max="2" width="85.54296875" customWidth="1"/>
  </cols>
  <sheetData>
    <row r="1" spans="1:2" ht="14.5" x14ac:dyDescent="0.35">
      <c r="A1" s="1" t="s">
        <v>327</v>
      </c>
      <c r="B1" s="1"/>
    </row>
    <row r="2" spans="1:2" ht="14.5" x14ac:dyDescent="0.35">
      <c r="A2" s="1" t="s">
        <v>367</v>
      </c>
      <c r="B2" s="1"/>
    </row>
    <row r="3" spans="1:2" ht="14.5" x14ac:dyDescent="0.35">
      <c r="A3" s="1"/>
      <c r="B3" s="1"/>
    </row>
    <row r="4" spans="1:2" ht="14.5" x14ac:dyDescent="0.35">
      <c r="A4" s="100" t="s">
        <v>357</v>
      </c>
    </row>
    <row r="6" spans="1:2" ht="15" customHeight="1" x14ac:dyDescent="0.35">
      <c r="A6" s="1" t="s">
        <v>0</v>
      </c>
    </row>
    <row r="7" spans="1:2" ht="15" customHeight="1" x14ac:dyDescent="0.35">
      <c r="A7" s="1"/>
    </row>
    <row r="8" spans="1:2" ht="15" customHeight="1" x14ac:dyDescent="0.35">
      <c r="A8" s="1" t="s">
        <v>155</v>
      </c>
      <c r="B8" s="2"/>
    </row>
    <row r="9" spans="1:2" ht="15" customHeight="1" x14ac:dyDescent="0.35">
      <c r="B9" s="2"/>
    </row>
    <row r="10" spans="1:2" ht="15" customHeight="1" x14ac:dyDescent="0.35">
      <c r="A10" t="s">
        <v>158</v>
      </c>
      <c r="B10" s="2"/>
    </row>
    <row r="11" spans="1:2" ht="15" customHeight="1" x14ac:dyDescent="0.35">
      <c r="B11" s="2" t="s">
        <v>204</v>
      </c>
    </row>
    <row r="12" spans="1:2" ht="15" customHeight="1" x14ac:dyDescent="0.35">
      <c r="B12" s="2" t="s">
        <v>250</v>
      </c>
    </row>
    <row r="13" spans="1:2" ht="14.5" x14ac:dyDescent="0.35">
      <c r="B13" s="2" t="s">
        <v>297</v>
      </c>
    </row>
    <row r="14" spans="1:2" ht="14.5" x14ac:dyDescent="0.35">
      <c r="B14" s="2" t="s">
        <v>184</v>
      </c>
    </row>
    <row r="15" spans="1:2" ht="14.5" x14ac:dyDescent="0.35">
      <c r="B15" s="2"/>
    </row>
    <row r="16" spans="1:2" ht="14.5" x14ac:dyDescent="0.35">
      <c r="A16" t="s">
        <v>328</v>
      </c>
      <c r="B16" s="2"/>
    </row>
    <row r="17" spans="1:2" ht="14.5" x14ac:dyDescent="0.35">
      <c r="B17" s="2" t="s">
        <v>328</v>
      </c>
    </row>
    <row r="18" spans="1:2" ht="14.5" x14ac:dyDescent="0.35">
      <c r="B18" s="2"/>
    </row>
    <row r="19" spans="1:2" ht="15" customHeight="1" x14ac:dyDescent="0.35">
      <c r="A19" t="s">
        <v>203</v>
      </c>
      <c r="B19" s="2"/>
    </row>
    <row r="20" spans="1:2" ht="15" customHeight="1" x14ac:dyDescent="0.35">
      <c r="B20" s="2" t="s">
        <v>205</v>
      </c>
    </row>
    <row r="21" spans="1:2" ht="15" customHeight="1" x14ac:dyDescent="0.35">
      <c r="B21" s="2"/>
    </row>
    <row r="22" spans="1:2" ht="15" customHeight="1" x14ac:dyDescent="0.35">
      <c r="A22" t="s">
        <v>159</v>
      </c>
      <c r="B22" s="2"/>
    </row>
    <row r="23" spans="1:2" ht="15" customHeight="1" x14ac:dyDescent="0.35">
      <c r="B23" s="2" t="s">
        <v>165</v>
      </c>
    </row>
    <row r="24" spans="1:2" ht="15" customHeight="1" x14ac:dyDescent="0.35">
      <c r="B24" s="2" t="s">
        <v>170</v>
      </c>
    </row>
    <row r="25" spans="1:2" ht="15" customHeight="1" x14ac:dyDescent="0.35">
      <c r="B25" s="2" t="s">
        <v>166</v>
      </c>
    </row>
    <row r="26" spans="1:2" ht="15" customHeight="1" x14ac:dyDescent="0.35">
      <c r="B26" s="2" t="s">
        <v>167</v>
      </c>
    </row>
    <row r="27" spans="1:2" ht="15" customHeight="1" x14ac:dyDescent="0.35">
      <c r="B27" s="2" t="s">
        <v>219</v>
      </c>
    </row>
    <row r="28" spans="1:2" ht="15" customHeight="1" x14ac:dyDescent="0.35">
      <c r="B28" s="2" t="s">
        <v>227</v>
      </c>
    </row>
    <row r="29" spans="1:2" ht="15" customHeight="1" x14ac:dyDescent="0.35">
      <c r="B29" s="2" t="s">
        <v>226</v>
      </c>
    </row>
    <row r="31" spans="1:2" ht="15" customHeight="1" x14ac:dyDescent="0.35">
      <c r="A31" t="s">
        <v>160</v>
      </c>
      <c r="B31" s="2"/>
    </row>
    <row r="32" spans="1:2" ht="15" customHeight="1" x14ac:dyDescent="0.35">
      <c r="B32" s="2" t="s">
        <v>168</v>
      </c>
    </row>
    <row r="33" spans="1:2" ht="15" customHeight="1" x14ac:dyDescent="0.35">
      <c r="B33" s="2" t="s">
        <v>169</v>
      </c>
    </row>
    <row r="34" spans="1:2" ht="15" customHeight="1" x14ac:dyDescent="0.35">
      <c r="B34" s="2" t="s">
        <v>236</v>
      </c>
    </row>
    <row r="35" spans="1:2" ht="15" customHeight="1" x14ac:dyDescent="0.35">
      <c r="B35" s="2" t="s">
        <v>220</v>
      </c>
    </row>
    <row r="36" spans="1:2" ht="15" customHeight="1" x14ac:dyDescent="0.35">
      <c r="B36" s="2" t="s">
        <v>265</v>
      </c>
    </row>
    <row r="37" spans="1:2" ht="15" customHeight="1" x14ac:dyDescent="0.35">
      <c r="B37" s="2" t="s">
        <v>266</v>
      </c>
    </row>
    <row r="38" spans="1:2" ht="15" customHeight="1" x14ac:dyDescent="0.35">
      <c r="B38" s="2" t="s">
        <v>321</v>
      </c>
    </row>
    <row r="39" spans="1:2" ht="15" customHeight="1" x14ac:dyDescent="0.35">
      <c r="B39" s="2" t="s">
        <v>323</v>
      </c>
    </row>
    <row r="40" spans="1:2" ht="15" customHeight="1" x14ac:dyDescent="0.35">
      <c r="B40" s="2" t="s">
        <v>354</v>
      </c>
    </row>
    <row r="41" spans="1:2" ht="15" customHeight="1" x14ac:dyDescent="0.35">
      <c r="B41" s="2" t="s">
        <v>355</v>
      </c>
    </row>
    <row r="42" spans="1:2" ht="15" customHeight="1" x14ac:dyDescent="0.35">
      <c r="B42" s="2"/>
    </row>
    <row r="43" spans="1:2" ht="15" customHeight="1" x14ac:dyDescent="0.35">
      <c r="A43" t="s">
        <v>161</v>
      </c>
      <c r="B43" s="2"/>
    </row>
    <row r="44" spans="1:2" ht="15" customHeight="1" x14ac:dyDescent="0.35">
      <c r="B44" s="2" t="s">
        <v>162</v>
      </c>
    </row>
    <row r="45" spans="1:2" ht="15" customHeight="1" x14ac:dyDescent="0.35">
      <c r="B45" s="2" t="s">
        <v>163</v>
      </c>
    </row>
    <row r="46" spans="1:2" ht="15" customHeight="1" x14ac:dyDescent="0.35">
      <c r="B46" s="2" t="s">
        <v>237</v>
      </c>
    </row>
    <row r="47" spans="1:2" ht="15" customHeight="1" x14ac:dyDescent="0.35">
      <c r="B47" s="2" t="s">
        <v>164</v>
      </c>
    </row>
    <row r="48" spans="1:2" ht="15" customHeight="1" x14ac:dyDescent="0.35">
      <c r="B48" s="2" t="s">
        <v>219</v>
      </c>
    </row>
    <row r="49" spans="1:2" ht="15" customHeight="1" x14ac:dyDescent="0.35">
      <c r="B49" s="2" t="s">
        <v>220</v>
      </c>
    </row>
    <row r="50" spans="1:2" ht="15" customHeight="1" x14ac:dyDescent="0.35">
      <c r="B50" s="2" t="s">
        <v>265</v>
      </c>
    </row>
    <row r="51" spans="1:2" ht="15" customHeight="1" x14ac:dyDescent="0.35">
      <c r="B51" s="2" t="s">
        <v>322</v>
      </c>
    </row>
    <row r="52" spans="1:2" ht="15" customHeight="1" x14ac:dyDescent="0.35">
      <c r="B52" s="2" t="s">
        <v>356</v>
      </c>
    </row>
    <row r="53" spans="1:2" ht="15" customHeight="1" x14ac:dyDescent="0.35">
      <c r="B53" s="2"/>
    </row>
    <row r="54" spans="1:2" ht="15" customHeight="1" x14ac:dyDescent="0.35">
      <c r="A54" s="1" t="s">
        <v>156</v>
      </c>
    </row>
    <row r="55" spans="1:2" ht="15" customHeight="1" x14ac:dyDescent="0.35">
      <c r="B55" s="2" t="s">
        <v>157</v>
      </c>
    </row>
    <row r="56" spans="1:2" ht="15" customHeight="1" x14ac:dyDescent="0.35">
      <c r="B56" s="2" t="s">
        <v>77</v>
      </c>
    </row>
    <row r="57" spans="1:2" ht="15" customHeight="1" x14ac:dyDescent="0.35">
      <c r="B57" s="2" t="s">
        <v>292</v>
      </c>
    </row>
  </sheetData>
  <hyperlinks>
    <hyperlink ref="B55" location="'Wilcoxon Table'!A1" display="'Wilcoxon Table'!A1" xr:uid="{00000000-0004-0000-0100-000000000000}"/>
    <hyperlink ref="B56" location="'Mann Table'!A1" display="'Mann Table'!A1" xr:uid="{00000000-0004-0000-0100-000001000000}"/>
    <hyperlink ref="B57" location="'RSign Table'!A1" display="Wilcoxon's Signed Ranks Table" xr:uid="{00000000-0004-0000-0100-000002000000}"/>
    <hyperlink ref="B11" location="'Sign Test'!A1" display="Sign test (Example 14.1)" xr:uid="{00000000-0004-0000-0100-000003000000}"/>
    <hyperlink ref="B23" location="'Wilcoxon 2'!A1" display="Wilcoxon Rank Sum Test for Independent Samples (Example 14.2)" xr:uid="{00000000-0004-0000-0100-000004000000}"/>
    <hyperlink ref="B24" location="'Wilcoxon 1'!A1" display="Wilcoxon Rank Sum Test and assumptions (Figure 14.3)" xr:uid="{00000000-0004-0000-0100-000005000000}"/>
    <hyperlink ref="B25" location="'Wilcoxon 3'!A1" display="Wilcoxon Rank Sum Test unequal sample sizes (Example 14.3)" xr:uid="{00000000-0004-0000-0100-000006000000}"/>
    <hyperlink ref="B26" location="'Wilcoxon 4'!A1" display="Wilcoxon Rank Sum Test normal approximation (Example 14.4)" xr:uid="{00000000-0004-0000-0100-000007000000}"/>
    <hyperlink ref="B32" location="'Mann 1'!A1" display="Mann-Whitney U Test (Example 14.5)" xr:uid="{00000000-0004-0000-0100-000008000000}"/>
    <hyperlink ref="B33" location="'Mann 2'!A1" display="Mann-Whitney U Test normal approximation (Example 14.6)" xr:uid="{00000000-0004-0000-0100-000009000000}"/>
    <hyperlink ref="B44" location="'Wilcox Pair 1'!A1" display="Wilcoxon Signed-Rank Test for Paired Samples (Example 14.7)" xr:uid="{00000000-0004-0000-0100-00000A000000}"/>
    <hyperlink ref="B45" location="'Wilcox Pair 2'!A1" display="Wilcoxon paired samples test normal approximation (Example 14.8)" xr:uid="{00000000-0004-0000-0100-00000B000000}"/>
    <hyperlink ref="B47" location="'Signed Rank'!A1" display="Signed Rank test for one sample (Example 3)" xr:uid="{00000000-0004-0000-0100-00000C000000}"/>
    <hyperlink ref="B46" location="'Wilcox Pair 3'!A1" display="Example 2 using supplemental function with two arguments" xr:uid="{00000000-0004-0000-0100-00000D000000}"/>
    <hyperlink ref="B20" location="Moods!A1" display="Mood's median test (Example 2)" xr:uid="{00000000-0004-0000-0100-00000E000000}"/>
    <hyperlink ref="B48" location="'Signed Rank'!A1" display="Permutation distribution" xr:uid="{00000000-0004-0000-0100-00000F000000}"/>
    <hyperlink ref="B49" location="'Signed Rank 1'!A1" display="Exact test" xr:uid="{00000000-0004-0000-0100-000010000000}"/>
    <hyperlink ref="B27" location="'Wil Exact 1'!A1" display="Permutation distrubution" xr:uid="{00000000-0004-0000-0100-000011000000}"/>
    <hyperlink ref="B29" location="'Wil Exact'!A1" display="Exact test (Example 4)" xr:uid="{00000000-0004-0000-0100-000012000000}"/>
    <hyperlink ref="B28" location="'Wil Exact 2'!A1" display="Permutation distribution via Real Statistics functions" xr:uid="{00000000-0004-0000-0100-000013000000}"/>
    <hyperlink ref="B34" location="'Mann Exact'!A1" display="Exact test (modifying Permutation distribution)" xr:uid="{00000000-0004-0000-0100-000014000000}"/>
    <hyperlink ref="B35" location="'Mann Exact 1'!A1" display="Exact test" xr:uid="{00000000-0004-0000-0100-000015000000}"/>
    <hyperlink ref="B12" location="'Sign Test 1'!A1" display="Confidence interval for sign test" xr:uid="{00000000-0004-0000-0100-000016000000}"/>
    <hyperlink ref="B36" location="'Mann 3'!A1" display="Confidence Interval" xr:uid="{00000000-0004-0000-0100-000017000000}"/>
    <hyperlink ref="B37" location="'Mann 4'!A1" display="Confidence Interval using normal approximation" xr:uid="{00000000-0004-0000-0100-000018000000}"/>
    <hyperlink ref="B50" location="'SR CI 1'!A1" display="Confidence Interval" xr:uid="{00000000-0004-0000-0100-000019000000}"/>
    <hyperlink ref="B13" location="'Sign A'!A1" display="Paired samples" xr:uid="{00000000-0004-0000-0100-00001A000000}"/>
    <hyperlink ref="B14" location="'Sign B'!A1" display="Real Statistics data analysis tool" xr:uid="{00000000-0004-0000-0100-00001B000000}"/>
    <hyperlink ref="B38" location="MW!A1" display="Multiple Mann-Whitney tests" xr:uid="{00000000-0004-0000-0100-00001C000000}"/>
    <hyperlink ref="B51" location="'Multiple SR'!A1" display="Multiple Signed-Ranks tests" xr:uid="{00000000-0004-0000-0100-00001D000000}"/>
    <hyperlink ref="B39" location="Cliff!A1" display="Cliff's Delta effect size" xr:uid="{00000000-0004-0000-0100-00001E000000}"/>
    <hyperlink ref="B17" location="Trinom!A1" display="Trinomial test" xr:uid="{00000000-0004-0000-0100-00001F000000}"/>
    <hyperlink ref="B40" location="'MW Pow 1'!A1" display="MW Power" xr:uid="{00000000-0004-0000-0100-000020000000}"/>
    <hyperlink ref="B41" location="'MW Pow 2'!A1" display="MW power and sample size" xr:uid="{00000000-0004-0000-0100-000021000000}"/>
    <hyperlink ref="B52" location="'SR Size'!A1" display="Signed-ranks power and sample size" xr:uid="{00000000-0004-0000-0100-000022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03"/>
  <dimension ref="A1:R37"/>
  <sheetViews>
    <sheetView workbookViewId="0">
      <selection activeCell="A3" sqref="A3:C18"/>
    </sheetView>
  </sheetViews>
  <sheetFormatPr defaultRowHeight="14.5" x14ac:dyDescent="0.35"/>
  <cols>
    <col min="1" max="3" width="9.1796875" customWidth="1"/>
  </cols>
  <sheetData>
    <row r="1" spans="1:18" x14ac:dyDescent="0.35">
      <c r="A1" s="1" t="s">
        <v>118</v>
      </c>
    </row>
    <row r="2" spans="1:18" ht="15" thickBot="1" x14ac:dyDescent="0.4"/>
    <row r="3" spans="1:18" x14ac:dyDescent="0.35">
      <c r="A3" s="182" t="s">
        <v>42</v>
      </c>
      <c r="B3" s="182" t="s">
        <v>116</v>
      </c>
      <c r="C3" s="182" t="s">
        <v>117</v>
      </c>
      <c r="E3" s="66" t="s">
        <v>28</v>
      </c>
      <c r="G3" s="67" t="s">
        <v>28</v>
      </c>
      <c r="H3" s="67" t="s">
        <v>27</v>
      </c>
      <c r="R3" s="72" t="s">
        <v>116</v>
      </c>
    </row>
    <row r="4" spans="1:18" x14ac:dyDescent="0.35">
      <c r="A4" s="72">
        <v>1</v>
      </c>
      <c r="B4" s="179">
        <v>50</v>
      </c>
      <c r="C4" s="161">
        <f>IF(B4&gt;20,1,IF(B4&lt;20,-1,0))</f>
        <v>1</v>
      </c>
      <c r="E4" s="69">
        <v>10</v>
      </c>
      <c r="G4" s="17">
        <v>10</v>
      </c>
      <c r="H4" s="16">
        <v>7</v>
      </c>
      <c r="Q4" t="s">
        <v>35</v>
      </c>
      <c r="R4" s="24">
        <f>MIN(B4:B18)</f>
        <v>3</v>
      </c>
    </row>
    <row r="5" spans="1:18" x14ac:dyDescent="0.35">
      <c r="A5" s="72">
        <f t="shared" ref="A5:A18" si="0">A4+1</f>
        <v>2</v>
      </c>
      <c r="B5" s="179">
        <v>15</v>
      </c>
      <c r="C5" s="161">
        <f t="shared" ref="C5:C18" si="1">IF(B5&gt;20,1,IF(B5&lt;20,-1,0))</f>
        <v>-1</v>
      </c>
      <c r="E5" s="71">
        <f>E4+10</f>
        <v>20</v>
      </c>
      <c r="G5" s="17">
        <v>20</v>
      </c>
      <c r="H5" s="16">
        <v>4</v>
      </c>
      <c r="Q5" t="s">
        <v>36</v>
      </c>
      <c r="R5" s="24">
        <f>QUARTILE(B4:B18,1)-R4</f>
        <v>5.5</v>
      </c>
    </row>
    <row r="6" spans="1:18" x14ac:dyDescent="0.35">
      <c r="A6" s="72">
        <f t="shared" si="0"/>
        <v>3</v>
      </c>
      <c r="B6" s="179">
        <v>25</v>
      </c>
      <c r="C6" s="161">
        <f t="shared" si="1"/>
        <v>1</v>
      </c>
      <c r="E6" s="71">
        <f>E5+10</f>
        <v>30</v>
      </c>
      <c r="G6" s="17">
        <v>30</v>
      </c>
      <c r="H6" s="16">
        <v>2</v>
      </c>
      <c r="Q6" t="s">
        <v>37</v>
      </c>
      <c r="R6" s="24">
        <f>MEDIAN(B4:B18)-QUARTILE(B4:B18,1)</f>
        <v>3.5</v>
      </c>
    </row>
    <row r="7" spans="1:18" x14ac:dyDescent="0.35">
      <c r="A7" s="72">
        <f t="shared" si="0"/>
        <v>4</v>
      </c>
      <c r="B7" s="179">
        <v>12</v>
      </c>
      <c r="C7" s="161">
        <f t="shared" si="1"/>
        <v>-1</v>
      </c>
      <c r="E7" s="71">
        <f>E6+10</f>
        <v>40</v>
      </c>
      <c r="G7" s="17">
        <v>40</v>
      </c>
      <c r="H7" s="16">
        <v>0</v>
      </c>
      <c r="Q7" t="s">
        <v>38</v>
      </c>
      <c r="R7" s="24">
        <f>QUARTILE(B4:B18,3)-MEDIAN(B4:B18)</f>
        <v>10.5</v>
      </c>
    </row>
    <row r="8" spans="1:18" x14ac:dyDescent="0.35">
      <c r="A8" s="72">
        <f t="shared" si="0"/>
        <v>5</v>
      </c>
      <c r="B8" s="179">
        <v>45</v>
      </c>
      <c r="C8" s="161">
        <f t="shared" si="1"/>
        <v>1</v>
      </c>
      <c r="E8" s="70">
        <f>E7+10</f>
        <v>50</v>
      </c>
      <c r="G8" s="17">
        <v>50</v>
      </c>
      <c r="H8" s="16">
        <v>2</v>
      </c>
      <c r="Q8" t="s">
        <v>39</v>
      </c>
      <c r="R8" s="24">
        <f>MAX(B4:B18)-QUARTILE(B4:B18,3)</f>
        <v>27.5</v>
      </c>
    </row>
    <row r="9" spans="1:18" ht="15" thickBot="1" x14ac:dyDescent="0.4">
      <c r="A9" s="72">
        <f t="shared" si="0"/>
        <v>6</v>
      </c>
      <c r="B9" s="179">
        <v>3</v>
      </c>
      <c r="C9" s="161">
        <f t="shared" si="1"/>
        <v>-1</v>
      </c>
      <c r="G9" s="18" t="s">
        <v>29</v>
      </c>
      <c r="H9" s="18">
        <v>0</v>
      </c>
    </row>
    <row r="10" spans="1:18" x14ac:dyDescent="0.35">
      <c r="A10" s="72">
        <f t="shared" si="0"/>
        <v>7</v>
      </c>
      <c r="B10" s="179">
        <v>45</v>
      </c>
      <c r="C10" s="161">
        <f t="shared" si="1"/>
        <v>1</v>
      </c>
    </row>
    <row r="11" spans="1:18" x14ac:dyDescent="0.35">
      <c r="A11" s="72">
        <f t="shared" si="0"/>
        <v>8</v>
      </c>
      <c r="B11" s="179">
        <v>8</v>
      </c>
      <c r="C11" s="161">
        <f t="shared" si="1"/>
        <v>-1</v>
      </c>
    </row>
    <row r="12" spans="1:18" x14ac:dyDescent="0.35">
      <c r="A12" s="72">
        <f t="shared" si="0"/>
        <v>9</v>
      </c>
      <c r="B12" s="179">
        <v>10</v>
      </c>
      <c r="C12" s="161">
        <f t="shared" si="1"/>
        <v>-1</v>
      </c>
    </row>
    <row r="13" spans="1:18" x14ac:dyDescent="0.35">
      <c r="A13" s="72">
        <f t="shared" si="0"/>
        <v>10</v>
      </c>
      <c r="B13" s="179">
        <v>8</v>
      </c>
      <c r="C13" s="161">
        <f t="shared" si="1"/>
        <v>-1</v>
      </c>
    </row>
    <row r="14" spans="1:18" x14ac:dyDescent="0.35">
      <c r="A14" s="72">
        <f t="shared" si="0"/>
        <v>11</v>
      </c>
      <c r="B14" s="179">
        <v>7</v>
      </c>
      <c r="C14" s="161">
        <f t="shared" si="1"/>
        <v>-1</v>
      </c>
    </row>
    <row r="15" spans="1:18" x14ac:dyDescent="0.35">
      <c r="A15" s="72">
        <f t="shared" si="0"/>
        <v>12</v>
      </c>
      <c r="B15" s="179">
        <v>20</v>
      </c>
      <c r="C15" s="161">
        <f t="shared" si="1"/>
        <v>0</v>
      </c>
    </row>
    <row r="16" spans="1:18" x14ac:dyDescent="0.35">
      <c r="A16" s="72">
        <f t="shared" si="0"/>
        <v>13</v>
      </c>
      <c r="B16" s="179">
        <v>9</v>
      </c>
      <c r="C16" s="161">
        <f t="shared" si="1"/>
        <v>-1</v>
      </c>
      <c r="G16" t="s">
        <v>52</v>
      </c>
    </row>
    <row r="17" spans="1:10" x14ac:dyDescent="0.35">
      <c r="A17" s="72">
        <f t="shared" si="0"/>
        <v>14</v>
      </c>
      <c r="B17" s="179">
        <v>9</v>
      </c>
      <c r="C17" s="161">
        <f t="shared" si="1"/>
        <v>-1</v>
      </c>
    </row>
    <row r="18" spans="1:10" x14ac:dyDescent="0.35">
      <c r="A18" s="180">
        <f t="shared" si="0"/>
        <v>15</v>
      </c>
      <c r="B18" s="181">
        <v>12</v>
      </c>
      <c r="C18" s="176">
        <f t="shared" si="1"/>
        <v>-1</v>
      </c>
      <c r="G18" t="s">
        <v>15</v>
      </c>
      <c r="H18">
        <f>COUNT(B4:B18)</f>
        <v>15</v>
      </c>
      <c r="I18">
        <f>2*H18</f>
        <v>30</v>
      </c>
    </row>
    <row r="19" spans="1:10" x14ac:dyDescent="0.35">
      <c r="G19" t="s">
        <v>3</v>
      </c>
      <c r="H19" s="24">
        <f>AVERAGE(B4:B18)</f>
        <v>18.533333333333335</v>
      </c>
    </row>
    <row r="20" spans="1:10" x14ac:dyDescent="0.35">
      <c r="A20" t="s">
        <v>106</v>
      </c>
      <c r="B20" s="77">
        <f>MEDIAN(B4:B18)</f>
        <v>12</v>
      </c>
      <c r="G20" t="s">
        <v>43</v>
      </c>
      <c r="H20">
        <f>STDEV(B4:B18)</f>
        <v>15.54655068158973</v>
      </c>
    </row>
    <row r="21" spans="1:10" x14ac:dyDescent="0.35">
      <c r="A21" t="s">
        <v>200</v>
      </c>
      <c r="B21" s="58">
        <f>COUNTIF(C4:C18,1)</f>
        <v>4</v>
      </c>
    </row>
    <row r="22" spans="1:10" x14ac:dyDescent="0.35">
      <c r="A22" t="s">
        <v>201</v>
      </c>
      <c r="B22" s="58">
        <f>COUNTIF(C4:C18,-1)</f>
        <v>10</v>
      </c>
      <c r="G22" t="s">
        <v>53</v>
      </c>
      <c r="H22" t="s">
        <v>54</v>
      </c>
      <c r="I22" t="s">
        <v>101</v>
      </c>
      <c r="J22" t="s">
        <v>55</v>
      </c>
    </row>
    <row r="23" spans="1:10" x14ac:dyDescent="0.35">
      <c r="A23" t="s">
        <v>202</v>
      </c>
      <c r="B23" s="58">
        <f>B21+B22</f>
        <v>14</v>
      </c>
      <c r="G23">
        <v>1</v>
      </c>
      <c r="H23">
        <v>3</v>
      </c>
      <c r="I23">
        <f t="shared" ref="I23:I37" si="2">NORMSINV(G23/I$18)</f>
        <v>-1.8339146358159142</v>
      </c>
      <c r="J23">
        <f t="shared" ref="J23:J37" si="3">STANDARDIZE(H23,H$19,H$20)</f>
        <v>-0.99914982117081141</v>
      </c>
    </row>
    <row r="24" spans="1:10" x14ac:dyDescent="0.35">
      <c r="A24" t="s">
        <v>48</v>
      </c>
      <c r="B24" s="50">
        <f>BINOMDIST(B21,B23,0.5,TRUE)</f>
        <v>8.9782714843750028E-2</v>
      </c>
      <c r="G24">
        <f>G23+2</f>
        <v>3</v>
      </c>
      <c r="H24">
        <v>7</v>
      </c>
      <c r="I24">
        <f t="shared" si="2"/>
        <v>-1.2815515655446006</v>
      </c>
      <c r="J24">
        <f t="shared" si="3"/>
        <v>-0.741858021727684</v>
      </c>
    </row>
    <row r="25" spans="1:10" x14ac:dyDescent="0.35">
      <c r="G25">
        <f t="shared" ref="G25:G37" si="4">G24+2</f>
        <v>5</v>
      </c>
      <c r="H25">
        <v>8</v>
      </c>
      <c r="I25">
        <f t="shared" si="2"/>
        <v>-0.96742156610170071</v>
      </c>
      <c r="J25">
        <f t="shared" si="3"/>
        <v>-0.67753507186690221</v>
      </c>
    </row>
    <row r="26" spans="1:10" x14ac:dyDescent="0.35">
      <c r="A26" t="s">
        <v>238</v>
      </c>
      <c r="G26">
        <f t="shared" si="4"/>
        <v>7</v>
      </c>
      <c r="H26">
        <v>8</v>
      </c>
      <c r="I26">
        <f t="shared" si="2"/>
        <v>-0.72791329088164469</v>
      </c>
      <c r="J26">
        <f t="shared" si="3"/>
        <v>-0.67753507186690221</v>
      </c>
    </row>
    <row r="27" spans="1:10" x14ac:dyDescent="0.35">
      <c r="G27">
        <f t="shared" si="4"/>
        <v>9</v>
      </c>
      <c r="H27">
        <v>9</v>
      </c>
      <c r="I27">
        <f t="shared" si="2"/>
        <v>-0.52440051270804089</v>
      </c>
      <c r="J27">
        <f t="shared" si="3"/>
        <v>-0.6132121220061203</v>
      </c>
    </row>
    <row r="28" spans="1:10" x14ac:dyDescent="0.35">
      <c r="A28" t="s">
        <v>48</v>
      </c>
      <c r="G28">
        <f t="shared" si="4"/>
        <v>11</v>
      </c>
      <c r="H28">
        <v>9</v>
      </c>
      <c r="I28">
        <f t="shared" si="2"/>
        <v>-0.34069482708779553</v>
      </c>
      <c r="J28">
        <f t="shared" si="3"/>
        <v>-0.6132121220061203</v>
      </c>
    </row>
    <row r="29" spans="1:10" x14ac:dyDescent="0.35">
      <c r="A29" t="s">
        <v>191</v>
      </c>
      <c r="B29" s="116" t="e">
        <f ca="1">SignTest(B4:B18,20)</f>
        <v>#NAME?</v>
      </c>
      <c r="G29">
        <f t="shared" si="4"/>
        <v>13</v>
      </c>
      <c r="H29">
        <v>10</v>
      </c>
      <c r="I29">
        <f t="shared" si="2"/>
        <v>-0.16789400478810546</v>
      </c>
      <c r="J29">
        <f t="shared" si="3"/>
        <v>-0.5488891721453385</v>
      </c>
    </row>
    <row r="30" spans="1:10" x14ac:dyDescent="0.35">
      <c r="A30" t="s">
        <v>192</v>
      </c>
      <c r="B30" s="50" t="e">
        <f ca="1">SignTest(B4:B18,20,2)</f>
        <v>#NAME?</v>
      </c>
      <c r="G30">
        <f t="shared" si="4"/>
        <v>15</v>
      </c>
      <c r="H30">
        <v>12</v>
      </c>
      <c r="I30">
        <f t="shared" si="2"/>
        <v>0</v>
      </c>
      <c r="J30">
        <f t="shared" si="3"/>
        <v>-0.42024327242377479</v>
      </c>
    </row>
    <row r="31" spans="1:10" x14ac:dyDescent="0.35">
      <c r="G31">
        <f t="shared" si="4"/>
        <v>17</v>
      </c>
      <c r="H31">
        <v>12</v>
      </c>
      <c r="I31">
        <f t="shared" si="2"/>
        <v>0.16789400478810546</v>
      </c>
      <c r="J31">
        <f t="shared" si="3"/>
        <v>-0.42024327242377479</v>
      </c>
    </row>
    <row r="32" spans="1:10" x14ac:dyDescent="0.35">
      <c r="G32">
        <f t="shared" si="4"/>
        <v>19</v>
      </c>
      <c r="H32">
        <v>15</v>
      </c>
      <c r="I32">
        <f t="shared" si="2"/>
        <v>0.34069482708779542</v>
      </c>
      <c r="J32">
        <f t="shared" si="3"/>
        <v>-0.22727442284142929</v>
      </c>
    </row>
    <row r="33" spans="7:10" x14ac:dyDescent="0.35">
      <c r="G33">
        <f t="shared" si="4"/>
        <v>21</v>
      </c>
      <c r="H33">
        <v>20</v>
      </c>
      <c r="I33">
        <f t="shared" si="2"/>
        <v>0.52440051270804078</v>
      </c>
      <c r="J33">
        <f t="shared" si="3"/>
        <v>9.4340326462479931E-2</v>
      </c>
    </row>
    <row r="34" spans="7:10" x14ac:dyDescent="0.35">
      <c r="G34">
        <f t="shared" si="4"/>
        <v>23</v>
      </c>
      <c r="H34">
        <v>25</v>
      </c>
      <c r="I34">
        <f t="shared" si="2"/>
        <v>0.72791329088164458</v>
      </c>
      <c r="J34">
        <f t="shared" si="3"/>
        <v>0.41595507576638913</v>
      </c>
    </row>
    <row r="35" spans="7:10" x14ac:dyDescent="0.35">
      <c r="G35">
        <f t="shared" si="4"/>
        <v>25</v>
      </c>
      <c r="H35">
        <v>45</v>
      </c>
      <c r="I35">
        <f t="shared" si="2"/>
        <v>0.96742156610170071</v>
      </c>
      <c r="J35">
        <f t="shared" si="3"/>
        <v>1.7024140729820261</v>
      </c>
    </row>
    <row r="36" spans="7:10" x14ac:dyDescent="0.35">
      <c r="G36">
        <f t="shared" si="4"/>
        <v>27</v>
      </c>
      <c r="H36">
        <v>45</v>
      </c>
      <c r="I36">
        <f t="shared" si="2"/>
        <v>1.2815515655446006</v>
      </c>
      <c r="J36">
        <f t="shared" si="3"/>
        <v>1.7024140729820261</v>
      </c>
    </row>
    <row r="37" spans="7:10" x14ac:dyDescent="0.35">
      <c r="G37">
        <f t="shared" si="4"/>
        <v>29</v>
      </c>
      <c r="H37">
        <v>50</v>
      </c>
      <c r="I37">
        <f t="shared" si="2"/>
        <v>1.8339146358159142</v>
      </c>
      <c r="J37">
        <f t="shared" si="3"/>
        <v>2.0240288222859353</v>
      </c>
    </row>
  </sheetData>
  <sortState xmlns:xlrd2="http://schemas.microsoft.com/office/spreadsheetml/2017/richdata2" ref="G4:G8">
    <sortCondition ref="G4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40"/>
  <dimension ref="A1:J18"/>
  <sheetViews>
    <sheetView workbookViewId="0"/>
  </sheetViews>
  <sheetFormatPr defaultRowHeight="14.5" x14ac:dyDescent="0.35"/>
  <cols>
    <col min="3" max="3" width="3.54296875" customWidth="1"/>
    <col min="9" max="9" width="9.1796875" customWidth="1"/>
  </cols>
  <sheetData>
    <row r="1" spans="1:10" x14ac:dyDescent="0.35">
      <c r="A1" s="1" t="s">
        <v>248</v>
      </c>
    </row>
    <row r="3" spans="1:10" x14ac:dyDescent="0.35">
      <c r="A3" s="182" t="s">
        <v>42</v>
      </c>
      <c r="B3" s="182" t="s">
        <v>116</v>
      </c>
      <c r="D3" s="183" t="s">
        <v>102</v>
      </c>
      <c r="F3" s="154" t="s">
        <v>41</v>
      </c>
      <c r="G3" s="153" t="s">
        <v>241</v>
      </c>
      <c r="H3" s="154" t="s">
        <v>242</v>
      </c>
      <c r="I3" s="154" t="s">
        <v>34</v>
      </c>
      <c r="J3" s="154" t="s">
        <v>249</v>
      </c>
    </row>
    <row r="4" spans="1:10" x14ac:dyDescent="0.35">
      <c r="A4" s="72">
        <v>1</v>
      </c>
      <c r="B4" s="179">
        <v>50</v>
      </c>
      <c r="D4" s="161" t="e">
        <f t="array" aca="1" ref="D4:D18" ca="1">QSORT(B4:B18)</f>
        <v>#NAME?</v>
      </c>
      <c r="F4" s="153">
        <v>0</v>
      </c>
      <c r="G4" s="25" t="e">
        <f ca="1">D4</f>
        <v>#NAME?</v>
      </c>
      <c r="H4" s="26" t="e">
        <f ca="1">INDEX($D$4:$D$18,15-F4)</f>
        <v>#NAME?</v>
      </c>
      <c r="I4" s="3">
        <f t="shared" ref="I4:I10" si="0">2*_xlfn.BINOM.DIST($F4,A$18,0.5,TRUE)</f>
        <v>6.1035156250000027E-5</v>
      </c>
      <c r="J4" s="155">
        <f>1-I4</f>
        <v>0.99993896484375</v>
      </c>
    </row>
    <row r="5" spans="1:10" x14ac:dyDescent="0.35">
      <c r="A5" s="72">
        <f t="shared" ref="A5:A18" si="1">A4+1</f>
        <v>2</v>
      </c>
      <c r="B5" s="179">
        <v>15</v>
      </c>
      <c r="D5" s="161" t="e">
        <f ca="1"/>
        <v>#NAME?</v>
      </c>
      <c r="F5" s="153">
        <f t="shared" ref="F5:F10" si="2">F4+1</f>
        <v>1</v>
      </c>
      <c r="G5" s="27" t="e">
        <f t="shared" ref="G5:G10" ca="1" si="3">D5</f>
        <v>#NAME?</v>
      </c>
      <c r="H5" s="53" t="e">
        <f t="shared" ref="H5:H10" ca="1" si="4">INDEX($D$4:$D$18,15-F5)</f>
        <v>#NAME?</v>
      </c>
      <c r="I5" s="6">
        <f t="shared" si="0"/>
        <v>9.7656250000000043E-4</v>
      </c>
      <c r="J5" s="113">
        <f t="shared" ref="J5:J10" si="5">1-I5</f>
        <v>0.9990234375</v>
      </c>
    </row>
    <row r="6" spans="1:10" x14ac:dyDescent="0.35">
      <c r="A6" s="72">
        <f t="shared" si="1"/>
        <v>3</v>
      </c>
      <c r="B6" s="179">
        <v>25</v>
      </c>
      <c r="D6" s="161" t="e">
        <f ca="1"/>
        <v>#NAME?</v>
      </c>
      <c r="F6" s="153">
        <f t="shared" si="2"/>
        <v>2</v>
      </c>
      <c r="G6" s="27" t="e">
        <f t="shared" ca="1" si="3"/>
        <v>#NAME?</v>
      </c>
      <c r="H6" s="53" t="e">
        <f t="shared" ca="1" si="4"/>
        <v>#NAME?</v>
      </c>
      <c r="I6" s="6">
        <f t="shared" si="0"/>
        <v>7.3852539062500052E-3</v>
      </c>
      <c r="J6" s="113">
        <f t="shared" si="5"/>
        <v>0.99261474609375</v>
      </c>
    </row>
    <row r="7" spans="1:10" x14ac:dyDescent="0.35">
      <c r="A7" s="72">
        <f t="shared" si="1"/>
        <v>4</v>
      </c>
      <c r="B7" s="179">
        <v>12</v>
      </c>
      <c r="D7" s="161" t="e">
        <f ca="1"/>
        <v>#NAME?</v>
      </c>
      <c r="F7" s="153">
        <f t="shared" si="2"/>
        <v>3</v>
      </c>
      <c r="G7" s="27" t="e">
        <f t="shared" ca="1" si="3"/>
        <v>#NAME?</v>
      </c>
      <c r="H7" s="53" t="e">
        <f t="shared" ca="1" si="4"/>
        <v>#NAME?</v>
      </c>
      <c r="I7" s="6">
        <f t="shared" si="0"/>
        <v>3.515625E-2</v>
      </c>
      <c r="J7" s="113">
        <f t="shared" si="5"/>
        <v>0.96484375</v>
      </c>
    </row>
    <row r="8" spans="1:10" x14ac:dyDescent="0.35">
      <c r="A8" s="72">
        <f t="shared" si="1"/>
        <v>5</v>
      </c>
      <c r="B8" s="179">
        <v>45</v>
      </c>
      <c r="D8" s="161" t="e">
        <f ca="1"/>
        <v>#NAME?</v>
      </c>
      <c r="F8" s="153">
        <f t="shared" si="2"/>
        <v>4</v>
      </c>
      <c r="G8" s="27" t="e">
        <f t="shared" ca="1" si="3"/>
        <v>#NAME?</v>
      </c>
      <c r="H8" s="53" t="e">
        <f t="shared" ca="1" si="4"/>
        <v>#NAME?</v>
      </c>
      <c r="I8" s="6">
        <f t="shared" si="0"/>
        <v>0.11846923828125001</v>
      </c>
      <c r="J8" s="113">
        <f t="shared" si="5"/>
        <v>0.88153076171875</v>
      </c>
    </row>
    <row r="9" spans="1:10" x14ac:dyDescent="0.35">
      <c r="A9" s="72">
        <f t="shared" si="1"/>
        <v>6</v>
      </c>
      <c r="B9" s="179">
        <v>3</v>
      </c>
      <c r="D9" s="161" t="e">
        <f ca="1"/>
        <v>#NAME?</v>
      </c>
      <c r="F9" s="153">
        <f t="shared" si="2"/>
        <v>5</v>
      </c>
      <c r="G9" s="27" t="e">
        <f t="shared" ca="1" si="3"/>
        <v>#NAME?</v>
      </c>
      <c r="H9" s="53" t="e">
        <f t="shared" ca="1" si="4"/>
        <v>#NAME?</v>
      </c>
      <c r="I9" s="6">
        <f t="shared" si="0"/>
        <v>0.30175781250000011</v>
      </c>
      <c r="J9" s="113">
        <f t="shared" si="5"/>
        <v>0.69824218749999989</v>
      </c>
    </row>
    <row r="10" spans="1:10" x14ac:dyDescent="0.35">
      <c r="A10" s="72">
        <f t="shared" si="1"/>
        <v>7</v>
      </c>
      <c r="B10" s="179">
        <v>45</v>
      </c>
      <c r="D10" s="161" t="e">
        <f ca="1"/>
        <v>#NAME?</v>
      </c>
      <c r="F10" s="153">
        <f t="shared" si="2"/>
        <v>6</v>
      </c>
      <c r="G10" s="52" t="e">
        <f t="shared" ca="1" si="3"/>
        <v>#NAME?</v>
      </c>
      <c r="H10" s="46" t="e">
        <f t="shared" ca="1" si="4"/>
        <v>#NAME?</v>
      </c>
      <c r="I10" s="45">
        <f t="shared" si="0"/>
        <v>0.60723876953125022</v>
      </c>
      <c r="J10" s="114">
        <f t="shared" si="5"/>
        <v>0.39276123046874978</v>
      </c>
    </row>
    <row r="11" spans="1:10" x14ac:dyDescent="0.35">
      <c r="A11" s="72">
        <f t="shared" si="1"/>
        <v>8</v>
      </c>
      <c r="B11" s="179">
        <v>8</v>
      </c>
      <c r="D11" s="161" t="e">
        <f ca="1"/>
        <v>#NAME?</v>
      </c>
    </row>
    <row r="12" spans="1:10" x14ac:dyDescent="0.35">
      <c r="A12" s="72">
        <f t="shared" si="1"/>
        <v>9</v>
      </c>
      <c r="B12" s="179">
        <v>10</v>
      </c>
      <c r="D12" s="161" t="e">
        <f ca="1"/>
        <v>#NAME?</v>
      </c>
    </row>
    <row r="13" spans="1:10" x14ac:dyDescent="0.35">
      <c r="A13" s="72">
        <f t="shared" si="1"/>
        <v>10</v>
      </c>
      <c r="B13" s="179">
        <v>8</v>
      </c>
      <c r="D13" s="161" t="e">
        <f ca="1"/>
        <v>#NAME?</v>
      </c>
    </row>
    <row r="14" spans="1:10" x14ac:dyDescent="0.35">
      <c r="A14" s="72">
        <f t="shared" si="1"/>
        <v>11</v>
      </c>
      <c r="B14" s="179">
        <v>7</v>
      </c>
      <c r="D14" s="161" t="e">
        <f ca="1"/>
        <v>#NAME?</v>
      </c>
    </row>
    <row r="15" spans="1:10" x14ac:dyDescent="0.35">
      <c r="A15" s="72">
        <f t="shared" si="1"/>
        <v>12</v>
      </c>
      <c r="B15" s="179">
        <v>20</v>
      </c>
      <c r="D15" s="161" t="e">
        <f ca="1"/>
        <v>#NAME?</v>
      </c>
    </row>
    <row r="16" spans="1:10" x14ac:dyDescent="0.35">
      <c r="A16" s="72">
        <f t="shared" si="1"/>
        <v>13</v>
      </c>
      <c r="B16" s="179">
        <v>9</v>
      </c>
      <c r="D16" s="161" t="e">
        <f ca="1"/>
        <v>#NAME?</v>
      </c>
    </row>
    <row r="17" spans="1:4" x14ac:dyDescent="0.35">
      <c r="A17" s="72">
        <f t="shared" si="1"/>
        <v>14</v>
      </c>
      <c r="B17" s="179">
        <v>9</v>
      </c>
      <c r="D17" s="161" t="e">
        <f ca="1"/>
        <v>#NAME?</v>
      </c>
    </row>
    <row r="18" spans="1:4" x14ac:dyDescent="0.35">
      <c r="A18" s="180">
        <f t="shared" si="1"/>
        <v>15</v>
      </c>
      <c r="B18" s="181">
        <v>12</v>
      </c>
      <c r="D18" s="176" t="e">
        <f ca="1"/>
        <v>#NAME?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R23"/>
  <sheetViews>
    <sheetView topLeftCell="E1" workbookViewId="0">
      <selection activeCell="P5" sqref="P5"/>
    </sheetView>
  </sheetViews>
  <sheetFormatPr defaultRowHeight="14.5" x14ac:dyDescent="0.35"/>
  <cols>
    <col min="4" max="4" width="10.453125" customWidth="1"/>
    <col min="6" max="6" width="18" customWidth="1"/>
    <col min="9" max="9" width="10" customWidth="1"/>
  </cols>
  <sheetData>
    <row r="1" spans="1:18" x14ac:dyDescent="0.35">
      <c r="A1" s="1" t="s">
        <v>118</v>
      </c>
      <c r="F1" t="s">
        <v>20</v>
      </c>
      <c r="I1" t="s">
        <v>172</v>
      </c>
      <c r="L1" t="s">
        <v>173</v>
      </c>
      <c r="O1" t="s">
        <v>298</v>
      </c>
    </row>
    <row r="3" spans="1:18" x14ac:dyDescent="0.35">
      <c r="A3" s="174" t="s">
        <v>66</v>
      </c>
      <c r="B3" s="174" t="s">
        <v>67</v>
      </c>
      <c r="C3" s="174" t="s">
        <v>68</v>
      </c>
      <c r="D3" s="174" t="s">
        <v>267</v>
      </c>
      <c r="F3" s="121"/>
      <c r="G3" s="121" t="str">
        <f>D3</f>
        <v>Difference</v>
      </c>
      <c r="J3" s="43" t="str">
        <f>D3</f>
        <v>Difference</v>
      </c>
      <c r="L3" s="121"/>
      <c r="M3" s="121" t="str">
        <f>D3</f>
        <v>Difference</v>
      </c>
      <c r="O3" t="s">
        <v>15</v>
      </c>
      <c r="P3">
        <f>COUNT(D4:D18)</f>
        <v>15</v>
      </c>
      <c r="Q3">
        <f>2*P3</f>
        <v>30</v>
      </c>
    </row>
    <row r="4" spans="1:18" x14ac:dyDescent="0.35">
      <c r="A4" s="209">
        <v>1</v>
      </c>
      <c r="B4" s="209">
        <v>210</v>
      </c>
      <c r="C4" s="209">
        <v>197</v>
      </c>
      <c r="D4" s="209">
        <f>B4-C4</f>
        <v>13</v>
      </c>
      <c r="F4" t="s">
        <v>3</v>
      </c>
      <c r="G4">
        <f>AVERAGE(D4:D18)</f>
        <v>10.8</v>
      </c>
      <c r="I4" t="s">
        <v>35</v>
      </c>
      <c r="J4" s="168">
        <f>J11-$J18</f>
        <v>2</v>
      </c>
      <c r="L4" t="s">
        <v>268</v>
      </c>
      <c r="M4" t="e">
        <f ca="1">SHAPIRO(D4:D18)</f>
        <v>#NAME?</v>
      </c>
      <c r="O4" t="s">
        <v>3</v>
      </c>
      <c r="P4">
        <f>AVERAGE(D4:D18)</f>
        <v>10.8</v>
      </c>
    </row>
    <row r="5" spans="1:18" x14ac:dyDescent="0.35">
      <c r="A5" s="209">
        <f>A4+1</f>
        <v>2</v>
      </c>
      <c r="B5" s="209">
        <v>205</v>
      </c>
      <c r="C5" s="209">
        <v>195</v>
      </c>
      <c r="D5" s="209">
        <f t="shared" ref="D5:D18" si="0">B5-C5</f>
        <v>10</v>
      </c>
      <c r="F5" t="s">
        <v>4</v>
      </c>
      <c r="G5">
        <f>STDEV(D4:D18)/SQRT(COUNT(D4:D18))</f>
        <v>4.1532546044666958</v>
      </c>
      <c r="I5" t="s">
        <v>36</v>
      </c>
      <c r="J5" s="101">
        <f>MAX(J12-J11,0)</f>
        <v>4</v>
      </c>
      <c r="L5" t="s">
        <v>48</v>
      </c>
      <c r="M5" t="e">
        <f ca="1">SWTEST(D4:D18)</f>
        <v>#NAME?</v>
      </c>
      <c r="O5" t="s">
        <v>43</v>
      </c>
      <c r="P5">
        <f>STDEV(D4:D18)</f>
        <v>16.085485915658786</v>
      </c>
    </row>
    <row r="6" spans="1:18" x14ac:dyDescent="0.35">
      <c r="A6" s="209">
        <f t="shared" ref="A6:A18" si="1">A5+1</f>
        <v>3</v>
      </c>
      <c r="B6" s="209">
        <v>193</v>
      </c>
      <c r="C6" s="209">
        <v>191</v>
      </c>
      <c r="D6" s="209">
        <f t="shared" si="0"/>
        <v>2</v>
      </c>
      <c r="F6" t="s">
        <v>5</v>
      </c>
      <c r="G6">
        <f>MEDIAN(D4:D18)</f>
        <v>8</v>
      </c>
      <c r="I6" t="s">
        <v>37</v>
      </c>
      <c r="J6" s="101">
        <f t="shared" ref="J6:J8" si="2">MAX(J13-J12,0)</f>
        <v>2</v>
      </c>
      <c r="L6" t="s">
        <v>94</v>
      </c>
      <c r="M6">
        <v>0.05</v>
      </c>
    </row>
    <row r="7" spans="1:18" x14ac:dyDescent="0.35">
      <c r="A7" s="209">
        <f t="shared" si="1"/>
        <v>4</v>
      </c>
      <c r="B7" s="209">
        <v>182</v>
      </c>
      <c r="C7" s="209">
        <v>174</v>
      </c>
      <c r="D7" s="209">
        <f t="shared" si="0"/>
        <v>8</v>
      </c>
      <c r="F7" t="s">
        <v>6</v>
      </c>
      <c r="G7">
        <f>MODE(D4:D18)</f>
        <v>13</v>
      </c>
      <c r="I7" t="s">
        <v>38</v>
      </c>
      <c r="J7" s="101">
        <f t="shared" si="2"/>
        <v>4</v>
      </c>
      <c r="L7" s="106" t="s">
        <v>174</v>
      </c>
      <c r="M7" s="119" t="e">
        <f ca="1">IF(M5&lt;M6,"no","yes")</f>
        <v>#NAME?</v>
      </c>
      <c r="O7" t="s">
        <v>53</v>
      </c>
      <c r="P7" t="s">
        <v>54</v>
      </c>
      <c r="Q7" t="s">
        <v>101</v>
      </c>
      <c r="R7" t="s">
        <v>55</v>
      </c>
    </row>
    <row r="8" spans="1:18" x14ac:dyDescent="0.35">
      <c r="A8" s="209">
        <f t="shared" si="1"/>
        <v>5</v>
      </c>
      <c r="B8" s="209">
        <v>271</v>
      </c>
      <c r="C8" s="209">
        <v>236</v>
      </c>
      <c r="D8" s="209">
        <f t="shared" si="0"/>
        <v>35</v>
      </c>
      <c r="F8" t="s">
        <v>7</v>
      </c>
      <c r="G8">
        <f>STDEV(D4:D18)</f>
        <v>16.085485915658786</v>
      </c>
      <c r="I8" t="s">
        <v>39</v>
      </c>
      <c r="J8" s="101">
        <f t="shared" si="2"/>
        <v>1</v>
      </c>
      <c r="O8">
        <v>1</v>
      </c>
      <c r="P8" t="e">
        <f t="array" aca="1" ref="P8:P22" ca="1">QSORT(D4:D18)</f>
        <v>#NAME?</v>
      </c>
      <c r="Q8">
        <f>NORMSINV(O8/Q$3)</f>
        <v>-1.8339146358159142</v>
      </c>
      <c r="R8" t="e">
        <f ca="1">STANDARDIZE(P8,P$4,P$5)</f>
        <v>#NAME?</v>
      </c>
    </row>
    <row r="9" spans="1:18" x14ac:dyDescent="0.35">
      <c r="A9" s="209">
        <f t="shared" si="1"/>
        <v>6</v>
      </c>
      <c r="B9" s="209">
        <v>239</v>
      </c>
      <c r="C9" s="209">
        <v>226</v>
      </c>
      <c r="D9" s="209">
        <f t="shared" si="0"/>
        <v>13</v>
      </c>
      <c r="F9" t="s">
        <v>8</v>
      </c>
      <c r="G9">
        <f>VAR(D4:D18)</f>
        <v>258.74285714285713</v>
      </c>
      <c r="I9" t="s">
        <v>3</v>
      </c>
      <c r="J9" s="103">
        <f>J16-$J18</f>
        <v>10.8</v>
      </c>
      <c r="L9" t="s">
        <v>269</v>
      </c>
      <c r="O9">
        <f>O8+2</f>
        <v>3</v>
      </c>
      <c r="P9" t="e">
        <f ca="1"/>
        <v>#NAME?</v>
      </c>
      <c r="Q9">
        <f t="shared" ref="Q9:Q22" si="3">NORMSINV(O9/Q$3)</f>
        <v>-1.2815515655446006</v>
      </c>
      <c r="R9" t="e">
        <f t="shared" ref="R9:R22" ca="1" si="4">STANDARDIZE(P9,P$4,P$5)</f>
        <v>#NAME?</v>
      </c>
    </row>
    <row r="10" spans="1:18" x14ac:dyDescent="0.35">
      <c r="A10" s="209">
        <f t="shared" si="1"/>
        <v>7</v>
      </c>
      <c r="B10" s="209">
        <v>164</v>
      </c>
      <c r="C10" s="209">
        <v>157</v>
      </c>
      <c r="D10" s="209">
        <f t="shared" si="0"/>
        <v>7</v>
      </c>
      <c r="F10" t="s">
        <v>9</v>
      </c>
      <c r="G10">
        <f>KURT(D4:D18)</f>
        <v>3.7668894886890252</v>
      </c>
      <c r="O10">
        <f t="shared" ref="O10:O22" si="5">O9+2</f>
        <v>5</v>
      </c>
      <c r="P10" t="e">
        <f ca="1"/>
        <v>#NAME?</v>
      </c>
      <c r="Q10">
        <f t="shared" si="3"/>
        <v>-0.96742156610170071</v>
      </c>
      <c r="R10" t="e">
        <f t="shared" ca="1" si="4"/>
        <v>#NAME?</v>
      </c>
    </row>
    <row r="11" spans="1:18" x14ac:dyDescent="0.35">
      <c r="A11" s="209">
        <f t="shared" si="1"/>
        <v>8</v>
      </c>
      <c r="B11" s="209">
        <v>197</v>
      </c>
      <c r="C11" s="209">
        <v>206</v>
      </c>
      <c r="D11" s="209">
        <f t="shared" si="0"/>
        <v>-9</v>
      </c>
      <c r="F11" t="s">
        <v>10</v>
      </c>
      <c r="G11">
        <f>SKEW(D4:D18)</f>
        <v>1.5821021697761628</v>
      </c>
      <c r="I11" t="s">
        <v>35</v>
      </c>
      <c r="J11" s="168">
        <f t="array" ref="J11">MIN(IF(D4:D18&gt;=J12-3*(J14-J12)/2,D4:D18,""))</f>
        <v>2</v>
      </c>
      <c r="L11" s="115" t="s">
        <v>270</v>
      </c>
      <c r="M11" s="115" t="e">
        <f ca="1">DAGOSTINO(D4:D18)</f>
        <v>#NAME?</v>
      </c>
      <c r="O11">
        <f t="shared" si="5"/>
        <v>7</v>
      </c>
      <c r="P11" t="e">
        <f ca="1"/>
        <v>#NAME?</v>
      </c>
      <c r="Q11">
        <f t="shared" si="3"/>
        <v>-0.72791329088164469</v>
      </c>
      <c r="R11" t="e">
        <f t="shared" ca="1" si="4"/>
        <v>#NAME?</v>
      </c>
    </row>
    <row r="12" spans="1:18" x14ac:dyDescent="0.35">
      <c r="A12" s="209">
        <f t="shared" si="1"/>
        <v>9</v>
      </c>
      <c r="B12" s="209">
        <v>222</v>
      </c>
      <c r="C12" s="209">
        <v>215</v>
      </c>
      <c r="D12" s="209">
        <f t="shared" si="0"/>
        <v>7</v>
      </c>
      <c r="F12" t="s">
        <v>11</v>
      </c>
      <c r="G12">
        <f>G13-G14</f>
        <v>67</v>
      </c>
      <c r="I12" t="s">
        <v>40</v>
      </c>
      <c r="J12" s="101">
        <f>QUARTILE(D4:D18,1)</f>
        <v>6</v>
      </c>
      <c r="L12" t="s">
        <v>48</v>
      </c>
      <c r="M12" t="e">
        <f ca="1">DPTEST(D4:D18)</f>
        <v>#NAME?</v>
      </c>
      <c r="O12">
        <f t="shared" si="5"/>
        <v>9</v>
      </c>
      <c r="P12" t="e">
        <f ca="1"/>
        <v>#NAME?</v>
      </c>
      <c r="Q12">
        <f t="shared" si="3"/>
        <v>-0.52440051270804089</v>
      </c>
      <c r="R12" t="e">
        <f t="shared" ca="1" si="4"/>
        <v>#NAME?</v>
      </c>
    </row>
    <row r="13" spans="1:18" x14ac:dyDescent="0.35">
      <c r="A13" s="209">
        <f t="shared" si="1"/>
        <v>10</v>
      </c>
      <c r="B13" s="209">
        <v>251</v>
      </c>
      <c r="C13" s="209">
        <v>196</v>
      </c>
      <c r="D13" s="209">
        <f t="shared" si="0"/>
        <v>55</v>
      </c>
      <c r="F13" t="s">
        <v>13</v>
      </c>
      <c r="G13">
        <f>MAX(D4:D18)</f>
        <v>55</v>
      </c>
      <c r="I13" t="s">
        <v>5</v>
      </c>
      <c r="J13" s="101">
        <f>MEDIAN(D4:D18)</f>
        <v>8</v>
      </c>
      <c r="L13" t="s">
        <v>94</v>
      </c>
      <c r="M13">
        <v>0.05</v>
      </c>
      <c r="O13">
        <f t="shared" si="5"/>
        <v>11</v>
      </c>
      <c r="P13" t="e">
        <f ca="1"/>
        <v>#NAME?</v>
      </c>
      <c r="Q13">
        <f t="shared" si="3"/>
        <v>-0.34069482708779553</v>
      </c>
      <c r="R13" t="e">
        <f t="shared" ca="1" si="4"/>
        <v>#NAME?</v>
      </c>
    </row>
    <row r="14" spans="1:18" x14ac:dyDescent="0.35">
      <c r="A14" s="209">
        <f t="shared" si="1"/>
        <v>11</v>
      </c>
      <c r="B14" s="209">
        <v>187</v>
      </c>
      <c r="C14" s="209">
        <v>181</v>
      </c>
      <c r="D14" s="209">
        <f t="shared" si="0"/>
        <v>6</v>
      </c>
      <c r="F14" t="s">
        <v>12</v>
      </c>
      <c r="G14">
        <f>MIN(D4:D18)</f>
        <v>-12</v>
      </c>
      <c r="I14" t="s">
        <v>108</v>
      </c>
      <c r="J14" s="101">
        <f>QUARTILE(D4:D18,3)</f>
        <v>12</v>
      </c>
      <c r="L14" s="106" t="s">
        <v>174</v>
      </c>
      <c r="M14" s="119" t="e">
        <f ca="1">IF(M12&lt;M13,"no","yes")</f>
        <v>#NAME?</v>
      </c>
      <c r="O14">
        <f t="shared" si="5"/>
        <v>13</v>
      </c>
      <c r="P14" t="e">
        <f ca="1"/>
        <v>#NAME?</v>
      </c>
      <c r="Q14">
        <f t="shared" si="3"/>
        <v>-0.16789400478810546</v>
      </c>
      <c r="R14" t="e">
        <f t="shared" ca="1" si="4"/>
        <v>#NAME?</v>
      </c>
    </row>
    <row r="15" spans="1:18" x14ac:dyDescent="0.35">
      <c r="A15" s="209">
        <f t="shared" si="1"/>
        <v>12</v>
      </c>
      <c r="B15" s="209">
        <v>175</v>
      </c>
      <c r="C15" s="209">
        <v>164</v>
      </c>
      <c r="D15" s="209">
        <f t="shared" si="0"/>
        <v>11</v>
      </c>
      <c r="F15" t="s">
        <v>14</v>
      </c>
      <c r="G15">
        <f>SUM(D4:D18)</f>
        <v>162</v>
      </c>
      <c r="I15" t="s">
        <v>271</v>
      </c>
      <c r="J15" s="101">
        <f t="array" ref="J15">MAX(IF(D4:D18&lt;=J14+3*(J14-J12)/2,D4:D18,""))</f>
        <v>13</v>
      </c>
      <c r="O15">
        <f t="shared" si="5"/>
        <v>15</v>
      </c>
      <c r="P15" t="e">
        <f ca="1"/>
        <v>#NAME?</v>
      </c>
      <c r="Q15">
        <f t="shared" si="3"/>
        <v>0</v>
      </c>
      <c r="R15" t="e">
        <f t="shared" ca="1" si="4"/>
        <v>#NAME?</v>
      </c>
    </row>
    <row r="16" spans="1:18" x14ac:dyDescent="0.35">
      <c r="A16" s="209">
        <f t="shared" si="1"/>
        <v>13</v>
      </c>
      <c r="B16" s="209">
        <v>186</v>
      </c>
      <c r="C16" s="209">
        <v>198</v>
      </c>
      <c r="D16" s="209">
        <f t="shared" si="0"/>
        <v>-12</v>
      </c>
      <c r="F16" t="s">
        <v>15</v>
      </c>
      <c r="G16">
        <f>COUNT(D4:D18)</f>
        <v>15</v>
      </c>
      <c r="I16" t="s">
        <v>3</v>
      </c>
      <c r="J16" s="103">
        <f>AVERAGE(D4:D18)</f>
        <v>10.8</v>
      </c>
      <c r="O16">
        <f t="shared" si="5"/>
        <v>17</v>
      </c>
      <c r="P16" t="e">
        <f ca="1"/>
        <v>#NAME?</v>
      </c>
      <c r="Q16">
        <f t="shared" si="3"/>
        <v>0.16789400478810546</v>
      </c>
      <c r="R16" t="e">
        <f t="shared" ca="1" si="4"/>
        <v>#NAME?</v>
      </c>
    </row>
    <row r="17" spans="1:18" x14ac:dyDescent="0.35">
      <c r="A17" s="209">
        <f t="shared" si="1"/>
        <v>14</v>
      </c>
      <c r="B17" s="209">
        <v>243</v>
      </c>
      <c r="C17" s="209">
        <v>233</v>
      </c>
      <c r="D17" s="209">
        <f t="shared" si="0"/>
        <v>10</v>
      </c>
      <c r="F17" t="s">
        <v>1</v>
      </c>
      <c r="G17" t="e">
        <f>GEOMEAN(D4:D18)</f>
        <v>#NUM!</v>
      </c>
      <c r="O17">
        <f t="shared" si="5"/>
        <v>19</v>
      </c>
      <c r="P17" t="e">
        <f ca="1"/>
        <v>#NAME?</v>
      </c>
      <c r="Q17">
        <f t="shared" si="3"/>
        <v>0.34069482708779542</v>
      </c>
      <c r="R17" t="e">
        <f t="shared" ca="1" si="4"/>
        <v>#NAME?</v>
      </c>
    </row>
    <row r="18" spans="1:18" x14ac:dyDescent="0.35">
      <c r="A18" s="195">
        <f t="shared" si="1"/>
        <v>15</v>
      </c>
      <c r="B18" s="195">
        <v>246</v>
      </c>
      <c r="C18" s="195">
        <v>240</v>
      </c>
      <c r="D18" s="195">
        <f t="shared" si="0"/>
        <v>6</v>
      </c>
      <c r="F18" t="s">
        <v>16</v>
      </c>
      <c r="G18" t="e">
        <f>HARMEAN(D4:D18)</f>
        <v>#NUM!</v>
      </c>
      <c r="I18" t="s">
        <v>258</v>
      </c>
      <c r="J18" s="162">
        <f>IF(MIN(J11)&gt;=0,0,MIN(J11))</f>
        <v>0</v>
      </c>
      <c r="O18">
        <f t="shared" si="5"/>
        <v>21</v>
      </c>
      <c r="P18" t="e">
        <f ca="1"/>
        <v>#NAME?</v>
      </c>
      <c r="Q18">
        <f t="shared" si="3"/>
        <v>0.52440051270804078</v>
      </c>
      <c r="R18" t="e">
        <f t="shared" ca="1" si="4"/>
        <v>#NAME?</v>
      </c>
    </row>
    <row r="19" spans="1:18" x14ac:dyDescent="0.35">
      <c r="F19" t="s">
        <v>17</v>
      </c>
      <c r="G19">
        <f>AVEDEV(D4:D18)</f>
        <v>9.7333333333333361</v>
      </c>
      <c r="O19">
        <f t="shared" si="5"/>
        <v>23</v>
      </c>
      <c r="P19" t="e">
        <f ca="1"/>
        <v>#NAME?</v>
      </c>
      <c r="Q19">
        <f t="shared" si="3"/>
        <v>0.72791329088164458</v>
      </c>
      <c r="R19" t="e">
        <f t="shared" ca="1" si="4"/>
        <v>#NAME?</v>
      </c>
    </row>
    <row r="20" spans="1:18" x14ac:dyDescent="0.35">
      <c r="F20" t="s">
        <v>18</v>
      </c>
      <c r="G20" t="e">
        <f ca="1">MAD(D4:D18)</f>
        <v>#NAME?</v>
      </c>
      <c r="I20" t="s">
        <v>272</v>
      </c>
      <c r="J20">
        <f>D8</f>
        <v>35</v>
      </c>
      <c r="O20">
        <f t="shared" si="5"/>
        <v>25</v>
      </c>
      <c r="P20" t="e">
        <f ca="1"/>
        <v>#NAME?</v>
      </c>
      <c r="Q20">
        <f t="shared" si="3"/>
        <v>0.96742156610170071</v>
      </c>
      <c r="R20" t="e">
        <f t="shared" ca="1" si="4"/>
        <v>#NAME?</v>
      </c>
    </row>
    <row r="21" spans="1:18" x14ac:dyDescent="0.35">
      <c r="F21" s="106" t="s">
        <v>19</v>
      </c>
      <c r="G21" s="106" t="e">
        <f ca="1">IQR(D4:D18,FALSE)</f>
        <v>#NAME?</v>
      </c>
      <c r="J21">
        <f>D11</f>
        <v>-9</v>
      </c>
      <c r="O21">
        <f t="shared" si="5"/>
        <v>27</v>
      </c>
      <c r="P21" t="e">
        <f ca="1"/>
        <v>#NAME?</v>
      </c>
      <c r="Q21">
        <f t="shared" si="3"/>
        <v>1.2815515655446006</v>
      </c>
      <c r="R21" t="e">
        <f t="shared" ca="1" si="4"/>
        <v>#NAME?</v>
      </c>
    </row>
    <row r="22" spans="1:18" x14ac:dyDescent="0.35">
      <c r="J22">
        <f>D13</f>
        <v>55</v>
      </c>
      <c r="O22">
        <f t="shared" si="5"/>
        <v>29</v>
      </c>
      <c r="P22" t="e">
        <f ca="1"/>
        <v>#NAME?</v>
      </c>
      <c r="Q22">
        <f t="shared" si="3"/>
        <v>1.8339146358159142</v>
      </c>
      <c r="R22" t="e">
        <f t="shared" ca="1" si="4"/>
        <v>#NAME?</v>
      </c>
    </row>
    <row r="23" spans="1:18" x14ac:dyDescent="0.35">
      <c r="J23">
        <f>D16</f>
        <v>-12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J18"/>
  <sheetViews>
    <sheetView workbookViewId="0">
      <selection sqref="A1:XFD1048576"/>
    </sheetView>
  </sheetViews>
  <sheetFormatPr defaultRowHeight="14.5" x14ac:dyDescent="0.35"/>
  <cols>
    <col min="4" max="4" width="10.453125" customWidth="1"/>
  </cols>
  <sheetData>
    <row r="1" spans="1:10" x14ac:dyDescent="0.35">
      <c r="A1" s="1" t="s">
        <v>118</v>
      </c>
    </row>
    <row r="3" spans="1:10" x14ac:dyDescent="0.35">
      <c r="A3" s="174" t="s">
        <v>66</v>
      </c>
      <c r="B3" s="174" t="s">
        <v>67</v>
      </c>
      <c r="C3" s="174" t="s">
        <v>68</v>
      </c>
      <c r="D3" s="174" t="s">
        <v>267</v>
      </c>
      <c r="F3" t="s">
        <v>118</v>
      </c>
      <c r="I3" t="s">
        <v>118</v>
      </c>
    </row>
    <row r="4" spans="1:10" x14ac:dyDescent="0.35">
      <c r="A4" s="209">
        <v>1</v>
      </c>
      <c r="B4" s="209">
        <v>210</v>
      </c>
      <c r="C4" s="209">
        <v>197</v>
      </c>
      <c r="D4" s="209">
        <f>B4-C4</f>
        <v>13</v>
      </c>
    </row>
    <row r="5" spans="1:10" x14ac:dyDescent="0.35">
      <c r="A5" s="209">
        <f>A4+1</f>
        <v>2</v>
      </c>
      <c r="B5" s="209">
        <v>205</v>
      </c>
      <c r="C5" s="209">
        <v>195</v>
      </c>
      <c r="D5" s="209">
        <f t="shared" ref="D5:D18" si="0">B5-C5</f>
        <v>10</v>
      </c>
      <c r="F5" t="s">
        <v>30</v>
      </c>
      <c r="G5" s="168">
        <v>0.05</v>
      </c>
      <c r="I5" t="s">
        <v>30</v>
      </c>
      <c r="J5" s="168">
        <v>0.05</v>
      </c>
    </row>
    <row r="6" spans="1:10" x14ac:dyDescent="0.35">
      <c r="A6" s="209">
        <f t="shared" ref="A6:A18" si="1">A5+1</f>
        <v>3</v>
      </c>
      <c r="B6" s="209">
        <v>193</v>
      </c>
      <c r="C6" s="209">
        <v>191</v>
      </c>
      <c r="D6" s="209">
        <f t="shared" si="0"/>
        <v>2</v>
      </c>
      <c r="F6" t="s">
        <v>299</v>
      </c>
      <c r="G6" s="101">
        <v>0</v>
      </c>
      <c r="I6" t="s">
        <v>299</v>
      </c>
      <c r="J6" s="101">
        <v>0</v>
      </c>
    </row>
    <row r="7" spans="1:10" x14ac:dyDescent="0.35">
      <c r="A7" s="209">
        <f t="shared" si="1"/>
        <v>4</v>
      </c>
      <c r="B7" s="209">
        <v>182</v>
      </c>
      <c r="C7" s="209">
        <v>174</v>
      </c>
      <c r="D7" s="209">
        <f t="shared" si="0"/>
        <v>8</v>
      </c>
      <c r="F7" t="s">
        <v>211</v>
      </c>
      <c r="G7" s="103">
        <v>2</v>
      </c>
      <c r="I7" t="s">
        <v>211</v>
      </c>
      <c r="J7" s="103">
        <v>2</v>
      </c>
    </row>
    <row r="8" spans="1:10" x14ac:dyDescent="0.35">
      <c r="A8" s="209">
        <f t="shared" si="1"/>
        <v>5</v>
      </c>
      <c r="B8" s="209">
        <v>271</v>
      </c>
      <c r="C8" s="209">
        <v>236</v>
      </c>
      <c r="D8" s="209">
        <f t="shared" si="0"/>
        <v>35</v>
      </c>
    </row>
    <row r="9" spans="1:10" x14ac:dyDescent="0.35">
      <c r="A9" s="209">
        <f t="shared" si="1"/>
        <v>6</v>
      </c>
      <c r="B9" s="209">
        <v>239</v>
      </c>
      <c r="C9" s="209">
        <v>226</v>
      </c>
      <c r="D9" s="209">
        <f t="shared" si="0"/>
        <v>13</v>
      </c>
      <c r="F9" t="s">
        <v>5</v>
      </c>
      <c r="G9" s="168">
        <f t="array" ref="G9">MEDIAN(B4:B18-C4:C18)</f>
        <v>8</v>
      </c>
      <c r="I9" t="s">
        <v>5</v>
      </c>
      <c r="J9" s="168">
        <f>MEDIAN(D4:D18)</f>
        <v>8</v>
      </c>
    </row>
    <row r="10" spans="1:10" x14ac:dyDescent="0.35">
      <c r="A10" s="209">
        <f t="shared" si="1"/>
        <v>7</v>
      </c>
      <c r="B10" s="209">
        <v>164</v>
      </c>
      <c r="C10" s="209">
        <v>157</v>
      </c>
      <c r="D10" s="209">
        <f t="shared" si="0"/>
        <v>7</v>
      </c>
      <c r="F10" t="s">
        <v>48</v>
      </c>
      <c r="G10" s="103" t="e">
        <f ca="1">SignTest(B4:B18,C4:C18,G7)</f>
        <v>#NAME?</v>
      </c>
      <c r="I10" t="s">
        <v>48</v>
      </c>
      <c r="J10" s="103" t="e">
        <f ca="1">SignTest(D4:D18,J6,J7)</f>
        <v>#NAME?</v>
      </c>
    </row>
    <row r="11" spans="1:10" x14ac:dyDescent="0.35">
      <c r="A11" s="209">
        <f t="shared" si="1"/>
        <v>8</v>
      </c>
      <c r="B11" s="209">
        <v>197</v>
      </c>
      <c r="C11" s="209">
        <v>206</v>
      </c>
      <c r="D11" s="209">
        <f t="shared" si="0"/>
        <v>-9</v>
      </c>
    </row>
    <row r="12" spans="1:10" x14ac:dyDescent="0.35">
      <c r="A12" s="209">
        <f t="shared" si="1"/>
        <v>9</v>
      </c>
      <c r="B12" s="209">
        <v>222</v>
      </c>
      <c r="C12" s="209">
        <v>215</v>
      </c>
      <c r="D12" s="209">
        <f t="shared" si="0"/>
        <v>7</v>
      </c>
    </row>
    <row r="13" spans="1:10" x14ac:dyDescent="0.35">
      <c r="A13" s="209">
        <f t="shared" si="1"/>
        <v>10</v>
      </c>
      <c r="B13" s="209">
        <v>251</v>
      </c>
      <c r="C13" s="209">
        <v>196</v>
      </c>
      <c r="D13" s="209">
        <f t="shared" si="0"/>
        <v>55</v>
      </c>
    </row>
    <row r="14" spans="1:10" x14ac:dyDescent="0.35">
      <c r="A14" s="209">
        <f t="shared" si="1"/>
        <v>11</v>
      </c>
      <c r="B14" s="209">
        <v>187</v>
      </c>
      <c r="C14" s="209">
        <v>181</v>
      </c>
      <c r="D14" s="209">
        <f t="shared" si="0"/>
        <v>6</v>
      </c>
    </row>
    <row r="15" spans="1:10" x14ac:dyDescent="0.35">
      <c r="A15" s="209">
        <f t="shared" si="1"/>
        <v>12</v>
      </c>
      <c r="B15" s="209">
        <v>175</v>
      </c>
      <c r="C15" s="209">
        <v>164</v>
      </c>
      <c r="D15" s="209">
        <f t="shared" si="0"/>
        <v>11</v>
      </c>
    </row>
    <row r="16" spans="1:10" x14ac:dyDescent="0.35">
      <c r="A16" s="209">
        <f t="shared" si="1"/>
        <v>13</v>
      </c>
      <c r="B16" s="209">
        <v>186</v>
      </c>
      <c r="C16" s="209">
        <v>198</v>
      </c>
      <c r="D16" s="209">
        <f t="shared" si="0"/>
        <v>-12</v>
      </c>
    </row>
    <row r="17" spans="1:4" x14ac:dyDescent="0.35">
      <c r="A17" s="209">
        <f t="shared" si="1"/>
        <v>14</v>
      </c>
      <c r="B17" s="209">
        <v>243</v>
      </c>
      <c r="C17" s="209">
        <v>233</v>
      </c>
      <c r="D17" s="209">
        <f t="shared" si="0"/>
        <v>10</v>
      </c>
    </row>
    <row r="18" spans="1:4" x14ac:dyDescent="0.35">
      <c r="A18" s="195">
        <f t="shared" si="1"/>
        <v>15</v>
      </c>
      <c r="B18" s="195">
        <v>246</v>
      </c>
      <c r="C18" s="195">
        <v>240</v>
      </c>
      <c r="D18" s="195">
        <f t="shared" si="0"/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R30"/>
  <sheetViews>
    <sheetView workbookViewId="0">
      <selection activeCell="AC24" sqref="AC24"/>
    </sheetView>
  </sheetViews>
  <sheetFormatPr defaultRowHeight="14.5" x14ac:dyDescent="0.35"/>
  <cols>
    <col min="5" max="5" width="2.81640625" customWidth="1"/>
    <col min="9" max="9" width="5" customWidth="1"/>
    <col min="10" max="10" width="10" bestFit="1" customWidth="1"/>
  </cols>
  <sheetData>
    <row r="1" spans="1:18" x14ac:dyDescent="0.35">
      <c r="A1" s="1" t="s">
        <v>331</v>
      </c>
    </row>
    <row r="2" spans="1:18" x14ac:dyDescent="0.35">
      <c r="M2" s="216" t="s">
        <v>332</v>
      </c>
      <c r="N2" s="165">
        <f>COUNTIF(D4:D13,"&gt;0")</f>
        <v>7</v>
      </c>
    </row>
    <row r="3" spans="1:18" x14ac:dyDescent="0.35">
      <c r="A3" s="204" t="s">
        <v>42</v>
      </c>
      <c r="B3" s="204" t="s">
        <v>301</v>
      </c>
      <c r="C3" s="204" t="s">
        <v>302</v>
      </c>
      <c r="D3" s="204" t="s">
        <v>109</v>
      </c>
      <c r="F3" s="40" t="s">
        <v>118</v>
      </c>
      <c r="J3" t="s">
        <v>333</v>
      </c>
      <c r="K3" s="165">
        <f>N4/K4</f>
        <v>0.2</v>
      </c>
      <c r="M3" s="216" t="s">
        <v>334</v>
      </c>
      <c r="N3" s="58">
        <f>COUNTIF(D4:D13,"&lt;0")</f>
        <v>1</v>
      </c>
    </row>
    <row r="4" spans="1:18" x14ac:dyDescent="0.35">
      <c r="A4" s="72">
        <v>1</v>
      </c>
      <c r="B4" s="179">
        <v>30</v>
      </c>
      <c r="C4" s="216">
        <v>23</v>
      </c>
      <c r="D4" s="218">
        <f>B4-C4</f>
        <v>7</v>
      </c>
      <c r="J4" t="s">
        <v>26</v>
      </c>
      <c r="K4" s="58">
        <f>SUM(N2:N4)</f>
        <v>10</v>
      </c>
      <c r="M4" s="216" t="s">
        <v>335</v>
      </c>
      <c r="N4" s="58">
        <f>COUNTIF(D4:D13,0)</f>
        <v>2</v>
      </c>
    </row>
    <row r="5" spans="1:18" x14ac:dyDescent="0.35">
      <c r="A5" s="72">
        <f t="shared" ref="A5:A10" si="0">A4+1</f>
        <v>2</v>
      </c>
      <c r="B5" s="179">
        <v>15</v>
      </c>
      <c r="C5" s="216">
        <v>13</v>
      </c>
      <c r="D5" s="218">
        <f t="shared" ref="D5:D13" si="1">B5-C5</f>
        <v>2</v>
      </c>
      <c r="F5" t="s">
        <v>30</v>
      </c>
      <c r="G5" s="168">
        <v>0.05</v>
      </c>
      <c r="J5" t="s">
        <v>336</v>
      </c>
      <c r="K5" s="50">
        <f>(1-K3)/2</f>
        <v>0.4</v>
      </c>
      <c r="M5" s="193" t="s">
        <v>337</v>
      </c>
      <c r="N5" s="50">
        <f>ABS(N2-N3)</f>
        <v>6</v>
      </c>
    </row>
    <row r="6" spans="1:18" x14ac:dyDescent="0.35">
      <c r="A6" s="72">
        <f t="shared" si="0"/>
        <v>3</v>
      </c>
      <c r="B6" s="179">
        <v>35</v>
      </c>
      <c r="C6" s="216">
        <v>31</v>
      </c>
      <c r="D6" s="218">
        <f t="shared" si="1"/>
        <v>4</v>
      </c>
      <c r="F6" t="s">
        <v>299</v>
      </c>
      <c r="G6" s="101">
        <v>0</v>
      </c>
    </row>
    <row r="7" spans="1:18" x14ac:dyDescent="0.35">
      <c r="A7" s="72">
        <f t="shared" si="0"/>
        <v>4</v>
      </c>
      <c r="B7" s="179">
        <v>12</v>
      </c>
      <c r="C7" s="216">
        <v>15</v>
      </c>
      <c r="D7" s="218">
        <f t="shared" si="1"/>
        <v>-3</v>
      </c>
      <c r="F7" t="s">
        <v>211</v>
      </c>
      <c r="G7" s="103">
        <v>2</v>
      </c>
      <c r="I7" s="12" t="s">
        <v>338</v>
      </c>
      <c r="J7" s="216">
        <v>0</v>
      </c>
      <c r="K7" s="216">
        <f>J7+1</f>
        <v>1</v>
      </c>
      <c r="L7" s="216">
        <f t="shared" ref="L7:O7" si="2">K7+1</f>
        <v>2</v>
      </c>
      <c r="M7" s="216">
        <f t="shared" si="2"/>
        <v>3</v>
      </c>
      <c r="N7" s="216">
        <f t="shared" si="2"/>
        <v>4</v>
      </c>
      <c r="O7" s="216">
        <f t="shared" si="2"/>
        <v>5</v>
      </c>
      <c r="P7" s="216" t="s">
        <v>340</v>
      </c>
      <c r="Q7" s="216" t="s">
        <v>186</v>
      </c>
      <c r="R7" s="217" t="s">
        <v>339</v>
      </c>
    </row>
    <row r="8" spans="1:18" x14ac:dyDescent="0.35">
      <c r="A8" s="72">
        <f t="shared" si="0"/>
        <v>5</v>
      </c>
      <c r="B8" s="179">
        <v>35</v>
      </c>
      <c r="C8" s="216">
        <v>35</v>
      </c>
      <c r="D8" s="218">
        <f t="shared" si="1"/>
        <v>0</v>
      </c>
      <c r="I8">
        <v>0</v>
      </c>
      <c r="J8" s="117">
        <f t="shared" ref="J8:O18" si="3">IFERROR(FACT($K$4)/(FACT($I8+J$7)*FACT(J$7)*FACT($K$4-$I8-2*J$7))*$K$5^($I8+2*J$7)*$K$3^($K$4-$I8-2*J$7),"")</f>
        <v>1.0240000000000011E-7</v>
      </c>
      <c r="K8" s="171">
        <f t="shared" si="3"/>
        <v>3.6864000000000039E-5</v>
      </c>
      <c r="L8" s="171">
        <f t="shared" si="3"/>
        <v>2.064384000000002E-3</v>
      </c>
      <c r="M8" s="171">
        <f t="shared" si="3"/>
        <v>2.7525120000000028E-2</v>
      </c>
      <c r="N8" s="171">
        <f t="shared" si="3"/>
        <v>8.2575360000000084E-2</v>
      </c>
      <c r="O8" s="118">
        <f t="shared" si="3"/>
        <v>2.6424115200000028E-2</v>
      </c>
      <c r="P8" s="219">
        <f>SUM(J8:O8)</f>
        <v>0.13862594560000013</v>
      </c>
      <c r="Q8" s="117"/>
      <c r="R8" s="118"/>
    </row>
    <row r="9" spans="1:18" x14ac:dyDescent="0.35">
      <c r="A9" s="72">
        <f t="shared" si="0"/>
        <v>6</v>
      </c>
      <c r="B9" s="179">
        <v>8</v>
      </c>
      <c r="C9" s="216">
        <v>8</v>
      </c>
      <c r="D9" s="218">
        <f t="shared" si="1"/>
        <v>0</v>
      </c>
      <c r="F9" t="s">
        <v>5</v>
      </c>
      <c r="G9" s="168">
        <f t="array" ref="G9">MEDIAN(B4:B13-C4:C13)</f>
        <v>2.5</v>
      </c>
      <c r="I9">
        <f t="shared" ref="I9:I18" si="4">I8+1</f>
        <v>1</v>
      </c>
      <c r="J9" s="59">
        <f t="shared" si="3"/>
        <v>2.0480000000000018E-6</v>
      </c>
      <c r="K9" s="7">
        <f t="shared" si="3"/>
        <v>2.9491200000000031E-4</v>
      </c>
      <c r="L9" s="7">
        <f t="shared" si="3"/>
        <v>8.2575360000000098E-3</v>
      </c>
      <c r="M9" s="7">
        <f t="shared" si="3"/>
        <v>5.5050240000000049E-2</v>
      </c>
      <c r="N9" s="7">
        <f t="shared" si="3"/>
        <v>6.6060288000000064E-2</v>
      </c>
      <c r="O9" s="60" t="str">
        <f t="shared" si="3"/>
        <v/>
      </c>
      <c r="P9" s="220">
        <f t="shared" ref="P9:P18" si="5">SUM(J9:O9)</f>
        <v>0.12966502400000013</v>
      </c>
      <c r="Q9" s="63">
        <f>Q10+P9</f>
        <v>0.43068702720000041</v>
      </c>
      <c r="R9" s="60">
        <f>Q9*2</f>
        <v>0.86137405440000081</v>
      </c>
    </row>
    <row r="10" spans="1:18" x14ac:dyDescent="0.35">
      <c r="A10" s="72">
        <f t="shared" si="0"/>
        <v>7</v>
      </c>
      <c r="B10" s="179">
        <v>21</v>
      </c>
      <c r="C10" s="216">
        <v>18</v>
      </c>
      <c r="D10" s="218">
        <f t="shared" si="1"/>
        <v>3</v>
      </c>
      <c r="F10" t="s">
        <v>48</v>
      </c>
      <c r="G10" s="103" t="e">
        <f ca="1">SignTest(B4:B13,C4:C13,G7)</f>
        <v>#NAME?</v>
      </c>
      <c r="I10">
        <f t="shared" si="4"/>
        <v>2</v>
      </c>
      <c r="J10" s="59">
        <f t="shared" si="3"/>
        <v>1.8432000000000019E-5</v>
      </c>
      <c r="K10" s="7">
        <f t="shared" si="3"/>
        <v>1.3762560000000013E-3</v>
      </c>
      <c r="L10" s="7">
        <f t="shared" si="3"/>
        <v>2.0643840000000021E-2</v>
      </c>
      <c r="M10" s="7">
        <f t="shared" si="3"/>
        <v>6.6060288000000078E-2</v>
      </c>
      <c r="N10" s="7">
        <f t="shared" si="3"/>
        <v>2.2020096000000024E-2</v>
      </c>
      <c r="O10" s="60" t="str">
        <f t="shared" si="3"/>
        <v/>
      </c>
      <c r="P10" s="220">
        <f t="shared" si="5"/>
        <v>0.11011891200000012</v>
      </c>
      <c r="Q10" s="63">
        <f t="shared" ref="Q10:Q16" si="6">Q11+P10</f>
        <v>0.30102200320000028</v>
      </c>
      <c r="R10" s="60">
        <f t="shared" ref="R10:R18" si="7">Q10*2</f>
        <v>0.60204400640000055</v>
      </c>
    </row>
    <row r="11" spans="1:18" x14ac:dyDescent="0.35">
      <c r="A11" s="72">
        <f>A10+1</f>
        <v>8</v>
      </c>
      <c r="B11" s="179">
        <v>8</v>
      </c>
      <c r="C11" s="216">
        <v>7</v>
      </c>
      <c r="D11" s="218">
        <f t="shared" si="1"/>
        <v>1</v>
      </c>
      <c r="I11">
        <f t="shared" si="4"/>
        <v>3</v>
      </c>
      <c r="J11" s="59">
        <f t="shared" si="3"/>
        <v>9.8304000000000094E-5</v>
      </c>
      <c r="K11" s="7">
        <f t="shared" si="3"/>
        <v>4.1287680000000049E-3</v>
      </c>
      <c r="L11" s="7">
        <f t="shared" si="3"/>
        <v>3.3030144000000032E-2</v>
      </c>
      <c r="M11" s="7">
        <f t="shared" si="3"/>
        <v>4.404019200000004E-2</v>
      </c>
      <c r="N11" s="7" t="str">
        <f t="shared" si="3"/>
        <v/>
      </c>
      <c r="O11" s="60" t="str">
        <f t="shared" si="3"/>
        <v/>
      </c>
      <c r="P11" s="220">
        <f t="shared" si="5"/>
        <v>8.1297408000000071E-2</v>
      </c>
      <c r="Q11" s="63">
        <f t="shared" si="6"/>
        <v>0.19090309120000018</v>
      </c>
      <c r="R11" s="60">
        <f t="shared" si="7"/>
        <v>0.38180618240000036</v>
      </c>
    </row>
    <row r="12" spans="1:18" x14ac:dyDescent="0.35">
      <c r="A12" s="72">
        <f t="shared" ref="A12" si="8">A11+1</f>
        <v>9</v>
      </c>
      <c r="B12" s="179">
        <v>29</v>
      </c>
      <c r="C12" s="216">
        <v>22</v>
      </c>
      <c r="D12" s="218">
        <f t="shared" si="1"/>
        <v>7</v>
      </c>
      <c r="F12" t="s">
        <v>331</v>
      </c>
      <c r="I12">
        <f t="shared" si="4"/>
        <v>4</v>
      </c>
      <c r="J12" s="59">
        <f t="shared" si="3"/>
        <v>3.4406400000000032E-4</v>
      </c>
      <c r="K12" s="7">
        <f t="shared" si="3"/>
        <v>8.257536000000008E-3</v>
      </c>
      <c r="L12" s="7">
        <f t="shared" si="3"/>
        <v>3.3030144000000039E-2</v>
      </c>
      <c r="M12" s="7">
        <f t="shared" si="3"/>
        <v>1.2582912000000014E-2</v>
      </c>
      <c r="N12" s="7" t="str">
        <f t="shared" si="3"/>
        <v/>
      </c>
      <c r="O12" s="60" t="str">
        <f t="shared" si="3"/>
        <v/>
      </c>
      <c r="P12" s="220">
        <f t="shared" si="5"/>
        <v>5.4214656000000062E-2</v>
      </c>
      <c r="Q12" s="63">
        <f t="shared" si="6"/>
        <v>0.10960568320000011</v>
      </c>
      <c r="R12" s="60">
        <f t="shared" si="7"/>
        <v>0.21921136640000022</v>
      </c>
    </row>
    <row r="13" spans="1:18" x14ac:dyDescent="0.35">
      <c r="A13" s="180">
        <f>A12+1</f>
        <v>10</v>
      </c>
      <c r="B13" s="181">
        <v>17</v>
      </c>
      <c r="C13" s="215">
        <v>13</v>
      </c>
      <c r="D13" s="215">
        <f t="shared" si="1"/>
        <v>4</v>
      </c>
      <c r="I13">
        <f t="shared" si="4"/>
        <v>5</v>
      </c>
      <c r="J13" s="59">
        <f t="shared" si="3"/>
        <v>8.25753600000001E-4</v>
      </c>
      <c r="K13" s="7">
        <f t="shared" si="3"/>
        <v>1.101004800000001E-2</v>
      </c>
      <c r="L13" s="7">
        <f t="shared" si="3"/>
        <v>1.8874368000000016E-2</v>
      </c>
      <c r="M13" s="7" t="str">
        <f t="shared" si="3"/>
        <v/>
      </c>
      <c r="N13" s="7" t="str">
        <f t="shared" si="3"/>
        <v/>
      </c>
      <c r="O13" s="60" t="str">
        <f t="shared" si="3"/>
        <v/>
      </c>
      <c r="P13" s="220">
        <f t="shared" si="5"/>
        <v>3.0710169600000028E-2</v>
      </c>
      <c r="Q13" s="63">
        <f t="shared" si="6"/>
        <v>5.5391027200000054E-2</v>
      </c>
      <c r="R13" s="60">
        <f t="shared" si="7"/>
        <v>0.11078205440000011</v>
      </c>
    </row>
    <row r="14" spans="1:18" x14ac:dyDescent="0.35">
      <c r="F14" t="s">
        <v>48</v>
      </c>
      <c r="G14" s="88" t="e">
        <f ca="1">TrinomTest(B4:B13,C4:C13,2)</f>
        <v>#NAME?</v>
      </c>
      <c r="I14">
        <f t="shared" si="4"/>
        <v>6</v>
      </c>
      <c r="J14" s="59">
        <f t="shared" si="3"/>
        <v>1.3762560000000015E-3</v>
      </c>
      <c r="K14" s="7">
        <f t="shared" si="3"/>
        <v>9.4371840000000099E-3</v>
      </c>
      <c r="L14" s="7">
        <f t="shared" si="3"/>
        <v>4.718592000000005E-3</v>
      </c>
      <c r="M14" s="7" t="str">
        <f t="shared" si="3"/>
        <v/>
      </c>
      <c r="N14" s="7" t="str">
        <f t="shared" si="3"/>
        <v/>
      </c>
      <c r="O14" s="60" t="str">
        <f t="shared" si="3"/>
        <v/>
      </c>
      <c r="P14" s="220">
        <f t="shared" si="5"/>
        <v>1.5532032000000015E-2</v>
      </c>
      <c r="Q14" s="63">
        <f t="shared" si="6"/>
        <v>2.4680857600000022E-2</v>
      </c>
      <c r="R14" s="221">
        <f t="shared" si="7"/>
        <v>4.9361715200000045E-2</v>
      </c>
    </row>
    <row r="15" spans="1:18" x14ac:dyDescent="0.35">
      <c r="I15">
        <f t="shared" si="4"/>
        <v>7</v>
      </c>
      <c r="J15" s="59">
        <f t="shared" si="3"/>
        <v>1.5728640000000015E-3</v>
      </c>
      <c r="K15" s="7">
        <f t="shared" si="3"/>
        <v>4.7185920000000041E-3</v>
      </c>
      <c r="L15" s="7" t="str">
        <f t="shared" si="3"/>
        <v/>
      </c>
      <c r="M15" s="7" t="str">
        <f t="shared" si="3"/>
        <v/>
      </c>
      <c r="N15" s="7" t="str">
        <f t="shared" si="3"/>
        <v/>
      </c>
      <c r="O15" s="60" t="str">
        <f t="shared" si="3"/>
        <v/>
      </c>
      <c r="P15" s="220">
        <f t="shared" si="5"/>
        <v>6.291456000000006E-3</v>
      </c>
      <c r="Q15" s="63">
        <f t="shared" si="6"/>
        <v>9.1488256000000091E-3</v>
      </c>
      <c r="R15" s="60">
        <f t="shared" si="7"/>
        <v>1.8297651200000018E-2</v>
      </c>
    </row>
    <row r="16" spans="1:18" x14ac:dyDescent="0.35">
      <c r="I16">
        <f t="shared" si="4"/>
        <v>8</v>
      </c>
      <c r="J16" s="59">
        <f t="shared" si="3"/>
        <v>1.1796480000000012E-3</v>
      </c>
      <c r="K16" s="7">
        <f t="shared" si="3"/>
        <v>1.0485760000000011E-3</v>
      </c>
      <c r="L16" s="7" t="str">
        <f t="shared" si="3"/>
        <v/>
      </c>
      <c r="M16" s="7" t="str">
        <f t="shared" si="3"/>
        <v/>
      </c>
      <c r="N16" s="7" t="str">
        <f t="shared" si="3"/>
        <v/>
      </c>
      <c r="O16" s="60" t="str">
        <f t="shared" si="3"/>
        <v/>
      </c>
      <c r="P16" s="220">
        <f t="shared" si="5"/>
        <v>2.2282240000000026E-3</v>
      </c>
      <c r="Q16" s="63">
        <f t="shared" si="6"/>
        <v>2.857369600000003E-3</v>
      </c>
      <c r="R16" s="60">
        <f t="shared" si="7"/>
        <v>5.7147392000000061E-3</v>
      </c>
    </row>
    <row r="17" spans="9:18" x14ac:dyDescent="0.35">
      <c r="I17">
        <f t="shared" si="4"/>
        <v>9</v>
      </c>
      <c r="J17" s="59">
        <f t="shared" si="3"/>
        <v>5.2428800000000047E-4</v>
      </c>
      <c r="K17" s="7" t="str">
        <f t="shared" si="3"/>
        <v/>
      </c>
      <c r="L17" s="7" t="str">
        <f t="shared" si="3"/>
        <v/>
      </c>
      <c r="M17" s="7" t="str">
        <f t="shared" si="3"/>
        <v/>
      </c>
      <c r="N17" s="7" t="str">
        <f t="shared" si="3"/>
        <v/>
      </c>
      <c r="O17" s="60" t="str">
        <f t="shared" si="3"/>
        <v/>
      </c>
      <c r="P17" s="220">
        <f t="shared" si="5"/>
        <v>5.2428800000000047E-4</v>
      </c>
      <c r="Q17" s="63">
        <f>Q18+P17</f>
        <v>6.2914560000000054E-4</v>
      </c>
      <c r="R17" s="60">
        <f t="shared" si="7"/>
        <v>1.2582912000000011E-3</v>
      </c>
    </row>
    <row r="18" spans="9:18" x14ac:dyDescent="0.35">
      <c r="I18">
        <f t="shared" si="4"/>
        <v>10</v>
      </c>
      <c r="J18" s="45">
        <f t="shared" si="3"/>
        <v>1.0485760000000011E-4</v>
      </c>
      <c r="K18" s="106" t="str">
        <f t="shared" si="3"/>
        <v/>
      </c>
      <c r="L18" s="106" t="str">
        <f t="shared" si="3"/>
        <v/>
      </c>
      <c r="M18" s="106" t="str">
        <f t="shared" si="3"/>
        <v/>
      </c>
      <c r="N18" s="106" t="str">
        <f t="shared" si="3"/>
        <v/>
      </c>
      <c r="O18" s="48" t="str">
        <f t="shared" si="3"/>
        <v/>
      </c>
      <c r="P18" s="222">
        <f t="shared" si="5"/>
        <v>1.0485760000000011E-4</v>
      </c>
      <c r="Q18" s="223">
        <f>P18</f>
        <v>1.0485760000000011E-4</v>
      </c>
      <c r="R18" s="48">
        <f t="shared" si="7"/>
        <v>2.0971520000000022E-4</v>
      </c>
    </row>
    <row r="28" spans="9:18" x14ac:dyDescent="0.35">
      <c r="I28" s="216"/>
    </row>
    <row r="29" spans="9:18" x14ac:dyDescent="0.35">
      <c r="I29" s="216"/>
    </row>
    <row r="30" spans="9:18" x14ac:dyDescent="0.35">
      <c r="I30" s="2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56"/>
  <dimension ref="A1:I17"/>
  <sheetViews>
    <sheetView workbookViewId="0"/>
  </sheetViews>
  <sheetFormatPr defaultRowHeight="14.5" x14ac:dyDescent="0.35"/>
  <cols>
    <col min="1" max="1" width="7.54296875" customWidth="1"/>
    <col min="4" max="4" width="5.7265625" customWidth="1"/>
    <col min="5" max="5" width="9.81640625" customWidth="1"/>
    <col min="8" max="8" width="3" customWidth="1"/>
    <col min="9" max="9" width="26.81640625" customWidth="1"/>
  </cols>
  <sheetData>
    <row r="1" spans="1:9" x14ac:dyDescent="0.35">
      <c r="A1" s="35" t="s">
        <v>203</v>
      </c>
    </row>
    <row r="3" spans="1:9" x14ac:dyDescent="0.35">
      <c r="B3" s="65" t="s">
        <v>64</v>
      </c>
      <c r="C3" s="65" t="s">
        <v>65</v>
      </c>
      <c r="E3" t="s">
        <v>5</v>
      </c>
      <c r="F3" s="88">
        <f>MEDIAN(B4:C15)</f>
        <v>18</v>
      </c>
      <c r="I3" t="e">
        <f ca="1">FTEXT(F3)</f>
        <v>#NAME?</v>
      </c>
    </row>
    <row r="4" spans="1:9" x14ac:dyDescent="0.35">
      <c r="B4">
        <v>11</v>
      </c>
      <c r="C4">
        <v>34</v>
      </c>
    </row>
    <row r="5" spans="1:9" x14ac:dyDescent="0.35">
      <c r="B5">
        <v>15</v>
      </c>
      <c r="C5">
        <v>31</v>
      </c>
      <c r="F5" s="130" t="str">
        <f>B3</f>
        <v>Control</v>
      </c>
      <c r="G5" s="130" t="str">
        <f>C3</f>
        <v>Drug</v>
      </c>
    </row>
    <row r="6" spans="1:9" x14ac:dyDescent="0.35">
      <c r="B6">
        <v>9</v>
      </c>
      <c r="C6">
        <v>35</v>
      </c>
      <c r="E6" t="s">
        <v>206</v>
      </c>
      <c r="F6" s="3">
        <f>COUNTIF(B4:B15,"&gt;"&amp;$F$3)</f>
        <v>3</v>
      </c>
      <c r="G6" s="5">
        <f>COUNTIF(C4:C15,"&gt;"&amp;$F$3)</f>
        <v>8</v>
      </c>
      <c r="I6" t="e">
        <f ca="1">FTEXT(F6)</f>
        <v>#NAME?</v>
      </c>
    </row>
    <row r="7" spans="1:9" x14ac:dyDescent="0.35">
      <c r="B7">
        <v>4</v>
      </c>
      <c r="C7">
        <v>29</v>
      </c>
      <c r="E7" t="s">
        <v>207</v>
      </c>
      <c r="F7" s="45">
        <f>COUNT(B4:B15)-F6</f>
        <v>9</v>
      </c>
      <c r="G7" s="48">
        <f>COUNT(C4:C15)-G6</f>
        <v>4</v>
      </c>
      <c r="I7" t="e">
        <f ca="1">FTEXT(F7)</f>
        <v>#NAME?</v>
      </c>
    </row>
    <row r="8" spans="1:9" x14ac:dyDescent="0.35">
      <c r="B8">
        <v>34</v>
      </c>
      <c r="C8">
        <v>28</v>
      </c>
    </row>
    <row r="9" spans="1:9" x14ac:dyDescent="0.35">
      <c r="B9">
        <v>17</v>
      </c>
      <c r="C9">
        <v>12</v>
      </c>
      <c r="E9" t="s">
        <v>95</v>
      </c>
      <c r="F9" s="22" t="e">
        <f ca="1">CHI_STAT(F6:G7)</f>
        <v>#NAME?</v>
      </c>
      <c r="I9" s="14" t="s">
        <v>208</v>
      </c>
    </row>
    <row r="10" spans="1:9" x14ac:dyDescent="0.35">
      <c r="B10">
        <v>18</v>
      </c>
      <c r="C10">
        <v>18</v>
      </c>
      <c r="E10" t="s">
        <v>48</v>
      </c>
      <c r="F10" s="50" t="e">
        <f ca="1">CHI_TEST(F6:G7)</f>
        <v>#NAME?</v>
      </c>
      <c r="I10" s="14" t="s">
        <v>209</v>
      </c>
    </row>
    <row r="11" spans="1:9" x14ac:dyDescent="0.35">
      <c r="B11">
        <v>14</v>
      </c>
      <c r="C11">
        <v>30</v>
      </c>
    </row>
    <row r="12" spans="1:9" x14ac:dyDescent="0.35">
      <c r="B12">
        <v>12</v>
      </c>
      <c r="C12">
        <v>14</v>
      </c>
      <c r="E12" t="s">
        <v>95</v>
      </c>
      <c r="F12" s="22" t="e">
        <f ca="1">MOODS_STAT(B4:C15)</f>
        <v>#NAME?</v>
      </c>
      <c r="I12" s="14" t="e">
        <f ca="1">FTEXT(F12)</f>
        <v>#NAME?</v>
      </c>
    </row>
    <row r="13" spans="1:9" x14ac:dyDescent="0.35">
      <c r="B13">
        <v>13</v>
      </c>
      <c r="C13">
        <v>22</v>
      </c>
      <c r="E13" t="s">
        <v>48</v>
      </c>
      <c r="F13" s="50" t="e">
        <f ca="1">MOODS_TEST(B4:C15)</f>
        <v>#NAME?</v>
      </c>
      <c r="I13" s="14" t="e">
        <f ca="1">FTEXT(F13)</f>
        <v>#NAME?</v>
      </c>
    </row>
    <row r="14" spans="1:9" x14ac:dyDescent="0.35">
      <c r="B14">
        <v>26</v>
      </c>
      <c r="C14">
        <v>10</v>
      </c>
    </row>
    <row r="15" spans="1:9" x14ac:dyDescent="0.35">
      <c r="B15" s="10">
        <v>31</v>
      </c>
      <c r="C15" s="10">
        <v>29</v>
      </c>
    </row>
    <row r="16" spans="1:9" x14ac:dyDescent="0.35">
      <c r="A16" t="s">
        <v>2</v>
      </c>
      <c r="B16">
        <f>AVERAGE(B4:B15)</f>
        <v>17</v>
      </c>
      <c r="C16">
        <f>AVERAGE(C4:C15)</f>
        <v>24.333333333333332</v>
      </c>
    </row>
    <row r="17" spans="1:3" x14ac:dyDescent="0.35">
      <c r="A17" t="s">
        <v>106</v>
      </c>
      <c r="B17" s="106">
        <f>MEDIAN(B4:B15)</f>
        <v>14.5</v>
      </c>
      <c r="C17" s="106">
        <f>MEDIAN(C4:C15)</f>
        <v>28.5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1"/>
  <dimension ref="A1:AA32"/>
  <sheetViews>
    <sheetView workbookViewId="0"/>
  </sheetViews>
  <sheetFormatPr defaultRowHeight="14.5" x14ac:dyDescent="0.35"/>
  <sheetData>
    <row r="1" spans="1:27" x14ac:dyDescent="0.35">
      <c r="A1" s="35" t="s">
        <v>119</v>
      </c>
    </row>
    <row r="3" spans="1:27" x14ac:dyDescent="0.35">
      <c r="A3" s="65" t="s">
        <v>64</v>
      </c>
      <c r="B3" s="65" t="s">
        <v>65</v>
      </c>
      <c r="D3" t="s">
        <v>52</v>
      </c>
      <c r="R3" t="s">
        <v>57</v>
      </c>
    </row>
    <row r="4" spans="1:27" x14ac:dyDescent="0.35">
      <c r="A4">
        <v>11</v>
      </c>
      <c r="B4">
        <v>34</v>
      </c>
    </row>
    <row r="5" spans="1:27" ht="15" thickBot="1" x14ac:dyDescent="0.4">
      <c r="A5">
        <v>15</v>
      </c>
      <c r="B5">
        <v>31</v>
      </c>
      <c r="D5" t="s">
        <v>15</v>
      </c>
      <c r="E5">
        <f>COUNT(A4:A15)</f>
        <v>12</v>
      </c>
      <c r="F5">
        <f>2*E5</f>
        <v>24</v>
      </c>
      <c r="R5" t="s">
        <v>45</v>
      </c>
      <c r="U5" t="s">
        <v>58</v>
      </c>
      <c r="V5">
        <v>0</v>
      </c>
    </row>
    <row r="6" spans="1:27" ht="15" thickTop="1" x14ac:dyDescent="0.35">
      <c r="A6">
        <v>9</v>
      </c>
      <c r="B6">
        <v>35</v>
      </c>
      <c r="D6" t="s">
        <v>3</v>
      </c>
      <c r="E6">
        <f>AVERAGE(A4:A15)</f>
        <v>17</v>
      </c>
      <c r="R6" s="110" t="s">
        <v>59</v>
      </c>
      <c r="S6" s="110" t="s">
        <v>15</v>
      </c>
      <c r="T6" s="110" t="s">
        <v>3</v>
      </c>
      <c r="U6" s="110" t="s">
        <v>60</v>
      </c>
      <c r="V6" s="110" t="s">
        <v>46</v>
      </c>
    </row>
    <row r="7" spans="1:27" x14ac:dyDescent="0.35">
      <c r="A7">
        <v>4</v>
      </c>
      <c r="B7">
        <v>29</v>
      </c>
      <c r="D7" t="s">
        <v>43</v>
      </c>
      <c r="E7">
        <f>STDEV(A4:A15)</f>
        <v>8.9949480770647536</v>
      </c>
      <c r="R7" t="str">
        <f>A3</f>
        <v>Control</v>
      </c>
      <c r="S7">
        <f>COUNT(A4:A15)</f>
        <v>12</v>
      </c>
      <c r="T7">
        <f>AVERAGE(A4:A15)</f>
        <v>17</v>
      </c>
      <c r="U7">
        <f>VAR(A4:A15)</f>
        <v>80.909090909090907</v>
      </c>
    </row>
    <row r="8" spans="1:27" x14ac:dyDescent="0.35">
      <c r="A8">
        <v>34</v>
      </c>
      <c r="B8">
        <v>28</v>
      </c>
      <c r="R8" t="str">
        <f>B3</f>
        <v>Drug</v>
      </c>
      <c r="S8">
        <f>COUNT(B4:B15)</f>
        <v>12</v>
      </c>
      <c r="T8">
        <f>AVERAGE(B4:B15)</f>
        <v>24.333333333333332</v>
      </c>
      <c r="U8">
        <f>VAR(B4:B15)</f>
        <v>77.333333333333357</v>
      </c>
    </row>
    <row r="9" spans="1:27" x14ac:dyDescent="0.35">
      <c r="A9">
        <v>17</v>
      </c>
      <c r="B9">
        <v>12</v>
      </c>
      <c r="D9" t="s">
        <v>53</v>
      </c>
      <c r="E9" t="s">
        <v>54</v>
      </c>
      <c r="F9" t="s">
        <v>101</v>
      </c>
      <c r="G9" t="s">
        <v>55</v>
      </c>
      <c r="R9" s="115" t="s">
        <v>61</v>
      </c>
      <c r="S9" s="115"/>
      <c r="T9" s="115"/>
      <c r="U9" s="115">
        <f>((S7-1)*U7+(S8-1)*U8)/(S7+S8-2)</f>
        <v>79.121212121212139</v>
      </c>
      <c r="V9" s="115">
        <f>ABS(T7-T8-V5)/SQRT(U9)</f>
        <v>0.82443222728303567</v>
      </c>
    </row>
    <row r="10" spans="1:27" x14ac:dyDescent="0.35">
      <c r="A10">
        <v>18</v>
      </c>
      <c r="B10">
        <v>18</v>
      </c>
      <c r="D10">
        <v>1</v>
      </c>
      <c r="E10">
        <v>4</v>
      </c>
      <c r="F10">
        <f>NORMSINV(D10/F$5)</f>
        <v>-1.7316643961222451</v>
      </c>
      <c r="G10">
        <f>STANDARDIZE(E10,E$6,E$7)</f>
        <v>-1.4452557022699548</v>
      </c>
    </row>
    <row r="11" spans="1:27" ht="15" thickBot="1" x14ac:dyDescent="0.4">
      <c r="A11">
        <v>14</v>
      </c>
      <c r="B11">
        <v>30</v>
      </c>
      <c r="D11">
        <f>D10+2</f>
        <v>3</v>
      </c>
      <c r="E11">
        <v>9</v>
      </c>
      <c r="F11">
        <f t="shared" ref="F11:F21" si="0">NORMSINV(D11/F$5)</f>
        <v>-1.1503493803760083</v>
      </c>
      <c r="G11">
        <f t="shared" ref="G11:G21" si="1">STANDARDIZE(E11,E$6,E$7)</f>
        <v>-0.88938812447381832</v>
      </c>
      <c r="R11" t="s">
        <v>62</v>
      </c>
      <c r="V11" t="s">
        <v>30</v>
      </c>
      <c r="W11">
        <v>0.05</v>
      </c>
    </row>
    <row r="12" spans="1:27" ht="15" thickTop="1" x14ac:dyDescent="0.35">
      <c r="A12">
        <v>12</v>
      </c>
      <c r="B12">
        <v>14</v>
      </c>
      <c r="D12">
        <f t="shared" ref="D12:D19" si="2">D11+2</f>
        <v>5</v>
      </c>
      <c r="E12">
        <v>11</v>
      </c>
      <c r="F12">
        <f t="shared" si="0"/>
        <v>-0.81221780149991241</v>
      </c>
      <c r="G12">
        <f t="shared" si="1"/>
        <v>-0.66704109335536377</v>
      </c>
      <c r="R12" s="110" t="s">
        <v>47</v>
      </c>
      <c r="S12" s="110" t="s">
        <v>110</v>
      </c>
      <c r="T12" s="110" t="s">
        <v>69</v>
      </c>
      <c r="U12" s="110" t="s">
        <v>44</v>
      </c>
      <c r="V12" s="110" t="s">
        <v>48</v>
      </c>
      <c r="W12" s="110" t="s">
        <v>49</v>
      </c>
      <c r="X12" s="110" t="s">
        <v>24</v>
      </c>
      <c r="Y12" s="110" t="s">
        <v>25</v>
      </c>
      <c r="Z12" s="110" t="s">
        <v>104</v>
      </c>
      <c r="AA12" s="110" t="s">
        <v>111</v>
      </c>
    </row>
    <row r="13" spans="1:27" x14ac:dyDescent="0.35">
      <c r="A13">
        <v>13</v>
      </c>
      <c r="B13">
        <v>22</v>
      </c>
      <c r="D13">
        <f t="shared" si="2"/>
        <v>7</v>
      </c>
      <c r="E13">
        <v>12</v>
      </c>
      <c r="F13">
        <f t="shared" si="0"/>
        <v>-0.54852228269809788</v>
      </c>
      <c r="G13">
        <f t="shared" si="1"/>
        <v>-0.55586757779613649</v>
      </c>
      <c r="R13" t="s">
        <v>50</v>
      </c>
      <c r="S13">
        <f>SQRT(U9*(1/S7+1/S8))</f>
        <v>3.6313728377665502</v>
      </c>
      <c r="T13">
        <f>(ABS(T7-T8-V5))/S13</f>
        <v>2.0194382843496856</v>
      </c>
      <c r="U13">
        <f>S7+S8-2</f>
        <v>22</v>
      </c>
      <c r="V13">
        <f>TDIST(T13,U13,1)</f>
        <v>2.7894181900868845E-2</v>
      </c>
      <c r="W13">
        <f>TINV(W11*2,U13)</f>
        <v>1.7171443743802424</v>
      </c>
      <c r="Z13" s="122" t="str">
        <f>IF(V13&lt;W11,"yes","no")</f>
        <v>yes</v>
      </c>
      <c r="AA13">
        <f>SQRT(T13^2/(T13^2+U13))</f>
        <v>0.39545070501508839</v>
      </c>
    </row>
    <row r="14" spans="1:27" x14ac:dyDescent="0.35">
      <c r="A14">
        <v>26</v>
      </c>
      <c r="B14">
        <v>10</v>
      </c>
      <c r="D14">
        <f t="shared" si="2"/>
        <v>9</v>
      </c>
      <c r="E14">
        <v>13</v>
      </c>
      <c r="F14">
        <f t="shared" si="0"/>
        <v>-0.3186393639643752</v>
      </c>
      <c r="G14">
        <f t="shared" si="1"/>
        <v>-0.44469406223690916</v>
      </c>
      <c r="R14" t="s">
        <v>51</v>
      </c>
      <c r="S14">
        <f>S13</f>
        <v>3.6313728377665502</v>
      </c>
      <c r="T14">
        <f>T13</f>
        <v>2.0194382843496856</v>
      </c>
      <c r="U14">
        <f>U13</f>
        <v>22</v>
      </c>
      <c r="V14">
        <f>TDIST(T14,U14,2)</f>
        <v>5.5788363801737691E-2</v>
      </c>
      <c r="W14">
        <f>TINV(W11,U14)</f>
        <v>2.0738730679040258</v>
      </c>
      <c r="X14">
        <f>(T7-T8)-W14*S14</f>
        <v>-14.864339661095595</v>
      </c>
      <c r="Y14">
        <f>(T7-T8)+W14*S14</f>
        <v>0.19767299442893105</v>
      </c>
      <c r="Z14" s="122" t="str">
        <f>IF(V14&lt;W11,"yes","no")</f>
        <v>no</v>
      </c>
      <c r="AA14">
        <f>AA13</f>
        <v>0.39545070501508839</v>
      </c>
    </row>
    <row r="15" spans="1:27" x14ac:dyDescent="0.35">
      <c r="A15" s="10">
        <v>31</v>
      </c>
      <c r="B15" s="10">
        <v>29</v>
      </c>
      <c r="D15">
        <f t="shared" si="2"/>
        <v>11</v>
      </c>
      <c r="E15">
        <v>14</v>
      </c>
      <c r="F15">
        <f t="shared" si="0"/>
        <v>-0.10463345561407539</v>
      </c>
      <c r="G15">
        <f t="shared" si="1"/>
        <v>-0.33352054667768188</v>
      </c>
      <c r="R15" s="115"/>
      <c r="S15" s="115"/>
      <c r="T15" s="115"/>
      <c r="U15" s="115"/>
      <c r="V15" s="115"/>
      <c r="W15" s="115"/>
      <c r="X15" s="115"/>
      <c r="Y15" s="115"/>
      <c r="Z15" s="115"/>
      <c r="AA15" s="115"/>
    </row>
    <row r="16" spans="1:27" ht="15" thickBot="1" x14ac:dyDescent="0.4">
      <c r="D16">
        <f t="shared" si="2"/>
        <v>13</v>
      </c>
      <c r="E16">
        <v>15</v>
      </c>
      <c r="F16">
        <f t="shared" si="0"/>
        <v>0.10463345561407525</v>
      </c>
      <c r="G16">
        <f t="shared" si="1"/>
        <v>-0.22234703111845458</v>
      </c>
      <c r="R16" t="s">
        <v>63</v>
      </c>
      <c r="V16" t="s">
        <v>30</v>
      </c>
      <c r="W16">
        <f>W11</f>
        <v>0.05</v>
      </c>
    </row>
    <row r="17" spans="4:27" ht="15" thickTop="1" x14ac:dyDescent="0.35">
      <c r="D17">
        <f t="shared" si="2"/>
        <v>15</v>
      </c>
      <c r="E17">
        <v>17</v>
      </c>
      <c r="F17">
        <f t="shared" si="0"/>
        <v>0.3186393639643752</v>
      </c>
      <c r="G17">
        <f t="shared" si="1"/>
        <v>0</v>
      </c>
      <c r="R17" s="110" t="s">
        <v>47</v>
      </c>
      <c r="S17" s="110" t="s">
        <v>110</v>
      </c>
      <c r="T17" s="110" t="s">
        <v>69</v>
      </c>
      <c r="U17" s="110" t="s">
        <v>44</v>
      </c>
      <c r="V17" s="110" t="s">
        <v>48</v>
      </c>
      <c r="W17" s="110" t="s">
        <v>49</v>
      </c>
      <c r="X17" s="110" t="s">
        <v>24</v>
      </c>
      <c r="Y17" s="110" t="s">
        <v>25</v>
      </c>
      <c r="Z17" s="110" t="s">
        <v>104</v>
      </c>
      <c r="AA17" s="110" t="s">
        <v>111</v>
      </c>
    </row>
    <row r="18" spans="4:27" x14ac:dyDescent="0.35">
      <c r="D18">
        <f t="shared" si="2"/>
        <v>17</v>
      </c>
      <c r="E18">
        <v>18</v>
      </c>
      <c r="F18">
        <f t="shared" si="0"/>
        <v>0.54852228269809822</v>
      </c>
      <c r="G18">
        <f t="shared" si="1"/>
        <v>0.11117351555922729</v>
      </c>
      <c r="R18" t="s">
        <v>50</v>
      </c>
      <c r="S18">
        <f>SQRT(U7/S7+U8/S8)</f>
        <v>3.6313728377665502</v>
      </c>
      <c r="T18">
        <f>(ABS(T7-T8-V5))/S18</f>
        <v>2.0194382843496856</v>
      </c>
      <c r="U18">
        <f>(U7/S7+U8/S8)^2/((U7/S7)^2/(S7-1)+(U8/S8)^2/(S8-1))</f>
        <v>21.988772288068176</v>
      </c>
      <c r="V18">
        <f>TTEST(A4:A15,B4:B15,1,3)</f>
        <v>2.7897386827463424E-2</v>
      </c>
      <c r="W18">
        <f>TINV(W16*2,ROUND(U18,0))</f>
        <v>1.7171443743802424</v>
      </c>
      <c r="Z18" s="122" t="str">
        <f>IF(V18&lt;W16,"yes","no")</f>
        <v>yes</v>
      </c>
      <c r="AA18">
        <f>SQRT(T18^2/(T18^2+U18))</f>
        <v>0.39553586144023639</v>
      </c>
    </row>
    <row r="19" spans="4:27" x14ac:dyDescent="0.35">
      <c r="D19">
        <f t="shared" si="2"/>
        <v>19</v>
      </c>
      <c r="E19">
        <v>26</v>
      </c>
      <c r="F19">
        <f t="shared" si="0"/>
        <v>0.81221780149991241</v>
      </c>
      <c r="G19">
        <f t="shared" si="1"/>
        <v>1.0005616400330457</v>
      </c>
      <c r="R19" t="s">
        <v>51</v>
      </c>
      <c r="S19">
        <f>S18</f>
        <v>3.6313728377665502</v>
      </c>
      <c r="T19">
        <f>T18</f>
        <v>2.0194382843496856</v>
      </c>
      <c r="U19">
        <f>U18</f>
        <v>21.988772288068176</v>
      </c>
      <c r="V19">
        <f>TTEST(A4:A15,B4:B15,2,3)</f>
        <v>5.5794773654926848E-2</v>
      </c>
      <c r="W19">
        <f>TINV(W16,ROUND(U19,0))</f>
        <v>2.0738730679040258</v>
      </c>
      <c r="X19">
        <f>(T7-T8)-W19*S19</f>
        <v>-14.864339661095595</v>
      </c>
      <c r="Y19">
        <f>(T7-T8)+W19*S19</f>
        <v>0.19767299442893105</v>
      </c>
      <c r="Z19" s="122" t="str">
        <f>IF(V19&lt;W16,"yes","no")</f>
        <v>no</v>
      </c>
      <c r="AA19">
        <f>AA18</f>
        <v>0.39553586144023639</v>
      </c>
    </row>
    <row r="20" spans="4:27" x14ac:dyDescent="0.35">
      <c r="D20">
        <f>D19+2</f>
        <v>21</v>
      </c>
      <c r="E20">
        <v>31</v>
      </c>
      <c r="F20">
        <f t="shared" si="0"/>
        <v>1.1503493803760083</v>
      </c>
      <c r="G20">
        <f t="shared" si="1"/>
        <v>1.5564292178291821</v>
      </c>
      <c r="R20" s="115"/>
      <c r="S20" s="115"/>
      <c r="T20" s="115"/>
      <c r="U20" s="115"/>
      <c r="V20" s="115"/>
      <c r="W20" s="115"/>
      <c r="X20" s="115"/>
      <c r="Y20" s="115"/>
      <c r="Z20" s="115"/>
      <c r="AA20" s="115"/>
    </row>
    <row r="21" spans="4:27" x14ac:dyDescent="0.35">
      <c r="D21">
        <f>D20+2</f>
        <v>23</v>
      </c>
      <c r="E21">
        <v>34</v>
      </c>
      <c r="F21">
        <f t="shared" si="0"/>
        <v>1.7316643961222455</v>
      </c>
      <c r="G21">
        <f t="shared" si="1"/>
        <v>1.8899497645068639</v>
      </c>
    </row>
    <row r="24" spans="4:27" x14ac:dyDescent="0.35">
      <c r="I24" t="s">
        <v>172</v>
      </c>
    </row>
    <row r="26" spans="4:27" x14ac:dyDescent="0.35">
      <c r="J26" s="43" t="str">
        <f>A3</f>
        <v>Control</v>
      </c>
      <c r="K26" s="43" t="str">
        <f>B3</f>
        <v>Drug</v>
      </c>
    </row>
    <row r="27" spans="4:27" x14ac:dyDescent="0.35">
      <c r="I27" t="s">
        <v>35</v>
      </c>
      <c r="J27" s="170">
        <f>MIN(A4:A15)</f>
        <v>4</v>
      </c>
      <c r="K27" s="169">
        <f>MIN(B4:B15)</f>
        <v>10</v>
      </c>
    </row>
    <row r="28" spans="4:27" x14ac:dyDescent="0.35">
      <c r="I28" t="s">
        <v>36</v>
      </c>
      <c r="J28" s="57">
        <f>QUARTILE(A4:A15,1)-J27</f>
        <v>7.75</v>
      </c>
      <c r="K28" s="37">
        <f>QUARTILE(B4:B15,1)-K27</f>
        <v>7</v>
      </c>
    </row>
    <row r="29" spans="4:27" x14ac:dyDescent="0.35">
      <c r="I29" t="s">
        <v>37</v>
      </c>
      <c r="J29" s="57">
        <f>MEDIAN(A4:A15)-QUARTILE(A4:A15,1)</f>
        <v>2.75</v>
      </c>
      <c r="K29" s="37">
        <f>MEDIAN(B4:B15)-QUARTILE(B4:B15,1)</f>
        <v>11.5</v>
      </c>
    </row>
    <row r="30" spans="4:27" x14ac:dyDescent="0.35">
      <c r="I30" t="s">
        <v>38</v>
      </c>
      <c r="J30" s="57">
        <f>QUARTILE(A4:A15,3)-MEDIAN(A4:A15)</f>
        <v>5.5</v>
      </c>
      <c r="K30" s="37">
        <f>QUARTILE(B4:B15,3)-MEDIAN(B4:B15)</f>
        <v>1.75</v>
      </c>
    </row>
    <row r="31" spans="4:27" x14ac:dyDescent="0.35">
      <c r="I31" t="s">
        <v>39</v>
      </c>
      <c r="J31" s="57">
        <f>MAX(A4:A15)-QUARTILE(A4:A15,3)</f>
        <v>14</v>
      </c>
      <c r="K31" s="37">
        <f>MAX(B4:B15)-QUARTILE(B4:B15,3)</f>
        <v>4.75</v>
      </c>
    </row>
    <row r="32" spans="4:27" x14ac:dyDescent="0.35">
      <c r="I32" t="s">
        <v>3</v>
      </c>
      <c r="J32" s="104">
        <f>AVERAGE(A4:A15)</f>
        <v>17</v>
      </c>
      <c r="K32" s="105">
        <f>AVERAGE(B4:B15)</f>
        <v>24.333333333333332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13"/>
  <dimension ref="A1:L18"/>
  <sheetViews>
    <sheetView workbookViewId="0"/>
  </sheetViews>
  <sheetFormatPr defaultRowHeight="14.5" x14ac:dyDescent="0.35"/>
  <cols>
    <col min="3" max="3" width="5.7265625" customWidth="1"/>
    <col min="6" max="6" width="5.453125" customWidth="1"/>
    <col min="11" max="11" width="2.26953125" customWidth="1"/>
    <col min="12" max="12" width="35.26953125" customWidth="1"/>
  </cols>
  <sheetData>
    <row r="1" spans="1:12" x14ac:dyDescent="0.35">
      <c r="A1" s="35" t="s">
        <v>119</v>
      </c>
    </row>
    <row r="2" spans="1:12" x14ac:dyDescent="0.35">
      <c r="A2" s="35"/>
    </row>
    <row r="3" spans="1:12" x14ac:dyDescent="0.35">
      <c r="A3" s="34" t="s">
        <v>120</v>
      </c>
      <c r="D3" t="s">
        <v>99</v>
      </c>
    </row>
    <row r="4" spans="1:12" x14ac:dyDescent="0.35">
      <c r="H4" s="12" t="s">
        <v>64</v>
      </c>
      <c r="I4" s="12" t="s">
        <v>65</v>
      </c>
    </row>
    <row r="5" spans="1:12" x14ac:dyDescent="0.35">
      <c r="A5" s="65" t="s">
        <v>64</v>
      </c>
      <c r="B5" s="65" t="s">
        <v>65</v>
      </c>
      <c r="D5" s="65" t="s">
        <v>64</v>
      </c>
      <c r="E5" s="65" t="s">
        <v>65</v>
      </c>
      <c r="G5" t="s">
        <v>100</v>
      </c>
      <c r="H5" s="51">
        <f>COUNT(A6:A17)</f>
        <v>12</v>
      </c>
      <c r="I5" s="62">
        <f>COUNT(B6:B17)</f>
        <v>12</v>
      </c>
    </row>
    <row r="6" spans="1:12" x14ac:dyDescent="0.35">
      <c r="A6">
        <v>11</v>
      </c>
      <c r="B6">
        <v>34</v>
      </c>
      <c r="D6" t="e">
        <f ca="1">IF(A6&lt;&gt;"",RANK_AVG(A6,$A$6:$B$17,1),"")</f>
        <v>#NAME?</v>
      </c>
      <c r="E6" t="e">
        <f ca="1">IF(B6&lt;&gt;"",RANK_AVG(B6,$A$6:$B$17,1),"")</f>
        <v>#NAME?</v>
      </c>
      <c r="G6" t="s">
        <v>123</v>
      </c>
      <c r="H6" s="9" t="e">
        <f ca="1">D18</f>
        <v>#NAME?</v>
      </c>
      <c r="I6" s="11" t="e">
        <f ca="1">E18</f>
        <v>#NAME?</v>
      </c>
    </row>
    <row r="7" spans="1:12" x14ac:dyDescent="0.35">
      <c r="A7">
        <v>15</v>
      </c>
      <c r="B7">
        <v>31</v>
      </c>
      <c r="D7" t="e">
        <f ca="1">IF(A7&lt;&gt;"",RANK_AVG(A7,$A$6:$B$17,1),"")</f>
        <v>#NAME?</v>
      </c>
      <c r="E7" t="e">
        <f ca="1">IF(B7&lt;&gt;"",RANK_AVG(B7,$A$6:$B$17,1),"")</f>
        <v>#NAME?</v>
      </c>
    </row>
    <row r="8" spans="1:12" x14ac:dyDescent="0.35">
      <c r="A8">
        <v>9</v>
      </c>
      <c r="B8">
        <v>35</v>
      </c>
      <c r="D8" t="e">
        <f ca="1">IF(A8&lt;&gt;"",RANK_AVG(A8,$A$6:$B$17,1),"")</f>
        <v>#NAME?</v>
      </c>
      <c r="E8" t="e">
        <f ca="1">IF(B8&lt;&gt;"",RANK_AVG(B8,$A$6:$B$17,1),"")</f>
        <v>#NAME?</v>
      </c>
      <c r="G8" s="38" t="s">
        <v>34</v>
      </c>
      <c r="H8" s="49">
        <v>0.05</v>
      </c>
    </row>
    <row r="9" spans="1:12" x14ac:dyDescent="0.35">
      <c r="A9">
        <v>4</v>
      </c>
      <c r="B9">
        <v>29</v>
      </c>
      <c r="D9" t="e">
        <f ca="1">IF(A9&lt;&gt;"",RANK_AVG(A9,$A$6:$B$17,1),"")</f>
        <v>#NAME?</v>
      </c>
      <c r="E9" t="e">
        <f ca="1">IF(B9&lt;&gt;"",RANK_AVG(B9,$A$6:$B$17,1),"")</f>
        <v>#NAME?</v>
      </c>
      <c r="G9" s="38" t="s">
        <v>107</v>
      </c>
      <c r="H9" s="58">
        <v>2</v>
      </c>
    </row>
    <row r="10" spans="1:12" x14ac:dyDescent="0.35">
      <c r="A10">
        <v>34</v>
      </c>
      <c r="B10">
        <v>28</v>
      </c>
      <c r="D10" t="e">
        <f ca="1">IF(A10&lt;&gt;"",RANK_AVG(A10,$A$6:$B$17,1),"")</f>
        <v>#NAME?</v>
      </c>
      <c r="E10" t="e">
        <f ca="1">IF(B10&lt;&gt;"",RANK_AVG(B10,$A$6:$B$17,1),"")</f>
        <v>#NAME?</v>
      </c>
      <c r="G10" s="38" t="s">
        <v>112</v>
      </c>
      <c r="H10" s="58" t="e">
        <f ca="1">MIN(H6:I6)</f>
        <v>#NAME?</v>
      </c>
      <c r="J10" s="22" t="e">
        <f ca="1">WILCOXON(A6:B17)</f>
        <v>#NAME?</v>
      </c>
      <c r="L10" s="14" t="e">
        <f ca="1">FTEXT(J10)</f>
        <v>#NAME?</v>
      </c>
    </row>
    <row r="11" spans="1:12" x14ac:dyDescent="0.35">
      <c r="A11">
        <v>17</v>
      </c>
      <c r="B11">
        <v>12</v>
      </c>
      <c r="D11" t="e">
        <f ca="1">IF(A11&lt;&gt;"",RANK_AVG(A11,$A$6:$B$17,1),"")</f>
        <v>#NAME?</v>
      </c>
      <c r="E11" t="e">
        <f ca="1">IF(B11&lt;&gt;"",RANK_AVG(B11,$A$6:$B$17,1),"")</f>
        <v>#NAME?</v>
      </c>
      <c r="G11" s="23" t="s">
        <v>122</v>
      </c>
      <c r="H11" s="58" t="e">
        <f ca="1">PERM2INV(H8/H9,H5,I5,FALSE)</f>
        <v>#NAME?</v>
      </c>
      <c r="J11" s="58" t="e">
        <f ca="1">PERM2INV(H8/H9,H5,I5,FALSE)</f>
        <v>#NAME?</v>
      </c>
      <c r="L11" s="14" t="e">
        <f ca="1">FTEXT(J11)</f>
        <v>#NAME?</v>
      </c>
    </row>
    <row r="12" spans="1:12" x14ac:dyDescent="0.35">
      <c r="A12">
        <v>18</v>
      </c>
      <c r="B12">
        <v>18</v>
      </c>
      <c r="D12" t="e">
        <f ca="1">IF(A12&lt;&gt;"",RANK_AVG(A12,$A$6:$B$17,1),"")</f>
        <v>#NAME?</v>
      </c>
      <c r="E12" t="e">
        <f ca="1">IF(B12&lt;&gt;"",RANK_AVG(B12,$A$6:$B$17,1),"")</f>
        <v>#NAME?</v>
      </c>
      <c r="G12" s="23" t="s">
        <v>104</v>
      </c>
      <c r="H12" s="47" t="e">
        <f ca="1">IF(H10&lt;H11,"yes","no")</f>
        <v>#NAME?</v>
      </c>
      <c r="J12" s="50" t="e">
        <f ca="1">2*PERM2DIST(H10,H5,I5,TRUE,FALSE)</f>
        <v>#NAME?</v>
      </c>
      <c r="L12" s="14" t="e">
        <f ca="1">FTEXT(J12)</f>
        <v>#NAME?</v>
      </c>
    </row>
    <row r="13" spans="1:12" x14ac:dyDescent="0.35">
      <c r="A13">
        <v>14</v>
      </c>
      <c r="B13">
        <v>30</v>
      </c>
      <c r="D13" t="e">
        <f ca="1">IF(A13&lt;&gt;"",RANK_AVG(A13,$A$6:$B$17,1),"")</f>
        <v>#NAME?</v>
      </c>
      <c r="E13" t="e">
        <f ca="1">IF(B13&lt;&gt;"",RANK_AVG(B13,$A$6:$B$17,1),"")</f>
        <v>#NAME?</v>
      </c>
    </row>
    <row r="14" spans="1:12" x14ac:dyDescent="0.35">
      <c r="A14">
        <v>12</v>
      </c>
      <c r="B14">
        <v>14</v>
      </c>
      <c r="D14" t="e">
        <f ca="1">IF(A14&lt;&gt;"",RANK_AVG(A14,$A$6:$B$17,1),"")</f>
        <v>#NAME?</v>
      </c>
      <c r="E14" t="e">
        <f ca="1">IF(B14&lt;&gt;"",RANK_AVG(B14,$A$6:$B$17,1),"")</f>
        <v>#NAME?</v>
      </c>
    </row>
    <row r="15" spans="1:12" x14ac:dyDescent="0.35">
      <c r="A15">
        <v>13</v>
      </c>
      <c r="B15">
        <v>22</v>
      </c>
      <c r="D15" t="e">
        <f ca="1">IF(A15&lt;&gt;"",RANK_AVG(A15,$A$6:$B$17,1),"")</f>
        <v>#NAME?</v>
      </c>
      <c r="E15" t="e">
        <f ca="1">IF(B15&lt;&gt;"",RANK_AVG(B15,$A$6:$B$17,1),"")</f>
        <v>#NAME?</v>
      </c>
    </row>
    <row r="16" spans="1:12" x14ac:dyDescent="0.35">
      <c r="A16">
        <v>26</v>
      </c>
      <c r="B16">
        <v>10</v>
      </c>
      <c r="D16" t="e">
        <f ca="1">IF(A16&lt;&gt;"",RANK_AVG(A16,$A$6:$B$17,1),"")</f>
        <v>#NAME?</v>
      </c>
      <c r="E16" t="e">
        <f ca="1">IF(B16&lt;&gt;"",RANK_AVG(B16,$A$6:$B$17,1),"")</f>
        <v>#NAME?</v>
      </c>
    </row>
    <row r="17" spans="1:5" x14ac:dyDescent="0.35">
      <c r="A17" s="10">
        <v>31</v>
      </c>
      <c r="B17" s="10">
        <v>29</v>
      </c>
      <c r="D17" s="10" t="e">
        <f ca="1">IF(A17&lt;&gt;"",RANK_AVG(A17,$A$6:$B$17,1),"")</f>
        <v>#NAME?</v>
      </c>
      <c r="E17" s="10" t="e">
        <f ca="1">IF(B17&lt;&gt;"",RANK_AVG(B17,$A$6:$B$17,1),"")</f>
        <v>#NAME?</v>
      </c>
    </row>
    <row r="18" spans="1:5" x14ac:dyDescent="0.35">
      <c r="A18">
        <f>AVERAGE(A6:A17)</f>
        <v>17</v>
      </c>
      <c r="B18">
        <f>AVERAGE(B6:B17)</f>
        <v>24.333333333333332</v>
      </c>
      <c r="D18" t="e">
        <f ca="1">SUM(D6:D17)</f>
        <v>#NAME?</v>
      </c>
      <c r="E18" t="e">
        <f ca="1">SUM(E6:E17)</f>
        <v>#NAME?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12"/>
  <dimension ref="A1:L18"/>
  <sheetViews>
    <sheetView workbookViewId="0"/>
  </sheetViews>
  <sheetFormatPr defaultRowHeight="14.5" x14ac:dyDescent="0.35"/>
  <cols>
    <col min="3" max="3" width="5.54296875" customWidth="1"/>
    <col min="6" max="6" width="5.453125" customWidth="1"/>
    <col min="7" max="7" width="10" customWidth="1"/>
  </cols>
  <sheetData>
    <row r="1" spans="1:12" x14ac:dyDescent="0.35">
      <c r="A1" s="35" t="s">
        <v>119</v>
      </c>
    </row>
    <row r="2" spans="1:12" x14ac:dyDescent="0.35">
      <c r="A2" s="35"/>
    </row>
    <row r="3" spans="1:12" x14ac:dyDescent="0.35">
      <c r="A3" s="34" t="s">
        <v>120</v>
      </c>
      <c r="D3" t="s">
        <v>99</v>
      </c>
      <c r="K3" t="s">
        <v>124</v>
      </c>
    </row>
    <row r="4" spans="1:12" x14ac:dyDescent="0.35">
      <c r="H4" s="12" t="s">
        <v>64</v>
      </c>
      <c r="I4" s="12" t="s">
        <v>65</v>
      </c>
    </row>
    <row r="5" spans="1:12" x14ac:dyDescent="0.35">
      <c r="A5" s="65" t="s">
        <v>64</v>
      </c>
      <c r="B5" s="65" t="s">
        <v>65</v>
      </c>
      <c r="D5" s="65" t="s">
        <v>64</v>
      </c>
      <c r="E5" s="65" t="s">
        <v>65</v>
      </c>
      <c r="G5" t="s">
        <v>100</v>
      </c>
      <c r="H5" s="51">
        <f>COUNT(A6:A17)</f>
        <v>12</v>
      </c>
      <c r="I5" s="62">
        <f>COUNT(B6:B17)</f>
        <v>11</v>
      </c>
      <c r="K5" s="65" t="s">
        <v>64</v>
      </c>
      <c r="L5" s="65" t="s">
        <v>65</v>
      </c>
    </row>
    <row r="6" spans="1:12" x14ac:dyDescent="0.35">
      <c r="A6">
        <v>11</v>
      </c>
      <c r="B6">
        <v>34</v>
      </c>
      <c r="D6" t="e">
        <f ca="1">IF(A6&lt;&gt;"",RANK_AVG(A6,$A$6:$B$17,1),"")</f>
        <v>#NAME?</v>
      </c>
      <c r="E6" t="e">
        <f ca="1">IF(B6&lt;&gt;"",RANK_AVG(B6,$A$6:$B$17,1),"")</f>
        <v>#NAME?</v>
      </c>
      <c r="G6" t="s">
        <v>123</v>
      </c>
      <c r="H6" s="9" t="e">
        <f ca="1">D18</f>
        <v>#NAME?</v>
      </c>
      <c r="I6" s="11" t="e">
        <f ca="1">E18</f>
        <v>#NAME?</v>
      </c>
      <c r="K6" t="e">
        <f ca="1">IF(A6&lt;&gt;"",RANK_AVG(A6,$A$6:$B$17),"")</f>
        <v>#NAME?</v>
      </c>
      <c r="L6" t="e">
        <f ca="1">IF(B6&lt;&gt;"",RANK_AVG(B6,$A$6:$B$17),"")</f>
        <v>#NAME?</v>
      </c>
    </row>
    <row r="7" spans="1:12" x14ac:dyDescent="0.35">
      <c r="A7">
        <v>15</v>
      </c>
      <c r="B7">
        <v>31</v>
      </c>
      <c r="D7" t="e">
        <f ca="1">IF(A7&lt;&gt;"",RANK_AVG(A7,$A$6:$B$17,1),"")</f>
        <v>#NAME?</v>
      </c>
      <c r="E7" t="e">
        <f ca="1">IF(B7&lt;&gt;"",RANK_AVG(B7,$A$6:$B$17,1),"")</f>
        <v>#NAME?</v>
      </c>
      <c r="K7" t="e">
        <f ca="1">IF(A7&lt;&gt;"",RANK_AVG(A7,$A$6:$B$17),"")</f>
        <v>#NAME?</v>
      </c>
      <c r="L7" t="e">
        <f ca="1">IF(B7&lt;&gt;"",RANK_AVG(B7,$A$6:$B$17),"")</f>
        <v>#NAME?</v>
      </c>
    </row>
    <row r="8" spans="1:12" x14ac:dyDescent="0.35">
      <c r="A8">
        <v>9</v>
      </c>
      <c r="B8">
        <v>35</v>
      </c>
      <c r="D8" t="e">
        <f ca="1">IF(A8&lt;&gt;"",RANK_AVG(A8,$A$6:$B$17,1),"")</f>
        <v>#NAME?</v>
      </c>
      <c r="E8" t="e">
        <f ca="1">IF(B8&lt;&gt;"",RANK_AVG(B8,$A$6:$B$17,1),"")</f>
        <v>#NAME?</v>
      </c>
      <c r="G8" s="38" t="s">
        <v>34</v>
      </c>
      <c r="H8" s="49">
        <v>0.05</v>
      </c>
      <c r="K8" t="e">
        <f ca="1">IF(A8&lt;&gt;"",RANK_AVG(A8,$A$6:$B$17),"")</f>
        <v>#NAME?</v>
      </c>
      <c r="L8" t="e">
        <f ca="1">IF(B8&lt;&gt;"",RANK_AVG(B8,$A$6:$B$17),"")</f>
        <v>#NAME?</v>
      </c>
    </row>
    <row r="9" spans="1:12" x14ac:dyDescent="0.35">
      <c r="A9">
        <v>4</v>
      </c>
      <c r="B9">
        <v>29</v>
      </c>
      <c r="D9" t="e">
        <f ca="1">IF(A9&lt;&gt;"",RANK_AVG(A9,$A$6:$B$17,1),"")</f>
        <v>#NAME?</v>
      </c>
      <c r="E9" t="e">
        <f ca="1">IF(B9&lt;&gt;"",RANK_AVG(B9,$A$6:$B$17,1),"")</f>
        <v>#NAME?</v>
      </c>
      <c r="G9" s="38" t="s">
        <v>107</v>
      </c>
      <c r="H9" s="58">
        <v>2</v>
      </c>
      <c r="K9" t="e">
        <f ca="1">IF(A9&lt;&gt;"",RANK_AVG(A9,$A$6:$B$17),"")</f>
        <v>#NAME?</v>
      </c>
      <c r="L9" t="e">
        <f ca="1">IF(B9&lt;&gt;"",RANK_AVG(B9,$A$6:$B$17),"")</f>
        <v>#NAME?</v>
      </c>
    </row>
    <row r="10" spans="1:12" x14ac:dyDescent="0.35">
      <c r="A10">
        <v>34</v>
      </c>
      <c r="B10">
        <v>28</v>
      </c>
      <c r="D10" t="e">
        <f ca="1">IF(A10&lt;&gt;"",RANK_AVG(A10,$A$6:$B$17,1),"")</f>
        <v>#NAME?</v>
      </c>
      <c r="E10" t="e">
        <f ca="1">IF(B10&lt;&gt;"",RANK_AVG(B10,$A$6:$B$17,1),"")</f>
        <v>#NAME?</v>
      </c>
      <c r="G10" s="38" t="s">
        <v>112</v>
      </c>
      <c r="H10" s="58" t="e">
        <f ca="1">IF(H5=I5,MIN(H6:I6),IF(H5&lt;I5,H6,I6))</f>
        <v>#NAME?</v>
      </c>
      <c r="K10" t="e">
        <f ca="1">IF(A10&lt;&gt;"",RANK_AVG(A10,$A$6:$B$17),"")</f>
        <v>#NAME?</v>
      </c>
      <c r="L10" t="e">
        <f ca="1">IF(B10&lt;&gt;"",RANK_AVG(B10,$A$6:$B$17),"")</f>
        <v>#NAME?</v>
      </c>
    </row>
    <row r="11" spans="1:12" x14ac:dyDescent="0.35">
      <c r="A11">
        <v>17</v>
      </c>
      <c r="B11">
        <v>12</v>
      </c>
      <c r="D11" t="e">
        <f ca="1">IF(A11&lt;&gt;"",RANK_AVG(A11,$A$6:$B$17,1),"")</f>
        <v>#NAME?</v>
      </c>
      <c r="E11" t="e">
        <f ca="1">IF(B11&lt;&gt;"",RANK_AVG(B11,$A$6:$B$17,1),"")</f>
        <v>#NAME?</v>
      </c>
      <c r="G11" s="38" t="s">
        <v>121</v>
      </c>
      <c r="H11" s="58" t="e">
        <f ca="1">MIN(H5:I5)*(H5+I5+1)-H10</f>
        <v>#NAME?</v>
      </c>
      <c r="K11" t="e">
        <f ca="1">IF(A11&lt;&gt;"",RANK_AVG(A11,$A$6:$B$17),"")</f>
        <v>#NAME?</v>
      </c>
      <c r="L11" t="e">
        <f ca="1">IF(B11&lt;&gt;"",RANK_AVG(B11,$A$6:$B$17),"")</f>
        <v>#NAME?</v>
      </c>
    </row>
    <row r="12" spans="1:12" x14ac:dyDescent="0.35">
      <c r="A12">
        <v>18</v>
      </c>
      <c r="B12">
        <v>18</v>
      </c>
      <c r="D12" t="e">
        <f ca="1">IF(A12&lt;&gt;"",RANK_AVG(A12,$A$6:$B$17,1),"")</f>
        <v>#NAME?</v>
      </c>
      <c r="E12" t="e">
        <f ca="1">IF(B12&lt;&gt;"",RANK_AVG(B12,$A$6:$B$17,1),"")</f>
        <v>#NAME?</v>
      </c>
      <c r="G12" s="23" t="s">
        <v>122</v>
      </c>
      <c r="H12" s="58">
        <f>'Wilcoxon Table'!L75</f>
        <v>99</v>
      </c>
      <c r="K12" t="e">
        <f ca="1">IF(A12&lt;&gt;"",RANK_AVG(A12,$A$6:$B$17),"")</f>
        <v>#NAME?</v>
      </c>
      <c r="L12" t="e">
        <f ca="1">IF(B12&lt;&gt;"",RANK_AVG(B12,$A$6:$B$17),"")</f>
        <v>#NAME?</v>
      </c>
    </row>
    <row r="13" spans="1:12" x14ac:dyDescent="0.35">
      <c r="A13">
        <v>14</v>
      </c>
      <c r="B13">
        <v>30</v>
      </c>
      <c r="D13" t="e">
        <f ca="1">IF(A13&lt;&gt;"",RANK_AVG(A13,$A$6:$B$17,1),"")</f>
        <v>#NAME?</v>
      </c>
      <c r="E13" t="e">
        <f ca="1">IF(B13&lt;&gt;"",RANK_AVG(B13,$A$6:$B$17,1),"")</f>
        <v>#NAME?</v>
      </c>
      <c r="G13" s="23" t="s">
        <v>104</v>
      </c>
      <c r="H13" s="47" t="e">
        <f ca="1">IF(MIN(H10:H11)&lt;H12,"yes","no")</f>
        <v>#NAME?</v>
      </c>
      <c r="K13" t="e">
        <f ca="1">IF(A13&lt;&gt;"",RANK_AVG(A13,$A$6:$B$17),"")</f>
        <v>#NAME?</v>
      </c>
      <c r="L13" t="e">
        <f ca="1">IF(B13&lt;&gt;"",RANK_AVG(B13,$A$6:$B$17),"")</f>
        <v>#NAME?</v>
      </c>
    </row>
    <row r="14" spans="1:12" x14ac:dyDescent="0.35">
      <c r="A14">
        <v>12</v>
      </c>
      <c r="B14">
        <v>14</v>
      </c>
      <c r="D14" t="e">
        <f ca="1">IF(A14&lt;&gt;"",RANK_AVG(A14,$A$6:$B$17,1),"")</f>
        <v>#NAME?</v>
      </c>
      <c r="E14" t="e">
        <f ca="1">IF(B14&lt;&gt;"",RANK_AVG(B14,$A$6:$B$17,1),"")</f>
        <v>#NAME?</v>
      </c>
      <c r="K14" t="e">
        <f ca="1">IF(A14&lt;&gt;"",RANK_AVG(A14,$A$6:$B$17),"")</f>
        <v>#NAME?</v>
      </c>
      <c r="L14" t="e">
        <f ca="1">IF(B14&lt;&gt;"",RANK_AVG(B14,$A$6:$B$17),"")</f>
        <v>#NAME?</v>
      </c>
    </row>
    <row r="15" spans="1:12" x14ac:dyDescent="0.35">
      <c r="A15">
        <v>13</v>
      </c>
      <c r="B15">
        <v>22</v>
      </c>
      <c r="D15" t="e">
        <f ca="1">IF(A15&lt;&gt;"",RANK_AVG(A15,$A$6:$B$17,1),"")</f>
        <v>#NAME?</v>
      </c>
      <c r="E15" t="e">
        <f ca="1">IF(B15&lt;&gt;"",RANK_AVG(B15,$A$6:$B$17,1),"")</f>
        <v>#NAME?</v>
      </c>
      <c r="K15" t="e">
        <f ca="1">IF(A15&lt;&gt;"",RANK_AVG(A15,$A$6:$B$17),"")</f>
        <v>#NAME?</v>
      </c>
      <c r="L15" t="e">
        <f ca="1">IF(B15&lt;&gt;"",RANK_AVG(B15,$A$6:$B$17),"")</f>
        <v>#NAME?</v>
      </c>
    </row>
    <row r="16" spans="1:12" x14ac:dyDescent="0.35">
      <c r="A16">
        <v>26</v>
      </c>
      <c r="B16">
        <v>10</v>
      </c>
      <c r="D16" t="e">
        <f ca="1">IF(A16&lt;&gt;"",RANK_AVG(A16,$A$6:$B$17,1),"")</f>
        <v>#NAME?</v>
      </c>
      <c r="E16" t="e">
        <f ca="1">IF(B16&lt;&gt;"",RANK_AVG(B16,$A$6:$B$17,1),"")</f>
        <v>#NAME?</v>
      </c>
      <c r="K16" t="e">
        <f ca="1">IF(A16&lt;&gt;"",RANK_AVG(A16,$A$6:$B$17),"")</f>
        <v>#NAME?</v>
      </c>
      <c r="L16" t="e">
        <f ca="1">IF(B16&lt;&gt;"",RANK_AVG(B16,$A$6:$B$17),"")</f>
        <v>#NAME?</v>
      </c>
    </row>
    <row r="17" spans="1:12" x14ac:dyDescent="0.35">
      <c r="A17" s="10">
        <v>31</v>
      </c>
      <c r="B17" s="10"/>
      <c r="D17" s="10" t="e">
        <f ca="1">IF(A17&lt;&gt;"",RANK_AVG(A17,$A$6:$B$17,1),"")</f>
        <v>#NAME?</v>
      </c>
      <c r="E17" s="10" t="str">
        <f>IF(B17&lt;&gt;"",RANK_AVG(B17,$A$6:$B$17,1),"")</f>
        <v/>
      </c>
      <c r="K17" s="10" t="e">
        <f ca="1">IF(A17&lt;&gt;"",RANK_AVG(A17,$A$6:$B$17),"")</f>
        <v>#NAME?</v>
      </c>
      <c r="L17" s="10" t="str">
        <f>IF(B17&lt;&gt;"",RANK_AVG(B17,$A$6:$B$17),"")</f>
        <v/>
      </c>
    </row>
    <row r="18" spans="1:12" x14ac:dyDescent="0.35">
      <c r="A18">
        <f>AVERAGE(A6:A17)</f>
        <v>17</v>
      </c>
      <c r="B18">
        <f>AVERAGE(B6:B17)</f>
        <v>23.90909090909091</v>
      </c>
      <c r="D18" t="e">
        <f ca="1">SUM(D6:D17)</f>
        <v>#NAME?</v>
      </c>
      <c r="E18" t="e">
        <f ca="1">SUM(E6:E17)</f>
        <v>#NAME?</v>
      </c>
      <c r="K18" t="e">
        <f ca="1">SUM(K6:K17)</f>
        <v>#NAME?</v>
      </c>
      <c r="L18" t="e">
        <f ca="1">SUM(L6:L17)</f>
        <v>#NAME?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2"/>
  <dimension ref="A1:Y18"/>
  <sheetViews>
    <sheetView workbookViewId="0"/>
  </sheetViews>
  <sheetFormatPr defaultRowHeight="14.5" x14ac:dyDescent="0.35"/>
  <cols>
    <col min="1" max="8" width="5.1796875" customWidth="1"/>
    <col min="9" max="9" width="5.26953125" customWidth="1"/>
    <col min="10" max="17" width="5.1796875" customWidth="1"/>
    <col min="18" max="18" width="4.1796875" customWidth="1"/>
    <col min="19" max="19" width="10.26953125" customWidth="1"/>
    <col min="20" max="21" width="9.1796875" customWidth="1"/>
    <col min="23" max="23" width="10.453125" customWidth="1"/>
  </cols>
  <sheetData>
    <row r="1" spans="1:25" x14ac:dyDescent="0.35">
      <c r="A1" s="35" t="s">
        <v>119</v>
      </c>
    </row>
    <row r="3" spans="1:25" x14ac:dyDescent="0.35">
      <c r="A3" s="15" t="s">
        <v>31</v>
      </c>
      <c r="J3" t="s">
        <v>127</v>
      </c>
      <c r="S3" t="s">
        <v>129</v>
      </c>
      <c r="W3" t="s">
        <v>97</v>
      </c>
    </row>
    <row r="5" spans="1:25" x14ac:dyDescent="0.35">
      <c r="A5" t="s">
        <v>125</v>
      </c>
      <c r="E5" t="s">
        <v>126</v>
      </c>
      <c r="J5" t="s">
        <v>125</v>
      </c>
      <c r="N5" t="s">
        <v>126</v>
      </c>
      <c r="T5" s="12" t="s">
        <v>128</v>
      </c>
      <c r="U5" s="12" t="s">
        <v>126</v>
      </c>
      <c r="X5" s="12" t="s">
        <v>128</v>
      </c>
      <c r="Y5" s="12" t="s">
        <v>126</v>
      </c>
    </row>
    <row r="6" spans="1:25" x14ac:dyDescent="0.35">
      <c r="A6" s="79">
        <v>81</v>
      </c>
      <c r="B6" s="80">
        <v>62</v>
      </c>
      <c r="C6" s="80">
        <v>90</v>
      </c>
      <c r="D6" s="80">
        <v>79</v>
      </c>
      <c r="E6" s="79">
        <v>72</v>
      </c>
      <c r="F6" s="80">
        <v>86</v>
      </c>
      <c r="G6" s="80">
        <v>77</v>
      </c>
      <c r="H6" s="81">
        <v>66</v>
      </c>
      <c r="J6" s="82" t="e">
        <f ca="1">IF(A6&lt;&gt;"",RANK_AVG(A6,$A$6:$H$15,1),"")</f>
        <v>#NAME?</v>
      </c>
      <c r="K6" s="83" t="e">
        <f ca="1">IF(B6&lt;&gt;"",RANK_AVG(B6,$A$6:$H$15,1),"")</f>
        <v>#NAME?</v>
      </c>
      <c r="L6" s="83" t="e">
        <f ca="1">IF(C6&lt;&gt;"",RANK_AVG(C6,$A$6:$H$15,1),"")</f>
        <v>#NAME?</v>
      </c>
      <c r="M6" s="83" t="e">
        <f ca="1">IF(D6&lt;&gt;"",RANK_AVG(D6,$A$6:$H$15,1),"")</f>
        <v>#NAME?</v>
      </c>
      <c r="N6" s="82" t="e">
        <f ca="1">IF(E6&lt;&gt;"",RANK_AVG(E6,$A$6:$H$15,1),"")</f>
        <v>#NAME?</v>
      </c>
      <c r="O6" s="83" t="e">
        <f ca="1">IF(F6&lt;&gt;"",RANK_AVG(F6,$A$6:$H$15,1),"")</f>
        <v>#NAME?</v>
      </c>
      <c r="P6" s="83" t="e">
        <f ca="1">IF(G6&lt;&gt;"",RANK_AVG(G6,$A$6:$H$15,1),"")</f>
        <v>#NAME?</v>
      </c>
      <c r="Q6" s="84" t="e">
        <f ca="1">IF(H6&lt;&gt;"",RANK_AVG(H6,$A$6:$H$15,1),"")</f>
        <v>#NAME?</v>
      </c>
      <c r="S6" t="s">
        <v>100</v>
      </c>
      <c r="T6" s="82">
        <f>COUNT(A6:D15)</f>
        <v>40</v>
      </c>
      <c r="U6" s="84">
        <f>COUNT(E6:H15)</f>
        <v>38</v>
      </c>
      <c r="W6" t="s">
        <v>100</v>
      </c>
      <c r="X6" s="98">
        <f>T6</f>
        <v>40</v>
      </c>
      <c r="Y6" s="99">
        <f>U6</f>
        <v>38</v>
      </c>
    </row>
    <row r="7" spans="1:25" x14ac:dyDescent="0.35">
      <c r="A7" s="59">
        <v>65</v>
      </c>
      <c r="B7" s="7">
        <v>86</v>
      </c>
      <c r="C7" s="7">
        <v>88</v>
      </c>
      <c r="D7" s="7">
        <v>72</v>
      </c>
      <c r="E7" s="59">
        <v>80</v>
      </c>
      <c r="F7" s="7">
        <v>35</v>
      </c>
      <c r="G7" s="7">
        <v>87</v>
      </c>
      <c r="H7" s="60">
        <v>79</v>
      </c>
      <c r="J7" s="59" t="e">
        <f ca="1">IF(A7&lt;&gt;"",RANK_AVG(A7,$A$6:$H$15,1),"")</f>
        <v>#NAME?</v>
      </c>
      <c r="K7" s="7" t="e">
        <f ca="1">IF(B7&lt;&gt;"",RANK_AVG(B7,$A$6:$H$15,1),"")</f>
        <v>#NAME?</v>
      </c>
      <c r="L7" s="7" t="e">
        <f ca="1">IF(C7&lt;&gt;"",RANK_AVG(C7,$A$6:$H$15,1),"")</f>
        <v>#NAME?</v>
      </c>
      <c r="M7" s="7" t="e">
        <f ca="1">IF(D7&lt;&gt;"",RANK_AVG(D7,$A$6:$H$15,1),"")</f>
        <v>#NAME?</v>
      </c>
      <c r="N7" s="59" t="e">
        <f ca="1">IF(E7&lt;&gt;"",RANK_AVG(E7,$A$6:$H$15,1),"")</f>
        <v>#NAME?</v>
      </c>
      <c r="O7" s="7" t="e">
        <f ca="1">IF(F7&lt;&gt;"",RANK_AVG(F7,$A$6:$H$15,1),"")</f>
        <v>#NAME?</v>
      </c>
      <c r="P7" s="7" t="e">
        <f ca="1">IF(G7&lt;&gt;"",RANK_AVG(G7,$A$6:$H$15,1),"")</f>
        <v>#NAME?</v>
      </c>
      <c r="Q7" s="60" t="e">
        <f ca="1">IF(H7&lt;&gt;"",RANK_AVG(H7,$A$6:$H$15,1),"")</f>
        <v>#NAME?</v>
      </c>
      <c r="S7" t="s">
        <v>106</v>
      </c>
      <c r="T7" s="59">
        <f>MEDIAN(A6:D15)</f>
        <v>76.5</v>
      </c>
      <c r="U7" s="60">
        <f>MEDIAN(E6:H15)</f>
        <v>70.5</v>
      </c>
      <c r="W7" t="s">
        <v>2</v>
      </c>
      <c r="X7" s="59">
        <f>T14</f>
        <v>1580</v>
      </c>
      <c r="Y7" s="60">
        <f>U14</f>
        <v>1501</v>
      </c>
    </row>
    <row r="8" spans="1:25" x14ac:dyDescent="0.35">
      <c r="A8" s="59">
        <v>89</v>
      </c>
      <c r="B8" s="7">
        <v>89</v>
      </c>
      <c r="C8" s="7">
        <v>74</v>
      </c>
      <c r="D8" s="7">
        <v>92</v>
      </c>
      <c r="E8" s="59">
        <v>63</v>
      </c>
      <c r="F8" s="7">
        <v>78</v>
      </c>
      <c r="G8" s="7">
        <v>77</v>
      </c>
      <c r="H8" s="60">
        <v>67</v>
      </c>
      <c r="J8" s="59" t="e">
        <f ca="1">IF(A8&lt;&gt;"",RANK_AVG(A8,$A$6:$H$15,1),"")</f>
        <v>#NAME?</v>
      </c>
      <c r="K8" s="7" t="e">
        <f ca="1">IF(B8&lt;&gt;"",RANK_AVG(B8,$A$6:$H$15,1),"")</f>
        <v>#NAME?</v>
      </c>
      <c r="L8" s="7" t="e">
        <f ca="1">IF(C8&lt;&gt;"",RANK_AVG(C8,$A$6:$H$15,1),"")</f>
        <v>#NAME?</v>
      </c>
      <c r="M8" s="7" t="e">
        <f ca="1">IF(D8&lt;&gt;"",RANK_AVG(D8,$A$6:$H$15,1),"")</f>
        <v>#NAME?</v>
      </c>
      <c r="N8" s="59" t="e">
        <f ca="1">IF(E8&lt;&gt;"",RANK_AVG(E8,$A$6:$H$15,1),"")</f>
        <v>#NAME?</v>
      </c>
      <c r="O8" s="7" t="e">
        <f ca="1">IF(F8&lt;&gt;"",RANK_AVG(F8,$A$6:$H$15,1),"")</f>
        <v>#NAME?</v>
      </c>
      <c r="P8" s="7" t="e">
        <f ca="1">IF(G8&lt;&gt;"",RANK_AVG(G8,$A$6:$H$15,1),"")</f>
        <v>#NAME?</v>
      </c>
      <c r="Q8" s="60" t="e">
        <f ca="1">IF(H8&lt;&gt;"",RANK_AVG(H8,$A$6:$H$15,1),"")</f>
        <v>#NAME?</v>
      </c>
      <c r="S8" t="s">
        <v>123</v>
      </c>
      <c r="T8" s="9" t="e">
        <f ca="1">SUM(J6:M15)</f>
        <v>#NAME?</v>
      </c>
      <c r="U8" s="11" t="e">
        <f ca="1">SUM(N6:Q15)</f>
        <v>#NAME?</v>
      </c>
      <c r="W8" t="s">
        <v>56</v>
      </c>
      <c r="X8" s="59">
        <f>T16</f>
        <v>100.03332777962885</v>
      </c>
      <c r="Y8" s="60">
        <f>U16</f>
        <v>100.03332777962885</v>
      </c>
    </row>
    <row r="9" spans="1:25" x14ac:dyDescent="0.35">
      <c r="A9" s="59">
        <v>70</v>
      </c>
      <c r="B9" s="7">
        <v>75</v>
      </c>
      <c r="C9" s="7">
        <v>88</v>
      </c>
      <c r="D9" s="7">
        <v>77</v>
      </c>
      <c r="E9" s="59">
        <v>67</v>
      </c>
      <c r="F9" s="7">
        <v>72</v>
      </c>
      <c r="G9" s="7">
        <v>65</v>
      </c>
      <c r="H9" s="60">
        <v>65</v>
      </c>
      <c r="J9" s="59" t="e">
        <f ca="1">IF(A9&lt;&gt;"",RANK_AVG(A9,$A$6:$H$15,1),"")</f>
        <v>#NAME?</v>
      </c>
      <c r="K9" s="7" t="e">
        <f ca="1">IF(B9&lt;&gt;"",RANK_AVG(B9,$A$6:$H$15,1),"")</f>
        <v>#NAME?</v>
      </c>
      <c r="L9" s="7" t="e">
        <f ca="1">IF(C9&lt;&gt;"",RANK_AVG(C9,$A$6:$H$15,1),"")</f>
        <v>#NAME?</v>
      </c>
      <c r="M9" s="7" t="e">
        <f ca="1">IF(D9&lt;&gt;"",RANK_AVG(D9,$A$6:$H$15,1),"")</f>
        <v>#NAME?</v>
      </c>
      <c r="N9" s="59" t="e">
        <f ca="1">IF(E9&lt;&gt;"",RANK_AVG(E9,$A$6:$H$15,1),"")</f>
        <v>#NAME?</v>
      </c>
      <c r="O9" s="7" t="e">
        <f ca="1">IF(F9&lt;&gt;"",RANK_AVG(F9,$A$6:$H$15,1),"")</f>
        <v>#NAME?</v>
      </c>
      <c r="P9" s="7" t="e">
        <f ca="1">IF(G9&lt;&gt;"",RANK_AVG(G9,$A$6:$H$15,1),"")</f>
        <v>#NAME?</v>
      </c>
      <c r="Q9" s="60" t="e">
        <f ca="1">IF(H9&lt;&gt;"",RANK_AVG(H9,$A$6:$H$15,1),"")</f>
        <v>#NAME?</v>
      </c>
      <c r="W9" t="s">
        <v>123</v>
      </c>
      <c r="X9" s="59" t="e">
        <f ca="1">T8</f>
        <v>#NAME?</v>
      </c>
      <c r="Y9" s="60" t="e">
        <f ca="1">U8</f>
        <v>#NAME?</v>
      </c>
    </row>
    <row r="10" spans="1:25" x14ac:dyDescent="0.35">
      <c r="A10" s="59">
        <v>87</v>
      </c>
      <c r="B10" s="7">
        <v>76</v>
      </c>
      <c r="C10" s="7">
        <v>90</v>
      </c>
      <c r="D10" s="7">
        <v>45</v>
      </c>
      <c r="E10" s="59">
        <v>69</v>
      </c>
      <c r="F10" s="7">
        <v>75</v>
      </c>
      <c r="G10" s="7">
        <v>90</v>
      </c>
      <c r="H10" s="60">
        <v>76</v>
      </c>
      <c r="J10" s="59" t="e">
        <f ca="1">IF(A10&lt;&gt;"",RANK_AVG(A10,$A$6:$H$15,1),"")</f>
        <v>#NAME?</v>
      </c>
      <c r="K10" s="7" t="e">
        <f ca="1">IF(B10&lt;&gt;"",RANK_AVG(B10,$A$6:$H$15,1),"")</f>
        <v>#NAME?</v>
      </c>
      <c r="L10" s="7" t="e">
        <f ca="1">IF(C10&lt;&gt;"",RANK_AVG(C10,$A$6:$H$15,1),"")</f>
        <v>#NAME?</v>
      </c>
      <c r="M10" s="7" t="e">
        <f ca="1">IF(D10&lt;&gt;"",RANK_AVG(D10,$A$6:$H$15,1),"")</f>
        <v>#NAME?</v>
      </c>
      <c r="N10" s="59" t="e">
        <f ca="1">IF(E10&lt;&gt;"",RANK_AVG(E10,$A$6:$H$15,1),"")</f>
        <v>#NAME?</v>
      </c>
      <c r="O10" s="7" t="e">
        <f ca="1">IF(F10&lt;&gt;"",RANK_AVG(F10,$A$6:$H$15,1),"")</f>
        <v>#NAME?</v>
      </c>
      <c r="P10" s="7" t="e">
        <f ca="1">IF(G10&lt;&gt;"",RANK_AVG(G10,$A$6:$H$15,1),"")</f>
        <v>#NAME?</v>
      </c>
      <c r="Q10" s="60" t="e">
        <f ca="1">IF(H10&lt;&gt;"",RANK_AVG(H10,$A$6:$H$15,1),"")</f>
        <v>#NAME?</v>
      </c>
      <c r="S10" s="38" t="s">
        <v>34</v>
      </c>
      <c r="T10" s="82">
        <v>0.05</v>
      </c>
      <c r="U10" s="84">
        <f>T10</f>
        <v>0.05</v>
      </c>
      <c r="W10" t="s">
        <v>171</v>
      </c>
      <c r="X10" s="59" t="e">
        <f ca="1">STANDARDIZE(X9,X7,X8)</f>
        <v>#NAME?</v>
      </c>
      <c r="Y10" s="60" t="e">
        <f ca="1">STANDARDIZE(Y9,Y7,Y8)</f>
        <v>#NAME?</v>
      </c>
    </row>
    <row r="11" spans="1:25" x14ac:dyDescent="0.35">
      <c r="A11" s="59">
        <v>61</v>
      </c>
      <c r="B11" s="7">
        <v>69</v>
      </c>
      <c r="C11" s="7">
        <v>87</v>
      </c>
      <c r="D11" s="7">
        <v>75</v>
      </c>
      <c r="E11" s="59">
        <v>62</v>
      </c>
      <c r="F11" s="7">
        <v>73</v>
      </c>
      <c r="G11" s="7">
        <v>55</v>
      </c>
      <c r="H11" s="60">
        <v>70</v>
      </c>
      <c r="J11" s="59" t="e">
        <f ca="1">IF(A11&lt;&gt;"",RANK_AVG(A11,$A$6:$H$15,1),"")</f>
        <v>#NAME?</v>
      </c>
      <c r="K11" s="7" t="e">
        <f ca="1">IF(B11&lt;&gt;"",RANK_AVG(B11,$A$6:$H$15,1),"")</f>
        <v>#NAME?</v>
      </c>
      <c r="L11" s="7" t="e">
        <f ca="1">IF(C11&lt;&gt;"",RANK_AVG(C11,$A$6:$H$15,1),"")</f>
        <v>#NAME?</v>
      </c>
      <c r="M11" s="7" t="e">
        <f ca="1">IF(D11&lt;&gt;"",RANK_AVG(D11,$A$6:$H$15,1),"")</f>
        <v>#NAME?</v>
      </c>
      <c r="N11" s="59" t="e">
        <f ca="1">IF(E11&lt;&gt;"",RANK_AVG(E11,$A$6:$H$15,1),"")</f>
        <v>#NAME?</v>
      </c>
      <c r="O11" s="7" t="e">
        <f ca="1">IF(F11&lt;&gt;"",RANK_AVG(F11,$A$6:$H$15,1),"")</f>
        <v>#NAME?</v>
      </c>
      <c r="P11" s="7" t="e">
        <f ca="1">IF(G11&lt;&gt;"",RANK_AVG(G11,$A$6:$H$15,1),"")</f>
        <v>#NAME?</v>
      </c>
      <c r="Q11" s="60" t="e">
        <f ca="1">IF(H11&lt;&gt;"",RANK_AVG(H11,$A$6:$H$15,1),"")</f>
        <v>#NAME?</v>
      </c>
      <c r="S11" s="38" t="s">
        <v>107</v>
      </c>
      <c r="T11" s="59">
        <v>2</v>
      </c>
      <c r="U11" s="60">
        <f>T11</f>
        <v>2</v>
      </c>
      <c r="W11" t="s">
        <v>96</v>
      </c>
      <c r="X11" s="45" t="e">
        <f ca="1">X10/SQRT(X6+Y6)</f>
        <v>#NAME?</v>
      </c>
      <c r="Y11" s="48" t="e">
        <f ca="1">Y10/SQRT(X6+Y6)</f>
        <v>#NAME?</v>
      </c>
    </row>
    <row r="12" spans="1:25" x14ac:dyDescent="0.35">
      <c r="A12" s="59">
        <v>94</v>
      </c>
      <c r="B12" s="7">
        <v>69</v>
      </c>
      <c r="C12" s="7">
        <v>95</v>
      </c>
      <c r="D12" s="23">
        <v>70</v>
      </c>
      <c r="E12" s="59">
        <v>67</v>
      </c>
      <c r="F12" s="7">
        <v>71</v>
      </c>
      <c r="G12" s="7">
        <v>69</v>
      </c>
      <c r="H12" s="60">
        <v>64</v>
      </c>
      <c r="J12" s="59" t="e">
        <f ca="1">IF(A12&lt;&gt;"",RANK_AVG(A12,$A$6:$H$15,1),"")</f>
        <v>#NAME?</v>
      </c>
      <c r="K12" s="7" t="e">
        <f ca="1">IF(B12&lt;&gt;"",RANK_AVG(B12,$A$6:$H$15,1),"")</f>
        <v>#NAME?</v>
      </c>
      <c r="L12" s="7" t="e">
        <f ca="1">IF(C12&lt;&gt;"",RANK_AVG(C12,$A$6:$H$15,1),"")</f>
        <v>#NAME?</v>
      </c>
      <c r="M12" s="7" t="e">
        <f ca="1">IF(D12&lt;&gt;"",RANK_AVG(D12,$A$6:$H$15,1),"")</f>
        <v>#NAME?</v>
      </c>
      <c r="N12" s="59" t="e">
        <f ca="1">IF(E12&lt;&gt;"",RANK_AVG(E12,$A$6:$H$15,1),"")</f>
        <v>#NAME?</v>
      </c>
      <c r="O12" s="7" t="e">
        <f ca="1">IF(F12&lt;&gt;"",RANK_AVG(F12,$A$6:$H$15,1),"")</f>
        <v>#NAME?</v>
      </c>
      <c r="P12" s="7" t="e">
        <f ca="1">IF(G12&lt;&gt;"",RANK_AVG(G12,$A$6:$H$15,1),"")</f>
        <v>#NAME?</v>
      </c>
      <c r="Q12" s="60" t="e">
        <f ca="1">IF(H12&lt;&gt;"",RANK_AVG(H12,$A$6:$H$15,1),"")</f>
        <v>#NAME?</v>
      </c>
      <c r="S12" s="38" t="s">
        <v>112</v>
      </c>
      <c r="T12" s="59" t="str">
        <f>IF(T6&lt;=U6,T8,"")</f>
        <v/>
      </c>
      <c r="U12" s="60" t="e">
        <f ca="1">IF(U6&lt;T6,U8,"")</f>
        <v>#NAME?</v>
      </c>
    </row>
    <row r="13" spans="1:25" x14ac:dyDescent="0.35">
      <c r="A13" s="59">
        <v>98</v>
      </c>
      <c r="B13" s="7">
        <v>61</v>
      </c>
      <c r="C13" s="7">
        <v>66</v>
      </c>
      <c r="D13" s="23">
        <v>91</v>
      </c>
      <c r="E13" s="59">
        <v>62</v>
      </c>
      <c r="F13" s="7">
        <v>78</v>
      </c>
      <c r="G13" s="7">
        <v>91</v>
      </c>
      <c r="H13" s="60">
        <v>64</v>
      </c>
      <c r="J13" s="59" t="e">
        <f ca="1">IF(A13&lt;&gt;"",RANK_AVG(A13,$A$6:$H$15,1),"")</f>
        <v>#NAME?</v>
      </c>
      <c r="K13" s="7" t="e">
        <f ca="1">IF(B13&lt;&gt;"",RANK_AVG(B13,$A$6:$H$15,1),"")</f>
        <v>#NAME?</v>
      </c>
      <c r="L13" s="7" t="e">
        <f ca="1">IF(C13&lt;&gt;"",RANK_AVG(C13,$A$6:$H$15,1),"")</f>
        <v>#NAME?</v>
      </c>
      <c r="M13" s="7" t="e">
        <f ca="1">IF(D13&lt;&gt;"",RANK_AVG(D13,$A$6:$H$15,1),"")</f>
        <v>#NAME?</v>
      </c>
      <c r="N13" s="59" t="e">
        <f ca="1">IF(E13&lt;&gt;"",RANK_AVG(E13,$A$6:$H$15,1),"")</f>
        <v>#NAME?</v>
      </c>
      <c r="O13" s="7" t="e">
        <f ca="1">IF(F13&lt;&gt;"",RANK_AVG(F13,$A$6:$H$15,1),"")</f>
        <v>#NAME?</v>
      </c>
      <c r="P13" s="7" t="e">
        <f ca="1">IF(G13&lt;&gt;"",RANK_AVG(G13,$A$6:$H$15,1),"")</f>
        <v>#NAME?</v>
      </c>
      <c r="Q13" s="60" t="e">
        <f ca="1">IF(H13&lt;&gt;"",RANK_AVG(H13,$A$6:$H$15,1),"")</f>
        <v>#NAME?</v>
      </c>
      <c r="S13" s="38" t="s">
        <v>121</v>
      </c>
      <c r="T13" s="59" t="e">
        <f ca="1">IF(T12="",U6*(T6+U6+1)-U12,"")</f>
        <v>#NAME?</v>
      </c>
      <c r="U13" s="60" t="e">
        <f ca="1">IF(U12="",T6*(T6+U6+1)-T12,"")</f>
        <v>#NAME?</v>
      </c>
    </row>
    <row r="14" spans="1:25" x14ac:dyDescent="0.35">
      <c r="A14" s="59">
        <v>81</v>
      </c>
      <c r="B14" s="7">
        <v>72</v>
      </c>
      <c r="C14" s="7">
        <v>72</v>
      </c>
      <c r="D14" s="23">
        <v>73</v>
      </c>
      <c r="E14" s="59">
        <v>71</v>
      </c>
      <c r="F14" s="7">
        <v>80</v>
      </c>
      <c r="G14" s="7">
        <v>30</v>
      </c>
      <c r="H14" s="60"/>
      <c r="J14" s="59" t="e">
        <f ca="1">IF(A14&lt;&gt;"",RANK_AVG(A14,$A$6:$H$15,1),"")</f>
        <v>#NAME?</v>
      </c>
      <c r="K14" s="7" t="e">
        <f ca="1">IF(B14&lt;&gt;"",RANK_AVG(B14,$A$6:$H$15,1),"")</f>
        <v>#NAME?</v>
      </c>
      <c r="L14" s="7" t="e">
        <f ca="1">IF(C14&lt;&gt;"",RANK_AVG(C14,$A$6:$H$15,1),"")</f>
        <v>#NAME?</v>
      </c>
      <c r="M14" s="7" t="e">
        <f ca="1">IF(D14&lt;&gt;"",RANK_AVG(D14,$A$6:$H$15,1),"")</f>
        <v>#NAME?</v>
      </c>
      <c r="N14" s="59" t="e">
        <f ca="1">IF(E14&lt;&gt;"",RANK_AVG(E14,$A$6:$H$15,1),"")</f>
        <v>#NAME?</v>
      </c>
      <c r="O14" s="7" t="e">
        <f ca="1">IF(F14&lt;&gt;"",RANK_AVG(F14,$A$6:$H$15,1),"")</f>
        <v>#NAME?</v>
      </c>
      <c r="P14" s="7" t="e">
        <f ca="1">IF(G14&lt;&gt;"",RANK_AVG(G14,$A$6:$H$15,1),"")</f>
        <v>#NAME?</v>
      </c>
      <c r="Q14" s="60" t="str">
        <f>IF(H14&lt;&gt;"",RANK_AVG(H14,$A$6:$H$15,1),"")</f>
        <v/>
      </c>
      <c r="S14" s="23" t="s">
        <v>2</v>
      </c>
      <c r="T14" s="59">
        <f>T6*(T6+U6+1)/2</f>
        <v>1580</v>
      </c>
      <c r="U14" s="60">
        <f>U6*(T6+U6+1)/2</f>
        <v>1501</v>
      </c>
      <c r="W14" t="s">
        <v>239</v>
      </c>
    </row>
    <row r="15" spans="1:25" x14ac:dyDescent="0.35">
      <c r="A15" s="9">
        <v>70</v>
      </c>
      <c r="B15" s="10">
        <v>77</v>
      </c>
      <c r="C15" s="10">
        <v>84</v>
      </c>
      <c r="D15" s="10">
        <v>67</v>
      </c>
      <c r="E15" s="9">
        <v>70</v>
      </c>
      <c r="F15" s="10">
        <v>45</v>
      </c>
      <c r="G15" s="10">
        <v>71</v>
      </c>
      <c r="H15" s="11"/>
      <c r="J15" s="9" t="e">
        <f ca="1">IF(A15&lt;&gt;"",RANK_AVG(A15,$A$6:$H$15,1),"")</f>
        <v>#NAME?</v>
      </c>
      <c r="K15" s="10" t="e">
        <f ca="1">IF(B15&lt;&gt;"",RANK_AVG(B15,$A$6:$H$15,1),"")</f>
        <v>#NAME?</v>
      </c>
      <c r="L15" s="10" t="e">
        <f ca="1">IF(C15&lt;&gt;"",RANK_AVG(C15,$A$6:$H$15,1),"")</f>
        <v>#NAME?</v>
      </c>
      <c r="M15" s="10" t="e">
        <f ca="1">IF(D15&lt;&gt;"",RANK_AVG(D15,$A$6:$H$15,1),"")</f>
        <v>#NAME?</v>
      </c>
      <c r="N15" s="9" t="e">
        <f ca="1">IF(E15&lt;&gt;"",RANK_AVG(E15,$A$6:$H$15,1),"")</f>
        <v>#NAME?</v>
      </c>
      <c r="O15" s="10" t="e">
        <f ca="1">IF(F15&lt;&gt;"",RANK_AVG(F15,$A$6:$H$15,1),"")</f>
        <v>#NAME?</v>
      </c>
      <c r="P15" s="10" t="e">
        <f ca="1">IF(G15&lt;&gt;"",RANK_AVG(G15,$A$6:$H$15,1),"")</f>
        <v>#NAME?</v>
      </c>
      <c r="Q15" s="11" t="str">
        <f>IF(H15&lt;&gt;"",RANK_AVG(H15,$A$6:$H$15,1),"")</f>
        <v/>
      </c>
      <c r="S15" s="23" t="s">
        <v>113</v>
      </c>
      <c r="T15" s="85">
        <f>T14*U6/6</f>
        <v>10006.666666666666</v>
      </c>
      <c r="U15" s="60">
        <f>U14*T6/6</f>
        <v>10006.666666666666</v>
      </c>
    </row>
    <row r="16" spans="1:25" x14ac:dyDescent="0.35">
      <c r="S16" s="23" t="s">
        <v>56</v>
      </c>
      <c r="T16" s="59">
        <f>SQRT(T15)</f>
        <v>100.03332777962885</v>
      </c>
      <c r="U16" s="60">
        <f>SQRT(U15)</f>
        <v>100.03332777962885</v>
      </c>
      <c r="W16" t="s">
        <v>145</v>
      </c>
      <c r="X16" s="117" t="e">
        <f ca="1">WILCOXON(A6:H15,4)</f>
        <v>#NAME?</v>
      </c>
      <c r="Y16" s="118" t="e">
        <f ca="1">WILCOXON(A6:D15,E6:H15)</f>
        <v>#NAME?</v>
      </c>
    </row>
    <row r="17" spans="19:25" x14ac:dyDescent="0.35">
      <c r="S17" s="23" t="s">
        <v>48</v>
      </c>
      <c r="T17" s="59" t="e">
        <f ca="1">2*(1-NORMDIST(T8,T14,T16,TRUE))</f>
        <v>#NAME?</v>
      </c>
      <c r="U17" s="60" t="e">
        <f ca="1">2*NORMDIST(U8,U14,U16,TRUE)</f>
        <v>#NAME?</v>
      </c>
      <c r="W17" t="s">
        <v>144</v>
      </c>
      <c r="X17" s="59" t="e">
        <f ca="1">WTEST(A6:H15,4)</f>
        <v>#NAME?</v>
      </c>
      <c r="Y17" s="60" t="e">
        <f ca="1">WTEST(A6:D15,E6:H15)</f>
        <v>#NAME?</v>
      </c>
    </row>
    <row r="18" spans="19:25" x14ac:dyDescent="0.35">
      <c r="S18" s="23" t="s">
        <v>104</v>
      </c>
      <c r="T18" s="21" t="e">
        <f ca="1">IF(T17&lt;T10,"yes","no")</f>
        <v>#NAME?</v>
      </c>
      <c r="U18" s="86" t="e">
        <f ca="1">IF(U17&lt;U10,"yes","no")</f>
        <v>#NAME?</v>
      </c>
      <c r="W18" t="s">
        <v>190</v>
      </c>
      <c r="X18" s="45" t="e">
        <f ca="1">WTEST(A6:H15,4,2)</f>
        <v>#NAME?</v>
      </c>
      <c r="Y18" s="48" t="e">
        <f ca="1">WTEST(A6:D15,E6:H15,2)</f>
        <v>#NAME?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380"/>
  <dimension ref="A1:K52"/>
  <sheetViews>
    <sheetView topLeftCell="B30" workbookViewId="0">
      <selection activeCell="R50" sqref="R50"/>
    </sheetView>
  </sheetViews>
  <sheetFormatPr defaultRowHeight="14.5" x14ac:dyDescent="0.35"/>
  <cols>
    <col min="3" max="3" width="5.54296875" customWidth="1"/>
    <col min="6" max="6" width="5.453125" customWidth="1"/>
    <col min="7" max="7" width="10" customWidth="1"/>
    <col min="10" max="10" width="3.81640625" customWidth="1"/>
    <col min="11" max="11" width="45.81640625" customWidth="1"/>
  </cols>
  <sheetData>
    <row r="1" spans="1:11" x14ac:dyDescent="0.35">
      <c r="A1" s="35" t="s">
        <v>119</v>
      </c>
    </row>
    <row r="2" spans="1:11" x14ac:dyDescent="0.35">
      <c r="A2" s="35"/>
    </row>
    <row r="3" spans="1:11" x14ac:dyDescent="0.35">
      <c r="A3" s="34" t="s">
        <v>120</v>
      </c>
      <c r="D3" t="s">
        <v>99</v>
      </c>
    </row>
    <row r="4" spans="1:11" x14ac:dyDescent="0.35">
      <c r="H4" s="12" t="s">
        <v>64</v>
      </c>
      <c r="I4" s="12" t="s">
        <v>65</v>
      </c>
    </row>
    <row r="5" spans="1:11" x14ac:dyDescent="0.35">
      <c r="A5" s="65" t="s">
        <v>64</v>
      </c>
      <c r="B5" s="65" t="s">
        <v>65</v>
      </c>
      <c r="D5" s="65" t="s">
        <v>64</v>
      </c>
      <c r="E5" s="65" t="s">
        <v>65</v>
      </c>
      <c r="G5" t="s">
        <v>100</v>
      </c>
      <c r="H5" s="51">
        <f>COUNT(A6:A12)</f>
        <v>7</v>
      </c>
      <c r="I5" s="62">
        <f>COUNT(B6:B12)</f>
        <v>7</v>
      </c>
      <c r="K5" t="e">
        <f ca="1">FTEXT(H5)</f>
        <v>#NAME?</v>
      </c>
    </row>
    <row r="6" spans="1:11" x14ac:dyDescent="0.35">
      <c r="A6">
        <v>11</v>
      </c>
      <c r="B6">
        <v>34</v>
      </c>
      <c r="D6" t="e">
        <f ca="1">IF(A6&lt;&gt;"",RANK_AVG(A6,$A$6:$B$12,1),"")</f>
        <v>#NAME?</v>
      </c>
      <c r="E6" t="e">
        <f ca="1">IF(B6&lt;&gt;"",RANK_AVG(B6,$A$6:$B$12,1),"")</f>
        <v>#NAME?</v>
      </c>
      <c r="G6" t="s">
        <v>123</v>
      </c>
      <c r="H6" s="9" t="e">
        <f ca="1">D13</f>
        <v>#NAME?</v>
      </c>
      <c r="I6" s="11" t="e">
        <f ca="1">E13</f>
        <v>#NAME?</v>
      </c>
      <c r="K6" t="e">
        <f ca="1">FTEXT(H6)</f>
        <v>#NAME?</v>
      </c>
    </row>
    <row r="7" spans="1:11" x14ac:dyDescent="0.35">
      <c r="A7">
        <v>15</v>
      </c>
      <c r="B7">
        <v>31</v>
      </c>
      <c r="D7" t="e">
        <f ca="1">IF(A7&lt;&gt;"",RANK_AVG(A7,$A$6:$B$12,1),"")</f>
        <v>#NAME?</v>
      </c>
      <c r="E7" t="e">
        <f ca="1">IF(B7&lt;&gt;"",RANK_AVG(B7,$A$6:$B$12,1),"")</f>
        <v>#NAME?</v>
      </c>
    </row>
    <row r="8" spans="1:11" x14ac:dyDescent="0.35">
      <c r="A8">
        <v>9</v>
      </c>
      <c r="B8">
        <v>35</v>
      </c>
      <c r="D8" t="e">
        <f ca="1">IF(A8&lt;&gt;"",RANK_AVG(A8,$A$6:$B$12,1),"")</f>
        <v>#NAME?</v>
      </c>
      <c r="E8" t="e">
        <f ca="1">IF(B8&lt;&gt;"",RANK_AVG(B8,$A$6:$B$12,1),"")</f>
        <v>#NAME?</v>
      </c>
      <c r="G8" s="38" t="s">
        <v>34</v>
      </c>
      <c r="H8" s="49">
        <v>0.05</v>
      </c>
    </row>
    <row r="9" spans="1:11" x14ac:dyDescent="0.35">
      <c r="A9">
        <v>4</v>
      </c>
      <c r="B9">
        <v>29</v>
      </c>
      <c r="D9" t="e">
        <f ca="1">IF(A9&lt;&gt;"",RANK_AVG(A9,$A$6:$B$12,1),"")</f>
        <v>#NAME?</v>
      </c>
      <c r="E9" t="e">
        <f ca="1">IF(B9&lt;&gt;"",RANK_AVG(B9,$A$6:$B$12,1),"")</f>
        <v>#NAME?</v>
      </c>
      <c r="G9" s="38" t="s">
        <v>107</v>
      </c>
      <c r="H9" s="58">
        <v>2</v>
      </c>
    </row>
    <row r="10" spans="1:11" x14ac:dyDescent="0.35">
      <c r="A10">
        <v>17</v>
      </c>
      <c r="B10">
        <v>12</v>
      </c>
      <c r="D10" t="e">
        <f ca="1">IF(A10&lt;&gt;"",RANK_AVG(A10,$A$6:$B$12,1),"")</f>
        <v>#NAME?</v>
      </c>
      <c r="E10" t="e">
        <f ca="1">IF(B10&lt;&gt;"",RANK_AVG(B10,$A$6:$B$12,1),"")</f>
        <v>#NAME?</v>
      </c>
      <c r="G10" s="38" t="s">
        <v>112</v>
      </c>
      <c r="H10" s="58" t="e">
        <f ca="1">IF(H5=I5,MIN(H6:I6),IF(H5&lt;I5,H6,I6))</f>
        <v>#NAME?</v>
      </c>
      <c r="K10" t="e">
        <f ca="1">FTEXT(H10)</f>
        <v>#NAME?</v>
      </c>
    </row>
    <row r="11" spans="1:11" x14ac:dyDescent="0.35">
      <c r="A11">
        <v>32</v>
      </c>
      <c r="B11">
        <v>18</v>
      </c>
      <c r="D11" t="e">
        <f ca="1">IF(A11&lt;&gt;"",RANK_AVG(A11,$A$6:$B$12,1),"")</f>
        <v>#NAME?</v>
      </c>
      <c r="E11" t="e">
        <f ca="1">IF(B11&lt;&gt;"",RANK_AVG(B11,$A$6:$B$12,1),"")</f>
        <v>#NAME?</v>
      </c>
      <c r="G11" s="38" t="s">
        <v>121</v>
      </c>
      <c r="H11" s="58" t="e">
        <f ca="1">MIN(H5:I5)*(H5+I5+1)-H10</f>
        <v>#NAME?</v>
      </c>
      <c r="K11" t="e">
        <f ca="1">FTEXT(H11)</f>
        <v>#NAME?</v>
      </c>
    </row>
    <row r="12" spans="1:11" x14ac:dyDescent="0.35">
      <c r="A12" s="10">
        <v>14</v>
      </c>
      <c r="B12" s="10">
        <v>30</v>
      </c>
      <c r="D12" s="10" t="e">
        <f ca="1">IF(A12&lt;&gt;"",RANK_AVG(A12,$A$6:$B$12,1),"")</f>
        <v>#NAME?</v>
      </c>
      <c r="E12" s="10" t="e">
        <f ca="1">IF(B12&lt;&gt;"",RANK_AVG(B12,$A$6:$B$12,1),"")</f>
        <v>#NAME?</v>
      </c>
      <c r="G12" s="23" t="s">
        <v>122</v>
      </c>
      <c r="H12" s="58" t="e">
        <f ca="1">WCRIT(H5,I5,H8,2)</f>
        <v>#NAME?</v>
      </c>
      <c r="K12" s="14" t="s">
        <v>224</v>
      </c>
    </row>
    <row r="13" spans="1:11" x14ac:dyDescent="0.35">
      <c r="A13">
        <f>AVERAGE(A6:A12)</f>
        <v>14.571428571428571</v>
      </c>
      <c r="B13">
        <f>AVERAGE(B6:B12)</f>
        <v>27</v>
      </c>
      <c r="D13" t="e">
        <f ca="1">SUM(D6:D12)</f>
        <v>#NAME?</v>
      </c>
      <c r="E13" t="e">
        <f ca="1">SUM(E6:E12)</f>
        <v>#NAME?</v>
      </c>
      <c r="G13" s="23" t="s">
        <v>104</v>
      </c>
      <c r="H13" s="47" t="e">
        <f ca="1">IF(MIN(H10:H11)&lt;H12,"yes","no")</f>
        <v>#NAME?</v>
      </c>
      <c r="K13" t="e">
        <f ca="1">FTEXT(H13)</f>
        <v>#NAME?</v>
      </c>
    </row>
    <row r="16" spans="1:11" x14ac:dyDescent="0.35">
      <c r="G16" t="s">
        <v>48</v>
      </c>
      <c r="H16" s="116" t="e">
        <f ca="1">2*PERM2DIST(H10,H5,I5,TRUE,FALSE)</f>
        <v>#NAME?</v>
      </c>
      <c r="K16" t="e">
        <f ca="1">FTEXT(H16)</f>
        <v>#NAME?</v>
      </c>
    </row>
    <row r="17" spans="1:11" x14ac:dyDescent="0.35">
      <c r="G17" t="s">
        <v>122</v>
      </c>
      <c r="H17" s="50" t="e">
        <f ca="1">PERM2INV(H8/2,H5,I5,FALSE)</f>
        <v>#NAME?</v>
      </c>
      <c r="K17" t="e">
        <f ca="1">FTEXT(H17)</f>
        <v>#NAME?</v>
      </c>
    </row>
    <row r="20" spans="1:11" x14ac:dyDescent="0.35">
      <c r="A20" s="34" t="s">
        <v>120</v>
      </c>
      <c r="D20" t="s">
        <v>99</v>
      </c>
    </row>
    <row r="21" spans="1:11" x14ac:dyDescent="0.35">
      <c r="H21" s="12" t="s">
        <v>64</v>
      </c>
      <c r="I21" s="12" t="s">
        <v>65</v>
      </c>
    </row>
    <row r="22" spans="1:11" x14ac:dyDescent="0.35">
      <c r="A22" s="65" t="s">
        <v>64</v>
      </c>
      <c r="B22" s="65" t="s">
        <v>65</v>
      </c>
      <c r="D22" s="65" t="s">
        <v>64</v>
      </c>
      <c r="E22" s="65" t="s">
        <v>65</v>
      </c>
      <c r="G22" t="s">
        <v>100</v>
      </c>
      <c r="H22" s="51">
        <f>COUNT(A23:A29)</f>
        <v>7</v>
      </c>
      <c r="I22" s="62">
        <f>COUNT(B23:B29)</f>
        <v>6</v>
      </c>
      <c r="K22" t="e">
        <f ca="1">FTEXT(H22)</f>
        <v>#NAME?</v>
      </c>
    </row>
    <row r="23" spans="1:11" x14ac:dyDescent="0.35">
      <c r="A23">
        <v>11</v>
      </c>
      <c r="B23">
        <v>34</v>
      </c>
      <c r="D23" t="e">
        <f ca="1">IF(A23&lt;&gt;"",RANK_AVG(A23,$A$23:$B$29,1),"")</f>
        <v>#NAME?</v>
      </c>
      <c r="E23" t="e">
        <f ca="1">IF(B23&lt;&gt;"",RANK_AVG(B23,$A$23:$B$29,1),"")</f>
        <v>#NAME?</v>
      </c>
      <c r="G23" t="s">
        <v>123</v>
      </c>
      <c r="H23" s="9" t="e">
        <f ca="1">D30</f>
        <v>#NAME?</v>
      </c>
      <c r="I23" s="11" t="e">
        <f ca="1">E30</f>
        <v>#NAME?</v>
      </c>
      <c r="K23" t="e">
        <f ca="1">FTEXT(H23)</f>
        <v>#NAME?</v>
      </c>
    </row>
    <row r="24" spans="1:11" x14ac:dyDescent="0.35">
      <c r="A24">
        <v>15</v>
      </c>
      <c r="B24">
        <v>31</v>
      </c>
      <c r="D24" t="e">
        <f ca="1">IF(A24&lt;&gt;"",RANK_AVG(A24,$A$23:$B$29,1),"")</f>
        <v>#NAME?</v>
      </c>
      <c r="E24" t="e">
        <f ca="1">IF(B24&lt;&gt;"",RANK_AVG(B24,$A$23:$B$29,1),"")</f>
        <v>#NAME?</v>
      </c>
    </row>
    <row r="25" spans="1:11" x14ac:dyDescent="0.35">
      <c r="A25">
        <v>9</v>
      </c>
      <c r="B25">
        <v>35</v>
      </c>
      <c r="D25" t="e">
        <f ca="1">IF(A25&lt;&gt;"",RANK_AVG(A25,$A$23:$B$29,1),"")</f>
        <v>#NAME?</v>
      </c>
      <c r="E25" t="e">
        <f ca="1">IF(B25&lt;&gt;"",RANK_AVG(B25,$A$23:$B$29,1),"")</f>
        <v>#NAME?</v>
      </c>
      <c r="G25" s="38" t="s">
        <v>34</v>
      </c>
      <c r="H25" s="49">
        <v>0.05</v>
      </c>
    </row>
    <row r="26" spans="1:11" x14ac:dyDescent="0.35">
      <c r="A26">
        <v>4</v>
      </c>
      <c r="B26">
        <v>29</v>
      </c>
      <c r="D26" t="e">
        <f ca="1">IF(A26&lt;&gt;"",RANK_AVG(A26,$A$23:$B$29,1),"")</f>
        <v>#NAME?</v>
      </c>
      <c r="E26" t="e">
        <f ca="1">IF(B26&lt;&gt;"",RANK_AVG(B26,$A$23:$B$29,1),"")</f>
        <v>#NAME?</v>
      </c>
      <c r="G26" s="38" t="s">
        <v>107</v>
      </c>
      <c r="H26" s="58">
        <v>2</v>
      </c>
    </row>
    <row r="27" spans="1:11" x14ac:dyDescent="0.35">
      <c r="A27">
        <v>17</v>
      </c>
      <c r="B27">
        <v>12</v>
      </c>
      <c r="D27" t="e">
        <f ca="1">IF(A27&lt;&gt;"",RANK_AVG(A27,$A$23:$B$29,1),"")</f>
        <v>#NAME?</v>
      </c>
      <c r="E27" t="e">
        <f ca="1">IF(B27&lt;&gt;"",RANK_AVG(B27,$A$23:$B$29,1),"")</f>
        <v>#NAME?</v>
      </c>
      <c r="G27" s="38" t="s">
        <v>112</v>
      </c>
      <c r="H27" s="58" t="e">
        <f ca="1">IF(H22=I22,MIN(H23:I23),IF(H22&lt;I22,H23,I23))</f>
        <v>#NAME?</v>
      </c>
      <c r="K27" t="e">
        <f ca="1">FTEXT(H27)</f>
        <v>#NAME?</v>
      </c>
    </row>
    <row r="28" spans="1:11" x14ac:dyDescent="0.35">
      <c r="A28">
        <v>32</v>
      </c>
      <c r="B28">
        <v>18</v>
      </c>
      <c r="D28" t="e">
        <f ca="1">IF(A28&lt;&gt;"",RANK_AVG(A28,$A$23:$B$29,1),"")</f>
        <v>#NAME?</v>
      </c>
      <c r="E28" t="e">
        <f ca="1">IF(B28&lt;&gt;"",RANK_AVG(B28,$A$23:$B$29,1),"")</f>
        <v>#NAME?</v>
      </c>
      <c r="G28" s="38" t="s">
        <v>121</v>
      </c>
      <c r="H28" s="58" t="e">
        <f ca="1">MIN(H22:I22)*(H22+I22+1)-H27</f>
        <v>#NAME?</v>
      </c>
      <c r="K28" t="e">
        <f ca="1">FTEXT(H28)</f>
        <v>#NAME?</v>
      </c>
    </row>
    <row r="29" spans="1:11" x14ac:dyDescent="0.35">
      <c r="A29" s="10">
        <v>14</v>
      </c>
      <c r="B29" s="10"/>
      <c r="D29" s="10" t="e">
        <f ca="1">IF(A29&lt;&gt;"",RANK_AVG(A29,$A$23:$B$29,1),"")</f>
        <v>#NAME?</v>
      </c>
      <c r="E29" s="10" t="str">
        <f>IF(B29&lt;&gt;"",RANK_AVG(B29,$A$23:$B$29,1),"")</f>
        <v/>
      </c>
      <c r="G29" s="23" t="s">
        <v>122</v>
      </c>
      <c r="H29" s="58" t="e">
        <f ca="1">WCRIT(H22,I22,H25,H26)</f>
        <v>#NAME?</v>
      </c>
      <c r="K29" s="14" t="s">
        <v>228</v>
      </c>
    </row>
    <row r="30" spans="1:11" x14ac:dyDescent="0.35">
      <c r="A30">
        <f>AVERAGE(A23:A29)</f>
        <v>14.571428571428571</v>
      </c>
      <c r="B30">
        <f>AVERAGE(B23:B29)</f>
        <v>26.5</v>
      </c>
      <c r="D30" t="e">
        <f ca="1">SUM(D23:D29)</f>
        <v>#NAME?</v>
      </c>
      <c r="E30" t="e">
        <f ca="1">SUM(E23:E29)</f>
        <v>#NAME?</v>
      </c>
      <c r="G30" s="23" t="s">
        <v>104</v>
      </c>
      <c r="H30" s="47" t="e">
        <f ca="1">IF(MIN(H27:H28)&lt;H29,"yes","no")</f>
        <v>#NAME?</v>
      </c>
      <c r="K30" t="e">
        <f ca="1">FTEXT(H30)</f>
        <v>#NAME?</v>
      </c>
    </row>
    <row r="33" spans="1:11" x14ac:dyDescent="0.35">
      <c r="G33" t="s">
        <v>48</v>
      </c>
      <c r="H33" s="116" t="e">
        <f ca="1">2*PERM2DIST(MIN(H27,H28),H22,I22,TRUE,FALSE)</f>
        <v>#NAME?</v>
      </c>
      <c r="K33" t="e">
        <f ca="1">FTEXT(H33)</f>
        <v>#NAME?</v>
      </c>
    </row>
    <row r="34" spans="1:11" x14ac:dyDescent="0.35">
      <c r="G34" t="s">
        <v>122</v>
      </c>
      <c r="H34" s="50" t="e">
        <f ca="1">PERM2INV(H25/2,H22,I22,FALSE)</f>
        <v>#NAME?</v>
      </c>
      <c r="K34" t="e">
        <f ca="1">FTEXT(H34)</f>
        <v>#NAME?</v>
      </c>
    </row>
    <row r="38" spans="1:11" x14ac:dyDescent="0.35">
      <c r="A38" s="34" t="s">
        <v>120</v>
      </c>
      <c r="D38" t="s">
        <v>99</v>
      </c>
    </row>
    <row r="39" spans="1:11" x14ac:dyDescent="0.35">
      <c r="H39" s="12" t="s">
        <v>64</v>
      </c>
      <c r="I39" s="12" t="s">
        <v>65</v>
      </c>
    </row>
    <row r="40" spans="1:11" x14ac:dyDescent="0.35">
      <c r="A40" s="65" t="s">
        <v>64</v>
      </c>
      <c r="B40" s="65" t="s">
        <v>65</v>
      </c>
      <c r="D40" s="65" t="s">
        <v>64</v>
      </c>
      <c r="E40" s="65" t="s">
        <v>65</v>
      </c>
      <c r="G40" t="s">
        <v>100</v>
      </c>
      <c r="H40" s="51">
        <f>COUNT(A41:A44)</f>
        <v>4</v>
      </c>
      <c r="I40" s="62">
        <f>COUNT(B41:B44)</f>
        <v>4</v>
      </c>
      <c r="K40" t="e">
        <f ca="1">FTEXT(H40)</f>
        <v>#NAME?</v>
      </c>
    </row>
    <row r="41" spans="1:11" x14ac:dyDescent="0.35">
      <c r="A41">
        <v>29</v>
      </c>
      <c r="B41">
        <v>34</v>
      </c>
      <c r="D41" t="e">
        <f ca="1">IF(A41&lt;&gt;"",RANK_AVG(A41,$A$41:$B$44,1),"")</f>
        <v>#NAME?</v>
      </c>
      <c r="E41" t="e">
        <f ca="1">IF(B41&lt;&gt;"",RANK_AVG(B41,$A$41:$B$44,1),"")</f>
        <v>#NAME?</v>
      </c>
      <c r="G41" t="s">
        <v>123</v>
      </c>
      <c r="H41" s="9" t="e">
        <f ca="1">D45</f>
        <v>#NAME?</v>
      </c>
      <c r="I41" s="11" t="e">
        <f ca="1">E45</f>
        <v>#NAME?</v>
      </c>
      <c r="K41" t="e">
        <f ca="1">FTEXT(H41)</f>
        <v>#NAME?</v>
      </c>
    </row>
    <row r="42" spans="1:11" x14ac:dyDescent="0.35">
      <c r="A42">
        <v>15</v>
      </c>
      <c r="B42">
        <v>31</v>
      </c>
      <c r="D42" t="e">
        <f ca="1">IF(A42&lt;&gt;"",RANK_AVG(A42,$A$41:$B$44,1),"")</f>
        <v>#NAME?</v>
      </c>
      <c r="E42" t="e">
        <f ca="1">IF(B42&lt;&gt;"",RANK_AVG(B42,$A$41:$B$44,1),"")</f>
        <v>#NAME?</v>
      </c>
    </row>
    <row r="43" spans="1:11" x14ac:dyDescent="0.35">
      <c r="A43">
        <v>9</v>
      </c>
      <c r="B43">
        <v>35</v>
      </c>
      <c r="D43" t="e">
        <f ca="1">IF(A43&lt;&gt;"",RANK_AVG(A43,$A$41:$B$44,1),"")</f>
        <v>#NAME?</v>
      </c>
      <c r="E43" t="e">
        <f ca="1">IF(B43&lt;&gt;"",RANK_AVG(B43,$A$41:$B$44,1),"")</f>
        <v>#NAME?</v>
      </c>
      <c r="G43" s="38" t="s">
        <v>34</v>
      </c>
      <c r="H43" s="49">
        <v>0.2</v>
      </c>
    </row>
    <row r="44" spans="1:11" x14ac:dyDescent="0.35">
      <c r="A44" s="10">
        <v>4</v>
      </c>
      <c r="B44" s="10">
        <v>11</v>
      </c>
      <c r="D44" s="10" t="e">
        <f ca="1">IF(A44&lt;&gt;"",RANK_AVG(A44,$A$41:$B$44,1),"")</f>
        <v>#NAME?</v>
      </c>
      <c r="E44" s="10" t="e">
        <f ca="1">IF(B44&lt;&gt;"",RANK_AVG(B44,$A$41:$B$44,1),"")</f>
        <v>#NAME?</v>
      </c>
      <c r="G44" s="38" t="s">
        <v>107</v>
      </c>
      <c r="H44" s="58">
        <v>2</v>
      </c>
    </row>
    <row r="45" spans="1:11" x14ac:dyDescent="0.35">
      <c r="A45">
        <f>AVERAGE(A41:A44)</f>
        <v>14.25</v>
      </c>
      <c r="B45">
        <f>AVERAGE(B41:B44)</f>
        <v>27.75</v>
      </c>
      <c r="D45" t="e">
        <f ca="1">SUM(D41:D44)</f>
        <v>#NAME?</v>
      </c>
      <c r="E45" t="e">
        <f ca="1">SUM(E41:E44)</f>
        <v>#NAME?</v>
      </c>
      <c r="G45" s="38" t="s">
        <v>112</v>
      </c>
      <c r="H45" s="58" t="e">
        <f ca="1">IF(H40=I40,MIN(H41:I41),IF(H40&lt;I40,H41,I41))</f>
        <v>#NAME?</v>
      </c>
      <c r="K45" t="e">
        <f ca="1">FTEXT(H45)</f>
        <v>#NAME?</v>
      </c>
    </row>
    <row r="46" spans="1:11" x14ac:dyDescent="0.35">
      <c r="G46" s="38" t="s">
        <v>121</v>
      </c>
      <c r="H46" s="58" t="e">
        <f ca="1">MIN(H40:I40)*(H40+I40+1)-H45</f>
        <v>#NAME?</v>
      </c>
      <c r="K46" t="e">
        <f ca="1">FTEXT(H46)</f>
        <v>#NAME?</v>
      </c>
    </row>
    <row r="47" spans="1:11" x14ac:dyDescent="0.35">
      <c r="A47" s="7"/>
      <c r="B47" s="7"/>
      <c r="C47" s="7"/>
      <c r="D47" s="7"/>
      <c r="E47" s="7"/>
      <c r="G47" s="23" t="s">
        <v>122</v>
      </c>
      <c r="H47" s="58" t="e">
        <f ca="1">WCRIT(H40,I40,H43,2)</f>
        <v>#NAME?</v>
      </c>
      <c r="K47" s="14" t="s">
        <v>225</v>
      </c>
    </row>
    <row r="48" spans="1:11" x14ac:dyDescent="0.35">
      <c r="A48" s="7"/>
      <c r="B48" s="7"/>
      <c r="C48" s="7"/>
      <c r="D48" s="7"/>
      <c r="E48" s="7"/>
      <c r="G48" s="23" t="s">
        <v>104</v>
      </c>
      <c r="H48" s="47" t="e">
        <f ca="1">IF(MIN(H45:H46)&lt;H47,"yes","no")</f>
        <v>#NAME?</v>
      </c>
      <c r="K48" t="e">
        <f ca="1">FTEXT(H48)</f>
        <v>#NAME?</v>
      </c>
    </row>
    <row r="49" spans="1:11" x14ac:dyDescent="0.35">
      <c r="A49" s="7"/>
      <c r="B49" s="7"/>
      <c r="C49" s="7"/>
      <c r="D49" s="7"/>
      <c r="E49" s="7"/>
    </row>
    <row r="51" spans="1:11" x14ac:dyDescent="0.35">
      <c r="G51" t="s">
        <v>48</v>
      </c>
      <c r="H51" s="116" t="e">
        <f ca="1">2*PERM2DIST(MIN(H45,H46),H40,I40,TRUE,FALSE)</f>
        <v>#NAME?</v>
      </c>
      <c r="K51" t="e">
        <f ca="1">FTEXT(H51)</f>
        <v>#NAME?</v>
      </c>
    </row>
    <row r="52" spans="1:11" x14ac:dyDescent="0.35">
      <c r="G52" t="s">
        <v>122</v>
      </c>
      <c r="H52" s="50" t="e">
        <f ca="1">PERM2INV(H43/2,H40,I40,FALSE)</f>
        <v>#NAME?</v>
      </c>
      <c r="K52" t="e">
        <f ca="1">FTEXT(H52)</f>
        <v>#NAME?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379"/>
  <dimension ref="A1:CK81"/>
  <sheetViews>
    <sheetView workbookViewId="0"/>
  </sheetViews>
  <sheetFormatPr defaultRowHeight="14.5" x14ac:dyDescent="0.35"/>
  <cols>
    <col min="1" max="1" width="4.81640625" customWidth="1"/>
    <col min="2" max="95" width="5.7265625" customWidth="1"/>
  </cols>
  <sheetData>
    <row r="1" spans="1:89" x14ac:dyDescent="0.35">
      <c r="A1" s="1" t="s">
        <v>223</v>
      </c>
    </row>
    <row r="2" spans="1:89" x14ac:dyDescent="0.35">
      <c r="A2" s="1"/>
    </row>
    <row r="3" spans="1:89" x14ac:dyDescent="0.35">
      <c r="A3" s="15" t="s">
        <v>92</v>
      </c>
      <c r="B3" s="88">
        <v>4</v>
      </c>
      <c r="D3" t="s">
        <v>93</v>
      </c>
      <c r="E3" s="88">
        <v>4</v>
      </c>
      <c r="G3" t="s">
        <v>26</v>
      </c>
      <c r="H3" s="88">
        <f>B3+E3</f>
        <v>8</v>
      </c>
    </row>
    <row r="4" spans="1:89" x14ac:dyDescent="0.35">
      <c r="A4" s="1"/>
    </row>
    <row r="5" spans="1:89" x14ac:dyDescent="0.35">
      <c r="A5" s="15" t="s">
        <v>188</v>
      </c>
      <c r="B5" s="88">
        <f>B3*(B3+1)/2</f>
        <v>10</v>
      </c>
      <c r="D5" t="s">
        <v>32</v>
      </c>
      <c r="E5" s="88">
        <f>E3*(E3+1)/2</f>
        <v>10</v>
      </c>
      <c r="G5" t="s">
        <v>33</v>
      </c>
      <c r="H5" s="88">
        <f>H3*(H3+1)/2</f>
        <v>36</v>
      </c>
      <c r="J5" t="s">
        <v>189</v>
      </c>
      <c r="K5" s="88">
        <f>H5-E5</f>
        <v>26</v>
      </c>
      <c r="M5" t="s">
        <v>185</v>
      </c>
      <c r="N5" s="88">
        <f>COMBIN(H3,E3)</f>
        <v>70</v>
      </c>
    </row>
    <row r="6" spans="1:89" x14ac:dyDescent="0.35">
      <c r="A6" s="1"/>
    </row>
    <row r="7" spans="1:89" x14ac:dyDescent="0.35">
      <c r="A7" s="1"/>
      <c r="B7">
        <v>1</v>
      </c>
      <c r="C7">
        <f>B7+1</f>
        <v>2</v>
      </c>
      <c r="D7">
        <f t="shared" ref="D7:BO7" si="0">C7+1</f>
        <v>3</v>
      </c>
      <c r="E7">
        <f t="shared" si="0"/>
        <v>4</v>
      </c>
      <c r="F7">
        <f t="shared" si="0"/>
        <v>5</v>
      </c>
      <c r="G7">
        <f t="shared" si="0"/>
        <v>6</v>
      </c>
      <c r="H7">
        <f t="shared" si="0"/>
        <v>7</v>
      </c>
      <c r="I7">
        <f t="shared" si="0"/>
        <v>8</v>
      </c>
      <c r="J7">
        <f t="shared" si="0"/>
        <v>9</v>
      </c>
      <c r="K7">
        <f t="shared" si="0"/>
        <v>10</v>
      </c>
      <c r="L7">
        <f t="shared" si="0"/>
        <v>11</v>
      </c>
      <c r="M7">
        <f t="shared" si="0"/>
        <v>12</v>
      </c>
      <c r="N7">
        <f t="shared" si="0"/>
        <v>13</v>
      </c>
      <c r="O7">
        <f t="shared" si="0"/>
        <v>14</v>
      </c>
      <c r="P7">
        <f t="shared" si="0"/>
        <v>15</v>
      </c>
      <c r="Q7">
        <f t="shared" si="0"/>
        <v>16</v>
      </c>
      <c r="R7">
        <f t="shared" si="0"/>
        <v>17</v>
      </c>
      <c r="S7">
        <f t="shared" si="0"/>
        <v>18</v>
      </c>
      <c r="T7">
        <f t="shared" si="0"/>
        <v>19</v>
      </c>
      <c r="U7">
        <f t="shared" si="0"/>
        <v>20</v>
      </c>
      <c r="V7">
        <f t="shared" si="0"/>
        <v>21</v>
      </c>
      <c r="W7">
        <f t="shared" si="0"/>
        <v>22</v>
      </c>
      <c r="X7">
        <f t="shared" si="0"/>
        <v>23</v>
      </c>
      <c r="Y7">
        <f t="shared" si="0"/>
        <v>24</v>
      </c>
      <c r="Z7">
        <f t="shared" si="0"/>
        <v>25</v>
      </c>
      <c r="AA7">
        <f t="shared" si="0"/>
        <v>26</v>
      </c>
      <c r="AB7">
        <f t="shared" si="0"/>
        <v>27</v>
      </c>
      <c r="AC7">
        <f t="shared" si="0"/>
        <v>28</v>
      </c>
      <c r="AD7">
        <f t="shared" si="0"/>
        <v>29</v>
      </c>
      <c r="AE7">
        <f t="shared" si="0"/>
        <v>30</v>
      </c>
      <c r="AF7">
        <f t="shared" si="0"/>
        <v>31</v>
      </c>
      <c r="AG7">
        <f t="shared" si="0"/>
        <v>32</v>
      </c>
      <c r="AH7">
        <f t="shared" si="0"/>
        <v>33</v>
      </c>
      <c r="AI7">
        <f t="shared" si="0"/>
        <v>34</v>
      </c>
      <c r="AJ7">
        <f t="shared" si="0"/>
        <v>35</v>
      </c>
      <c r="AK7">
        <f t="shared" si="0"/>
        <v>36</v>
      </c>
      <c r="AL7">
        <f t="shared" si="0"/>
        <v>37</v>
      </c>
      <c r="AM7">
        <f t="shared" si="0"/>
        <v>38</v>
      </c>
      <c r="AN7">
        <f t="shared" si="0"/>
        <v>39</v>
      </c>
      <c r="AO7">
        <f t="shared" si="0"/>
        <v>40</v>
      </c>
      <c r="AP7">
        <f t="shared" si="0"/>
        <v>41</v>
      </c>
      <c r="AQ7">
        <f t="shared" si="0"/>
        <v>42</v>
      </c>
      <c r="AR7">
        <f t="shared" si="0"/>
        <v>43</v>
      </c>
      <c r="AS7">
        <f t="shared" si="0"/>
        <v>44</v>
      </c>
      <c r="AT7">
        <f t="shared" si="0"/>
        <v>45</v>
      </c>
      <c r="AU7">
        <f t="shared" si="0"/>
        <v>46</v>
      </c>
      <c r="AV7">
        <f t="shared" si="0"/>
        <v>47</v>
      </c>
      <c r="AW7">
        <f t="shared" si="0"/>
        <v>48</v>
      </c>
      <c r="AX7">
        <f t="shared" si="0"/>
        <v>49</v>
      </c>
      <c r="AY7">
        <f t="shared" si="0"/>
        <v>50</v>
      </c>
      <c r="AZ7">
        <f t="shared" si="0"/>
        <v>51</v>
      </c>
      <c r="BA7">
        <f t="shared" si="0"/>
        <v>52</v>
      </c>
      <c r="BB7">
        <f t="shared" si="0"/>
        <v>53</v>
      </c>
      <c r="BC7">
        <f t="shared" si="0"/>
        <v>54</v>
      </c>
      <c r="BD7">
        <f t="shared" si="0"/>
        <v>55</v>
      </c>
      <c r="BE7">
        <f t="shared" si="0"/>
        <v>56</v>
      </c>
      <c r="BF7">
        <f t="shared" si="0"/>
        <v>57</v>
      </c>
      <c r="BG7">
        <f t="shared" si="0"/>
        <v>58</v>
      </c>
      <c r="BH7">
        <f t="shared" si="0"/>
        <v>59</v>
      </c>
      <c r="BI7">
        <f t="shared" si="0"/>
        <v>60</v>
      </c>
      <c r="BJ7">
        <f t="shared" si="0"/>
        <v>61</v>
      </c>
      <c r="BK7">
        <f t="shared" si="0"/>
        <v>62</v>
      </c>
      <c r="BL7">
        <f t="shared" si="0"/>
        <v>63</v>
      </c>
      <c r="BM7">
        <f t="shared" si="0"/>
        <v>64</v>
      </c>
      <c r="BN7">
        <f t="shared" si="0"/>
        <v>65</v>
      </c>
      <c r="BO7">
        <f t="shared" si="0"/>
        <v>66</v>
      </c>
      <c r="BP7">
        <f>BO7+1</f>
        <v>67</v>
      </c>
      <c r="BQ7">
        <f>BP7+1</f>
        <v>68</v>
      </c>
      <c r="BR7">
        <f>BQ7+1</f>
        <v>69</v>
      </c>
      <c r="BS7">
        <f>BR7+1</f>
        <v>70</v>
      </c>
    </row>
    <row r="8" spans="1:89" s="146" customFormat="1" x14ac:dyDescent="0.35">
      <c r="A8" s="141">
        <f>A7+1</f>
        <v>1</v>
      </c>
      <c r="B8" s="142">
        <v>0</v>
      </c>
      <c r="C8" s="143">
        <v>0</v>
      </c>
      <c r="D8" s="143">
        <v>0</v>
      </c>
      <c r="E8" s="143">
        <v>0</v>
      </c>
      <c r="F8" s="143">
        <v>0</v>
      </c>
      <c r="G8" s="143">
        <v>0</v>
      </c>
      <c r="H8" s="143">
        <v>0</v>
      </c>
      <c r="I8" s="143">
        <v>0</v>
      </c>
      <c r="J8" s="143">
        <v>0</v>
      </c>
      <c r="K8" s="143">
        <v>0</v>
      </c>
      <c r="L8" s="143">
        <v>0</v>
      </c>
      <c r="M8" s="143">
        <v>0</v>
      </c>
      <c r="N8" s="143">
        <v>0</v>
      </c>
      <c r="O8" s="143">
        <v>0</v>
      </c>
      <c r="P8" s="143">
        <v>0</v>
      </c>
      <c r="Q8" s="143">
        <v>0</v>
      </c>
      <c r="R8" s="143">
        <v>0</v>
      </c>
      <c r="S8" s="143">
        <v>0</v>
      </c>
      <c r="T8" s="143">
        <v>0</v>
      </c>
      <c r="U8" s="143">
        <v>0</v>
      </c>
      <c r="V8" s="143">
        <v>0</v>
      </c>
      <c r="W8" s="143">
        <v>0</v>
      </c>
      <c r="X8" s="143">
        <v>0</v>
      </c>
      <c r="Y8" s="143">
        <v>0</v>
      </c>
      <c r="Z8" s="143">
        <v>0</v>
      </c>
      <c r="AA8" s="143">
        <v>0</v>
      </c>
      <c r="AB8" s="143">
        <v>0</v>
      </c>
      <c r="AC8" s="143">
        <v>0</v>
      </c>
      <c r="AD8" s="143">
        <v>0</v>
      </c>
      <c r="AE8" s="143">
        <v>0</v>
      </c>
      <c r="AF8" s="143">
        <v>0</v>
      </c>
      <c r="AG8" s="143">
        <v>0</v>
      </c>
      <c r="AH8" s="143">
        <v>0</v>
      </c>
      <c r="AI8" s="143">
        <v>0</v>
      </c>
      <c r="AJ8" s="143">
        <v>0</v>
      </c>
      <c r="AK8" s="143">
        <v>1</v>
      </c>
      <c r="AL8" s="143">
        <v>1</v>
      </c>
      <c r="AM8" s="143">
        <v>1</v>
      </c>
      <c r="AN8" s="143">
        <v>1</v>
      </c>
      <c r="AO8" s="143">
        <v>1</v>
      </c>
      <c r="AP8" s="143">
        <v>1</v>
      </c>
      <c r="AQ8" s="143">
        <v>1</v>
      </c>
      <c r="AR8" s="143">
        <v>1</v>
      </c>
      <c r="AS8" s="143">
        <v>1</v>
      </c>
      <c r="AT8" s="143">
        <v>1</v>
      </c>
      <c r="AU8" s="143">
        <v>1</v>
      </c>
      <c r="AV8" s="143">
        <v>1</v>
      </c>
      <c r="AW8" s="143">
        <v>1</v>
      </c>
      <c r="AX8" s="143">
        <v>1</v>
      </c>
      <c r="AY8" s="143">
        <v>1</v>
      </c>
      <c r="AZ8" s="143">
        <v>1</v>
      </c>
      <c r="BA8" s="143">
        <v>1</v>
      </c>
      <c r="BB8" s="143">
        <v>1</v>
      </c>
      <c r="BC8" s="143">
        <v>1</v>
      </c>
      <c r="BD8" s="143">
        <v>1</v>
      </c>
      <c r="BE8" s="143">
        <v>1</v>
      </c>
      <c r="BF8" s="143">
        <v>1</v>
      </c>
      <c r="BG8" s="143">
        <v>1</v>
      </c>
      <c r="BH8" s="143">
        <v>1</v>
      </c>
      <c r="BI8" s="143">
        <v>1</v>
      </c>
      <c r="BJ8" s="143">
        <v>1</v>
      </c>
      <c r="BK8" s="143">
        <v>1</v>
      </c>
      <c r="BL8" s="143">
        <v>1</v>
      </c>
      <c r="BM8" s="143">
        <v>1</v>
      </c>
      <c r="BN8" s="143">
        <v>1</v>
      </c>
      <c r="BO8" s="143">
        <v>1</v>
      </c>
      <c r="BP8" s="143">
        <v>1</v>
      </c>
      <c r="BQ8" s="143">
        <v>1</v>
      </c>
      <c r="BR8" s="143">
        <v>1</v>
      </c>
      <c r="BS8" s="145">
        <v>1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</row>
    <row r="9" spans="1:89" s="146" customFormat="1" x14ac:dyDescent="0.35">
      <c r="A9" s="141">
        <f t="shared" ref="A9:A15" si="1">A8+1</f>
        <v>2</v>
      </c>
      <c r="B9" s="107">
        <v>0</v>
      </c>
      <c r="C9" s="120">
        <v>0</v>
      </c>
      <c r="D9" s="120">
        <v>0</v>
      </c>
      <c r="E9" s="120">
        <v>0</v>
      </c>
      <c r="F9" s="120">
        <v>0</v>
      </c>
      <c r="G9" s="120">
        <v>0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0</v>
      </c>
      <c r="O9" s="120">
        <v>0</v>
      </c>
      <c r="P9" s="120">
        <v>0</v>
      </c>
      <c r="Q9" s="120">
        <v>1</v>
      </c>
      <c r="R9" s="120">
        <v>1</v>
      </c>
      <c r="S9" s="120">
        <v>1</v>
      </c>
      <c r="T9" s="120">
        <v>1</v>
      </c>
      <c r="U9" s="120">
        <v>1</v>
      </c>
      <c r="V9" s="120">
        <v>1</v>
      </c>
      <c r="W9" s="120">
        <v>1</v>
      </c>
      <c r="X9" s="120">
        <v>1</v>
      </c>
      <c r="Y9" s="120">
        <v>1</v>
      </c>
      <c r="Z9" s="120">
        <v>1</v>
      </c>
      <c r="AA9" s="120">
        <v>1</v>
      </c>
      <c r="AB9" s="120">
        <v>1</v>
      </c>
      <c r="AC9" s="120">
        <v>1</v>
      </c>
      <c r="AD9" s="120">
        <v>1</v>
      </c>
      <c r="AE9" s="120">
        <v>1</v>
      </c>
      <c r="AF9" s="120">
        <v>1</v>
      </c>
      <c r="AG9" s="120">
        <v>1</v>
      </c>
      <c r="AH9" s="120">
        <v>1</v>
      </c>
      <c r="AI9" s="120">
        <v>1</v>
      </c>
      <c r="AJ9" s="120">
        <v>1</v>
      </c>
      <c r="AK9" s="120">
        <v>0</v>
      </c>
      <c r="AL9" s="120">
        <v>0</v>
      </c>
      <c r="AM9" s="120">
        <v>0</v>
      </c>
      <c r="AN9" s="120">
        <v>0</v>
      </c>
      <c r="AO9" s="120">
        <v>0</v>
      </c>
      <c r="AP9" s="120">
        <v>0</v>
      </c>
      <c r="AQ9" s="120">
        <v>0</v>
      </c>
      <c r="AR9" s="120">
        <v>0</v>
      </c>
      <c r="AS9" s="120">
        <v>0</v>
      </c>
      <c r="AT9" s="120">
        <v>0</v>
      </c>
      <c r="AU9" s="120">
        <v>0</v>
      </c>
      <c r="AV9" s="120">
        <v>0</v>
      </c>
      <c r="AW9" s="120">
        <v>0</v>
      </c>
      <c r="AX9" s="120">
        <v>0</v>
      </c>
      <c r="AY9" s="120">
        <v>0</v>
      </c>
      <c r="AZ9" s="120">
        <v>0</v>
      </c>
      <c r="BA9" s="120">
        <v>0</v>
      </c>
      <c r="BB9" s="120">
        <v>0</v>
      </c>
      <c r="BC9" s="120">
        <v>0</v>
      </c>
      <c r="BD9" s="120">
        <v>0</v>
      </c>
      <c r="BE9" s="120">
        <v>1</v>
      </c>
      <c r="BF9" s="120">
        <v>1</v>
      </c>
      <c r="BG9" s="120">
        <v>1</v>
      </c>
      <c r="BH9" s="120">
        <v>1</v>
      </c>
      <c r="BI9" s="120">
        <v>1</v>
      </c>
      <c r="BJ9" s="120">
        <v>1</v>
      </c>
      <c r="BK9" s="120">
        <v>1</v>
      </c>
      <c r="BL9" s="120">
        <v>1</v>
      </c>
      <c r="BM9" s="120">
        <v>1</v>
      </c>
      <c r="BN9" s="120">
        <v>1</v>
      </c>
      <c r="BO9" s="120">
        <v>1</v>
      </c>
      <c r="BP9" s="120">
        <v>1</v>
      </c>
      <c r="BQ9" s="120">
        <v>1</v>
      </c>
      <c r="BR9" s="120">
        <v>1</v>
      </c>
      <c r="BS9" s="108">
        <v>1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</row>
    <row r="10" spans="1:89" s="146" customFormat="1" x14ac:dyDescent="0.35">
      <c r="A10" s="141">
        <f t="shared" si="1"/>
        <v>3</v>
      </c>
      <c r="B10" s="107">
        <v>0</v>
      </c>
      <c r="C10" s="120">
        <v>0</v>
      </c>
      <c r="D10" s="120">
        <v>0</v>
      </c>
      <c r="E10" s="120">
        <v>0</v>
      </c>
      <c r="F10" s="120">
        <v>0</v>
      </c>
      <c r="G10" s="120">
        <v>1</v>
      </c>
      <c r="H10" s="120">
        <v>1</v>
      </c>
      <c r="I10" s="120">
        <v>1</v>
      </c>
      <c r="J10" s="120">
        <v>1</v>
      </c>
      <c r="K10" s="120">
        <v>1</v>
      </c>
      <c r="L10" s="120">
        <v>1</v>
      </c>
      <c r="M10" s="120">
        <v>1</v>
      </c>
      <c r="N10" s="120">
        <v>1</v>
      </c>
      <c r="O10" s="120">
        <v>1</v>
      </c>
      <c r="P10" s="120">
        <v>1</v>
      </c>
      <c r="Q10" s="120">
        <v>0</v>
      </c>
      <c r="R10" s="120">
        <v>0</v>
      </c>
      <c r="S10" s="120">
        <v>0</v>
      </c>
      <c r="T10" s="120">
        <v>0</v>
      </c>
      <c r="U10" s="120">
        <v>0</v>
      </c>
      <c r="V10" s="120">
        <v>0</v>
      </c>
      <c r="W10" s="120">
        <v>0</v>
      </c>
      <c r="X10" s="120">
        <v>0</v>
      </c>
      <c r="Y10" s="120">
        <v>0</v>
      </c>
      <c r="Z10" s="120">
        <v>0</v>
      </c>
      <c r="AA10" s="120">
        <v>1</v>
      </c>
      <c r="AB10" s="120">
        <v>1</v>
      </c>
      <c r="AC10" s="120">
        <v>1</v>
      </c>
      <c r="AD10" s="120">
        <v>1</v>
      </c>
      <c r="AE10" s="120">
        <v>1</v>
      </c>
      <c r="AF10" s="120">
        <v>1</v>
      </c>
      <c r="AG10" s="120">
        <v>1</v>
      </c>
      <c r="AH10" s="120">
        <v>1</v>
      </c>
      <c r="AI10" s="120">
        <v>1</v>
      </c>
      <c r="AJ10" s="120">
        <v>1</v>
      </c>
      <c r="AK10" s="120">
        <v>0</v>
      </c>
      <c r="AL10" s="120">
        <v>0</v>
      </c>
      <c r="AM10" s="120">
        <v>0</v>
      </c>
      <c r="AN10" s="120">
        <v>0</v>
      </c>
      <c r="AO10" s="120">
        <v>0</v>
      </c>
      <c r="AP10" s="120">
        <v>0</v>
      </c>
      <c r="AQ10" s="120">
        <v>0</v>
      </c>
      <c r="AR10" s="120">
        <v>0</v>
      </c>
      <c r="AS10" s="120">
        <v>0</v>
      </c>
      <c r="AT10" s="120">
        <v>0</v>
      </c>
      <c r="AU10" s="120">
        <v>1</v>
      </c>
      <c r="AV10" s="120">
        <v>1</v>
      </c>
      <c r="AW10" s="120">
        <v>1</v>
      </c>
      <c r="AX10" s="120">
        <v>1</v>
      </c>
      <c r="AY10" s="120">
        <v>1</v>
      </c>
      <c r="AZ10" s="120">
        <v>1</v>
      </c>
      <c r="BA10" s="120">
        <v>1</v>
      </c>
      <c r="BB10" s="120">
        <v>1</v>
      </c>
      <c r="BC10" s="120">
        <v>1</v>
      </c>
      <c r="BD10" s="120">
        <v>1</v>
      </c>
      <c r="BE10" s="120">
        <v>0</v>
      </c>
      <c r="BF10" s="120">
        <v>0</v>
      </c>
      <c r="BG10" s="120">
        <v>0</v>
      </c>
      <c r="BH10" s="120">
        <v>0</v>
      </c>
      <c r="BI10" s="120">
        <v>0</v>
      </c>
      <c r="BJ10" s="120">
        <v>0</v>
      </c>
      <c r="BK10" s="120">
        <v>0</v>
      </c>
      <c r="BL10" s="120">
        <v>0</v>
      </c>
      <c r="BM10" s="120">
        <v>0</v>
      </c>
      <c r="BN10" s="120">
        <v>0</v>
      </c>
      <c r="BO10" s="120">
        <v>1</v>
      </c>
      <c r="BP10" s="120">
        <v>1</v>
      </c>
      <c r="BQ10" s="120">
        <v>1</v>
      </c>
      <c r="BR10" s="120">
        <v>1</v>
      </c>
      <c r="BS10" s="108">
        <v>1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</row>
    <row r="11" spans="1:89" s="146" customFormat="1" x14ac:dyDescent="0.35">
      <c r="A11" s="141">
        <f t="shared" si="1"/>
        <v>4</v>
      </c>
      <c r="B11" s="107">
        <v>0</v>
      </c>
      <c r="C11" s="120">
        <v>1</v>
      </c>
      <c r="D11" s="120">
        <v>1</v>
      </c>
      <c r="E11" s="120">
        <v>1</v>
      </c>
      <c r="F11" s="120">
        <v>1</v>
      </c>
      <c r="G11" s="120">
        <v>0</v>
      </c>
      <c r="H11" s="120">
        <v>0</v>
      </c>
      <c r="I11" s="120">
        <v>0</v>
      </c>
      <c r="J11" s="120">
        <v>0</v>
      </c>
      <c r="K11" s="120">
        <v>1</v>
      </c>
      <c r="L11" s="120">
        <v>1</v>
      </c>
      <c r="M11" s="120">
        <v>1</v>
      </c>
      <c r="N11" s="120">
        <v>1</v>
      </c>
      <c r="O11" s="120">
        <v>1</v>
      </c>
      <c r="P11" s="120">
        <v>1</v>
      </c>
      <c r="Q11" s="120">
        <v>0</v>
      </c>
      <c r="R11" s="120">
        <v>0</v>
      </c>
      <c r="S11" s="120">
        <v>0</v>
      </c>
      <c r="T11" s="120">
        <v>0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0">
        <v>0</v>
      </c>
      <c r="AB11" s="120">
        <v>0</v>
      </c>
      <c r="AC11" s="120">
        <v>0</v>
      </c>
      <c r="AD11" s="120">
        <v>0</v>
      </c>
      <c r="AE11" s="120">
        <v>0</v>
      </c>
      <c r="AF11" s="120">
        <v>0</v>
      </c>
      <c r="AG11" s="120">
        <v>1</v>
      </c>
      <c r="AH11" s="120">
        <v>1</v>
      </c>
      <c r="AI11" s="120">
        <v>1</v>
      </c>
      <c r="AJ11" s="120">
        <v>1</v>
      </c>
      <c r="AK11" s="120">
        <v>0</v>
      </c>
      <c r="AL11" s="120">
        <v>0</v>
      </c>
      <c r="AM11" s="120">
        <v>0</v>
      </c>
      <c r="AN11" s="120">
        <v>0</v>
      </c>
      <c r="AO11" s="120">
        <v>1</v>
      </c>
      <c r="AP11" s="120">
        <v>1</v>
      </c>
      <c r="AQ11" s="120">
        <v>1</v>
      </c>
      <c r="AR11" s="120">
        <v>1</v>
      </c>
      <c r="AS11" s="120">
        <v>1</v>
      </c>
      <c r="AT11" s="120">
        <v>1</v>
      </c>
      <c r="AU11" s="120">
        <v>0</v>
      </c>
      <c r="AV11" s="120">
        <v>0</v>
      </c>
      <c r="AW11" s="120">
        <v>0</v>
      </c>
      <c r="AX11" s="120">
        <v>0</v>
      </c>
      <c r="AY11" s="120">
        <v>0</v>
      </c>
      <c r="AZ11" s="120">
        <v>0</v>
      </c>
      <c r="BA11" s="120">
        <v>1</v>
      </c>
      <c r="BB11" s="120">
        <v>1</v>
      </c>
      <c r="BC11" s="120">
        <v>1</v>
      </c>
      <c r="BD11" s="120">
        <v>1</v>
      </c>
      <c r="BE11" s="120">
        <v>0</v>
      </c>
      <c r="BF11" s="120">
        <v>0</v>
      </c>
      <c r="BG11" s="120">
        <v>0</v>
      </c>
      <c r="BH11" s="120">
        <v>0</v>
      </c>
      <c r="BI11" s="120">
        <v>0</v>
      </c>
      <c r="BJ11" s="120">
        <v>0</v>
      </c>
      <c r="BK11" s="120">
        <v>1</v>
      </c>
      <c r="BL11" s="120">
        <v>1</v>
      </c>
      <c r="BM11" s="120">
        <v>1</v>
      </c>
      <c r="BN11" s="120">
        <v>1</v>
      </c>
      <c r="BO11" s="120">
        <v>0</v>
      </c>
      <c r="BP11" s="120">
        <v>0</v>
      </c>
      <c r="BQ11" s="120">
        <v>0</v>
      </c>
      <c r="BR11" s="120">
        <v>0</v>
      </c>
      <c r="BS11" s="108">
        <v>1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</row>
    <row r="12" spans="1:89" s="146" customFormat="1" x14ac:dyDescent="0.35">
      <c r="A12" s="141">
        <f t="shared" si="1"/>
        <v>5</v>
      </c>
      <c r="B12" s="107">
        <v>1</v>
      </c>
      <c r="C12" s="120">
        <v>0</v>
      </c>
      <c r="D12" s="120">
        <v>1</v>
      </c>
      <c r="E12" s="120">
        <v>1</v>
      </c>
      <c r="F12" s="120">
        <v>1</v>
      </c>
      <c r="G12" s="120">
        <v>0</v>
      </c>
      <c r="H12" s="120">
        <v>1</v>
      </c>
      <c r="I12" s="120">
        <v>1</v>
      </c>
      <c r="J12" s="120">
        <v>1</v>
      </c>
      <c r="K12" s="120">
        <v>0</v>
      </c>
      <c r="L12" s="120">
        <v>0</v>
      </c>
      <c r="M12" s="120">
        <v>0</v>
      </c>
      <c r="N12" s="120">
        <v>1</v>
      </c>
      <c r="O12" s="120">
        <v>1</v>
      </c>
      <c r="P12" s="120">
        <v>1</v>
      </c>
      <c r="Q12" s="120">
        <v>0</v>
      </c>
      <c r="R12" s="120">
        <v>1</v>
      </c>
      <c r="S12" s="120">
        <v>1</v>
      </c>
      <c r="T12" s="120">
        <v>1</v>
      </c>
      <c r="U12" s="120">
        <v>0</v>
      </c>
      <c r="V12" s="120">
        <v>0</v>
      </c>
      <c r="W12" s="120">
        <v>0</v>
      </c>
      <c r="X12" s="120">
        <v>1</v>
      </c>
      <c r="Y12" s="120">
        <v>1</v>
      </c>
      <c r="Z12" s="120">
        <v>1</v>
      </c>
      <c r="AA12" s="120">
        <v>0</v>
      </c>
      <c r="AB12" s="120">
        <v>0</v>
      </c>
      <c r="AC12" s="120">
        <v>0</v>
      </c>
      <c r="AD12" s="120">
        <v>1</v>
      </c>
      <c r="AE12" s="120">
        <v>1</v>
      </c>
      <c r="AF12" s="120">
        <v>1</v>
      </c>
      <c r="AG12" s="120">
        <v>0</v>
      </c>
      <c r="AH12" s="120">
        <v>0</v>
      </c>
      <c r="AI12" s="120">
        <v>0</v>
      </c>
      <c r="AJ12" s="120">
        <v>1</v>
      </c>
      <c r="AK12" s="120">
        <v>0</v>
      </c>
      <c r="AL12" s="120">
        <v>1</v>
      </c>
      <c r="AM12" s="120">
        <v>1</v>
      </c>
      <c r="AN12" s="120">
        <v>1</v>
      </c>
      <c r="AO12" s="120">
        <v>0</v>
      </c>
      <c r="AP12" s="120">
        <v>0</v>
      </c>
      <c r="AQ12" s="120">
        <v>0</v>
      </c>
      <c r="AR12" s="120">
        <v>1</v>
      </c>
      <c r="AS12" s="120">
        <v>1</v>
      </c>
      <c r="AT12" s="120">
        <v>1</v>
      </c>
      <c r="AU12" s="120">
        <v>0</v>
      </c>
      <c r="AV12" s="120">
        <v>0</v>
      </c>
      <c r="AW12" s="120">
        <v>0</v>
      </c>
      <c r="AX12" s="120">
        <v>1</v>
      </c>
      <c r="AY12" s="120">
        <v>1</v>
      </c>
      <c r="AZ12" s="120">
        <v>1</v>
      </c>
      <c r="BA12" s="120">
        <v>0</v>
      </c>
      <c r="BB12" s="120">
        <v>0</v>
      </c>
      <c r="BC12" s="120">
        <v>0</v>
      </c>
      <c r="BD12" s="120">
        <v>1</v>
      </c>
      <c r="BE12" s="120">
        <v>0</v>
      </c>
      <c r="BF12" s="120">
        <v>0</v>
      </c>
      <c r="BG12" s="120">
        <v>0</v>
      </c>
      <c r="BH12" s="120">
        <v>1</v>
      </c>
      <c r="BI12" s="120">
        <v>1</v>
      </c>
      <c r="BJ12" s="120">
        <v>1</v>
      </c>
      <c r="BK12" s="120">
        <v>0</v>
      </c>
      <c r="BL12" s="120">
        <v>0</v>
      </c>
      <c r="BM12" s="120">
        <v>0</v>
      </c>
      <c r="BN12" s="120">
        <v>1</v>
      </c>
      <c r="BO12" s="120">
        <v>0</v>
      </c>
      <c r="BP12" s="120">
        <v>0</v>
      </c>
      <c r="BQ12" s="120">
        <v>0</v>
      </c>
      <c r="BR12" s="120">
        <v>1</v>
      </c>
      <c r="BS12" s="108">
        <v>0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</row>
    <row r="13" spans="1:89" s="146" customFormat="1" x14ac:dyDescent="0.35">
      <c r="A13" s="141">
        <f t="shared" si="1"/>
        <v>6</v>
      </c>
      <c r="B13" s="107">
        <v>1</v>
      </c>
      <c r="C13" s="120">
        <v>1</v>
      </c>
      <c r="D13" s="120">
        <v>0</v>
      </c>
      <c r="E13" s="120">
        <v>1</v>
      </c>
      <c r="F13" s="120">
        <v>1</v>
      </c>
      <c r="G13" s="120">
        <v>1</v>
      </c>
      <c r="H13" s="120">
        <v>0</v>
      </c>
      <c r="I13" s="120">
        <v>1</v>
      </c>
      <c r="J13" s="120">
        <v>1</v>
      </c>
      <c r="K13" s="120">
        <v>0</v>
      </c>
      <c r="L13" s="120">
        <v>1</v>
      </c>
      <c r="M13" s="120">
        <v>1</v>
      </c>
      <c r="N13" s="120">
        <v>0</v>
      </c>
      <c r="O13" s="120">
        <v>0</v>
      </c>
      <c r="P13" s="120">
        <v>1</v>
      </c>
      <c r="Q13" s="120">
        <v>1</v>
      </c>
      <c r="R13" s="120">
        <v>0</v>
      </c>
      <c r="S13" s="120">
        <v>1</v>
      </c>
      <c r="T13" s="120">
        <v>1</v>
      </c>
      <c r="U13" s="120">
        <v>0</v>
      </c>
      <c r="V13" s="120">
        <v>1</v>
      </c>
      <c r="W13" s="120">
        <v>1</v>
      </c>
      <c r="X13" s="120">
        <v>0</v>
      </c>
      <c r="Y13" s="120">
        <v>0</v>
      </c>
      <c r="Z13" s="120">
        <v>1</v>
      </c>
      <c r="AA13" s="120">
        <v>0</v>
      </c>
      <c r="AB13" s="120">
        <v>1</v>
      </c>
      <c r="AC13" s="120">
        <v>1</v>
      </c>
      <c r="AD13" s="120">
        <v>0</v>
      </c>
      <c r="AE13" s="120">
        <v>0</v>
      </c>
      <c r="AF13" s="120">
        <v>1</v>
      </c>
      <c r="AG13" s="120">
        <v>0</v>
      </c>
      <c r="AH13" s="120">
        <v>0</v>
      </c>
      <c r="AI13" s="120">
        <v>1</v>
      </c>
      <c r="AJ13" s="120">
        <v>0</v>
      </c>
      <c r="AK13" s="120">
        <v>1</v>
      </c>
      <c r="AL13" s="120">
        <v>0</v>
      </c>
      <c r="AM13" s="120">
        <v>1</v>
      </c>
      <c r="AN13" s="120">
        <v>1</v>
      </c>
      <c r="AO13" s="120">
        <v>0</v>
      </c>
      <c r="AP13" s="120">
        <v>1</v>
      </c>
      <c r="AQ13" s="120">
        <v>1</v>
      </c>
      <c r="AR13" s="120">
        <v>0</v>
      </c>
      <c r="AS13" s="120">
        <v>0</v>
      </c>
      <c r="AT13" s="120">
        <v>1</v>
      </c>
      <c r="AU13" s="120">
        <v>0</v>
      </c>
      <c r="AV13" s="120">
        <v>1</v>
      </c>
      <c r="AW13" s="120">
        <v>1</v>
      </c>
      <c r="AX13" s="120">
        <v>0</v>
      </c>
      <c r="AY13" s="120">
        <v>0</v>
      </c>
      <c r="AZ13" s="120">
        <v>1</v>
      </c>
      <c r="BA13" s="120">
        <v>0</v>
      </c>
      <c r="BB13" s="120">
        <v>0</v>
      </c>
      <c r="BC13" s="120">
        <v>1</v>
      </c>
      <c r="BD13" s="120">
        <v>0</v>
      </c>
      <c r="BE13" s="120">
        <v>0</v>
      </c>
      <c r="BF13" s="120">
        <v>1</v>
      </c>
      <c r="BG13" s="120">
        <v>1</v>
      </c>
      <c r="BH13" s="120">
        <v>0</v>
      </c>
      <c r="BI13" s="120">
        <v>0</v>
      </c>
      <c r="BJ13" s="120">
        <v>1</v>
      </c>
      <c r="BK13" s="120">
        <v>0</v>
      </c>
      <c r="BL13" s="120">
        <v>0</v>
      </c>
      <c r="BM13" s="120">
        <v>1</v>
      </c>
      <c r="BN13" s="120">
        <v>0</v>
      </c>
      <c r="BO13" s="120">
        <v>0</v>
      </c>
      <c r="BP13" s="120">
        <v>0</v>
      </c>
      <c r="BQ13" s="120">
        <v>1</v>
      </c>
      <c r="BR13" s="120">
        <v>0</v>
      </c>
      <c r="BS13" s="108">
        <v>0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</row>
    <row r="14" spans="1:89" s="146" customFormat="1" x14ac:dyDescent="0.35">
      <c r="A14" s="141">
        <f t="shared" si="1"/>
        <v>7</v>
      </c>
      <c r="B14" s="107">
        <v>1</v>
      </c>
      <c r="C14" s="120">
        <v>1</v>
      </c>
      <c r="D14" s="120">
        <v>1</v>
      </c>
      <c r="E14" s="120">
        <v>0</v>
      </c>
      <c r="F14" s="120">
        <v>1</v>
      </c>
      <c r="G14" s="120">
        <v>1</v>
      </c>
      <c r="H14" s="120">
        <v>1</v>
      </c>
      <c r="I14" s="120">
        <v>0</v>
      </c>
      <c r="J14" s="120">
        <v>1</v>
      </c>
      <c r="K14" s="120">
        <v>1</v>
      </c>
      <c r="L14" s="120">
        <v>0</v>
      </c>
      <c r="M14" s="120">
        <v>1</v>
      </c>
      <c r="N14" s="120">
        <v>0</v>
      </c>
      <c r="O14" s="120">
        <v>1</v>
      </c>
      <c r="P14" s="120">
        <v>0</v>
      </c>
      <c r="Q14" s="120">
        <v>1</v>
      </c>
      <c r="R14" s="120">
        <v>1</v>
      </c>
      <c r="S14" s="120">
        <v>0</v>
      </c>
      <c r="T14" s="120">
        <v>1</v>
      </c>
      <c r="U14" s="120">
        <v>1</v>
      </c>
      <c r="V14" s="120">
        <v>0</v>
      </c>
      <c r="W14" s="120">
        <v>1</v>
      </c>
      <c r="X14" s="120">
        <v>0</v>
      </c>
      <c r="Y14" s="120">
        <v>1</v>
      </c>
      <c r="Z14" s="120">
        <v>0</v>
      </c>
      <c r="AA14" s="120">
        <v>1</v>
      </c>
      <c r="AB14" s="120">
        <v>0</v>
      </c>
      <c r="AC14" s="120">
        <v>1</v>
      </c>
      <c r="AD14" s="120">
        <v>0</v>
      </c>
      <c r="AE14" s="120">
        <v>1</v>
      </c>
      <c r="AF14" s="120">
        <v>0</v>
      </c>
      <c r="AG14" s="120">
        <v>0</v>
      </c>
      <c r="AH14" s="120">
        <v>1</v>
      </c>
      <c r="AI14" s="120">
        <v>0</v>
      </c>
      <c r="AJ14" s="120">
        <v>0</v>
      </c>
      <c r="AK14" s="120">
        <v>1</v>
      </c>
      <c r="AL14" s="120">
        <v>1</v>
      </c>
      <c r="AM14" s="120">
        <v>0</v>
      </c>
      <c r="AN14" s="120">
        <v>1</v>
      </c>
      <c r="AO14" s="120">
        <v>1</v>
      </c>
      <c r="AP14" s="120">
        <v>0</v>
      </c>
      <c r="AQ14" s="120">
        <v>1</v>
      </c>
      <c r="AR14" s="120">
        <v>0</v>
      </c>
      <c r="AS14" s="120">
        <v>1</v>
      </c>
      <c r="AT14" s="120">
        <v>0</v>
      </c>
      <c r="AU14" s="120">
        <v>1</v>
      </c>
      <c r="AV14" s="120">
        <v>0</v>
      </c>
      <c r="AW14" s="120">
        <v>1</v>
      </c>
      <c r="AX14" s="120">
        <v>0</v>
      </c>
      <c r="AY14" s="120">
        <v>1</v>
      </c>
      <c r="AZ14" s="120">
        <v>0</v>
      </c>
      <c r="BA14" s="120">
        <v>0</v>
      </c>
      <c r="BB14" s="120">
        <v>1</v>
      </c>
      <c r="BC14" s="120">
        <v>0</v>
      </c>
      <c r="BD14" s="120">
        <v>0</v>
      </c>
      <c r="BE14" s="120">
        <v>1</v>
      </c>
      <c r="BF14" s="120">
        <v>0</v>
      </c>
      <c r="BG14" s="120">
        <v>1</v>
      </c>
      <c r="BH14" s="120">
        <v>0</v>
      </c>
      <c r="BI14" s="120">
        <v>1</v>
      </c>
      <c r="BJ14" s="120">
        <v>0</v>
      </c>
      <c r="BK14" s="120">
        <v>0</v>
      </c>
      <c r="BL14" s="120">
        <v>1</v>
      </c>
      <c r="BM14" s="120">
        <v>0</v>
      </c>
      <c r="BN14" s="120">
        <v>0</v>
      </c>
      <c r="BO14" s="120">
        <v>0</v>
      </c>
      <c r="BP14" s="120">
        <v>1</v>
      </c>
      <c r="BQ14" s="120">
        <v>0</v>
      </c>
      <c r="BR14" s="120">
        <v>0</v>
      </c>
      <c r="BS14" s="108">
        <v>0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</row>
    <row r="15" spans="1:89" s="146" customFormat="1" x14ac:dyDescent="0.35">
      <c r="A15" s="141">
        <f t="shared" si="1"/>
        <v>8</v>
      </c>
      <c r="B15" s="147">
        <v>1</v>
      </c>
      <c r="C15" s="148">
        <v>1</v>
      </c>
      <c r="D15" s="148">
        <v>1</v>
      </c>
      <c r="E15" s="148">
        <v>1</v>
      </c>
      <c r="F15" s="148">
        <v>0</v>
      </c>
      <c r="G15" s="148">
        <v>1</v>
      </c>
      <c r="H15" s="148">
        <v>1</v>
      </c>
      <c r="I15" s="148">
        <v>1</v>
      </c>
      <c r="J15" s="148">
        <v>0</v>
      </c>
      <c r="K15" s="148">
        <v>1</v>
      </c>
      <c r="L15" s="148">
        <v>1</v>
      </c>
      <c r="M15" s="148">
        <v>0</v>
      </c>
      <c r="N15" s="148">
        <v>1</v>
      </c>
      <c r="O15" s="148">
        <v>0</v>
      </c>
      <c r="P15" s="148">
        <v>0</v>
      </c>
      <c r="Q15" s="148">
        <v>1</v>
      </c>
      <c r="R15" s="148">
        <v>1</v>
      </c>
      <c r="S15" s="148">
        <v>1</v>
      </c>
      <c r="T15" s="148">
        <v>0</v>
      </c>
      <c r="U15" s="148">
        <v>1</v>
      </c>
      <c r="V15" s="148">
        <v>1</v>
      </c>
      <c r="W15" s="148">
        <v>0</v>
      </c>
      <c r="X15" s="148">
        <v>1</v>
      </c>
      <c r="Y15" s="148">
        <v>0</v>
      </c>
      <c r="Z15" s="148">
        <v>0</v>
      </c>
      <c r="AA15" s="148">
        <v>1</v>
      </c>
      <c r="AB15" s="148">
        <v>1</v>
      </c>
      <c r="AC15" s="148">
        <v>0</v>
      </c>
      <c r="AD15" s="148">
        <v>1</v>
      </c>
      <c r="AE15" s="148">
        <v>0</v>
      </c>
      <c r="AF15" s="148">
        <v>0</v>
      </c>
      <c r="AG15" s="148">
        <v>1</v>
      </c>
      <c r="AH15" s="148">
        <v>0</v>
      </c>
      <c r="AI15" s="148">
        <v>0</v>
      </c>
      <c r="AJ15" s="148">
        <v>0</v>
      </c>
      <c r="AK15" s="148">
        <v>1</v>
      </c>
      <c r="AL15" s="148">
        <v>1</v>
      </c>
      <c r="AM15" s="148">
        <v>1</v>
      </c>
      <c r="AN15" s="148">
        <v>0</v>
      </c>
      <c r="AO15" s="148">
        <v>1</v>
      </c>
      <c r="AP15" s="148">
        <v>1</v>
      </c>
      <c r="AQ15" s="148">
        <v>0</v>
      </c>
      <c r="AR15" s="148">
        <v>1</v>
      </c>
      <c r="AS15" s="148">
        <v>0</v>
      </c>
      <c r="AT15" s="148">
        <v>0</v>
      </c>
      <c r="AU15" s="148">
        <v>1</v>
      </c>
      <c r="AV15" s="148">
        <v>1</v>
      </c>
      <c r="AW15" s="148">
        <v>0</v>
      </c>
      <c r="AX15" s="148">
        <v>1</v>
      </c>
      <c r="AY15" s="148">
        <v>0</v>
      </c>
      <c r="AZ15" s="148">
        <v>0</v>
      </c>
      <c r="BA15" s="148">
        <v>1</v>
      </c>
      <c r="BB15" s="148">
        <v>0</v>
      </c>
      <c r="BC15" s="148">
        <v>0</v>
      </c>
      <c r="BD15" s="148">
        <v>0</v>
      </c>
      <c r="BE15" s="148">
        <v>1</v>
      </c>
      <c r="BF15" s="148">
        <v>1</v>
      </c>
      <c r="BG15" s="148">
        <v>0</v>
      </c>
      <c r="BH15" s="148">
        <v>1</v>
      </c>
      <c r="BI15" s="148">
        <v>0</v>
      </c>
      <c r="BJ15" s="148">
        <v>0</v>
      </c>
      <c r="BK15" s="148">
        <v>1</v>
      </c>
      <c r="BL15" s="148">
        <v>0</v>
      </c>
      <c r="BM15" s="148">
        <v>0</v>
      </c>
      <c r="BN15" s="148">
        <v>0</v>
      </c>
      <c r="BO15" s="148">
        <v>1</v>
      </c>
      <c r="BP15" s="148">
        <v>0</v>
      </c>
      <c r="BQ15" s="148">
        <v>0</v>
      </c>
      <c r="BR15" s="148">
        <v>0</v>
      </c>
      <c r="BS15" s="149">
        <v>0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</row>
    <row r="16" spans="1:89" s="146" customFormat="1" x14ac:dyDescent="0.35">
      <c r="A16" s="150"/>
      <c r="B16" s="146">
        <f>SUMPRODUCT($A7:$A15,B7:B15)</f>
        <v>26</v>
      </c>
      <c r="C16" s="146">
        <f t="shared" ref="C16:BN16" si="2">SUMPRODUCT($A7:$A15,C7:C15)</f>
        <v>25</v>
      </c>
      <c r="D16" s="146">
        <f t="shared" si="2"/>
        <v>24</v>
      </c>
      <c r="E16" s="146">
        <f t="shared" si="2"/>
        <v>23</v>
      </c>
      <c r="F16" s="146">
        <f t="shared" si="2"/>
        <v>22</v>
      </c>
      <c r="G16" s="146">
        <f t="shared" si="2"/>
        <v>24</v>
      </c>
      <c r="H16" s="146">
        <f t="shared" si="2"/>
        <v>23</v>
      </c>
      <c r="I16" s="146">
        <f t="shared" si="2"/>
        <v>22</v>
      </c>
      <c r="J16" s="151">
        <f t="shared" si="2"/>
        <v>21</v>
      </c>
      <c r="K16" s="146">
        <f t="shared" si="2"/>
        <v>22</v>
      </c>
      <c r="L16" s="151">
        <f t="shared" si="2"/>
        <v>21</v>
      </c>
      <c r="M16" s="146">
        <f t="shared" si="2"/>
        <v>20</v>
      </c>
      <c r="N16" s="146">
        <f t="shared" si="2"/>
        <v>20</v>
      </c>
      <c r="O16" s="146">
        <f t="shared" si="2"/>
        <v>19</v>
      </c>
      <c r="P16" s="146">
        <f t="shared" si="2"/>
        <v>18</v>
      </c>
      <c r="Q16" s="146">
        <f t="shared" si="2"/>
        <v>23</v>
      </c>
      <c r="R16" s="146">
        <f t="shared" si="2"/>
        <v>22</v>
      </c>
      <c r="S16" s="151">
        <f t="shared" si="2"/>
        <v>21</v>
      </c>
      <c r="T16" s="146">
        <f t="shared" si="2"/>
        <v>20</v>
      </c>
      <c r="U16" s="151">
        <f t="shared" si="2"/>
        <v>21</v>
      </c>
      <c r="V16" s="146">
        <f t="shared" si="2"/>
        <v>20</v>
      </c>
      <c r="W16" s="146">
        <f t="shared" si="2"/>
        <v>19</v>
      </c>
      <c r="X16" s="146">
        <f t="shared" si="2"/>
        <v>19</v>
      </c>
      <c r="Y16" s="146">
        <f t="shared" si="2"/>
        <v>18</v>
      </c>
      <c r="Z16" s="146">
        <f t="shared" si="2"/>
        <v>17</v>
      </c>
      <c r="AA16" s="146">
        <f t="shared" si="2"/>
        <v>20</v>
      </c>
      <c r="AB16" s="146">
        <f t="shared" si="2"/>
        <v>19</v>
      </c>
      <c r="AC16" s="146">
        <f t="shared" si="2"/>
        <v>18</v>
      </c>
      <c r="AD16" s="146">
        <f t="shared" si="2"/>
        <v>18</v>
      </c>
      <c r="AE16" s="146">
        <f t="shared" si="2"/>
        <v>17</v>
      </c>
      <c r="AF16" s="146">
        <f t="shared" si="2"/>
        <v>16</v>
      </c>
      <c r="AG16" s="146">
        <f t="shared" si="2"/>
        <v>17</v>
      </c>
      <c r="AH16" s="146">
        <f t="shared" si="2"/>
        <v>16</v>
      </c>
      <c r="AI16" s="146">
        <f t="shared" si="2"/>
        <v>15</v>
      </c>
      <c r="AJ16" s="146">
        <f t="shared" si="2"/>
        <v>14</v>
      </c>
      <c r="AK16" s="146">
        <f t="shared" si="2"/>
        <v>22</v>
      </c>
      <c r="AL16" s="146">
        <f t="shared" si="2"/>
        <v>21</v>
      </c>
      <c r="AM16" s="146">
        <f t="shared" si="2"/>
        <v>20</v>
      </c>
      <c r="AN16" s="146">
        <f t="shared" si="2"/>
        <v>19</v>
      </c>
      <c r="AO16" s="146">
        <f t="shared" si="2"/>
        <v>20</v>
      </c>
      <c r="AP16" s="146">
        <f t="shared" si="2"/>
        <v>19</v>
      </c>
      <c r="AQ16" s="146">
        <f t="shared" si="2"/>
        <v>18</v>
      </c>
      <c r="AR16" s="146">
        <f t="shared" si="2"/>
        <v>18</v>
      </c>
      <c r="AS16" s="146">
        <f t="shared" si="2"/>
        <v>17</v>
      </c>
      <c r="AT16" s="146">
        <f t="shared" si="2"/>
        <v>16</v>
      </c>
      <c r="AU16" s="146">
        <f t="shared" si="2"/>
        <v>19</v>
      </c>
      <c r="AV16" s="146">
        <f t="shared" si="2"/>
        <v>18</v>
      </c>
      <c r="AW16" s="146">
        <f t="shared" si="2"/>
        <v>17</v>
      </c>
      <c r="AX16" s="146">
        <f t="shared" si="2"/>
        <v>17</v>
      </c>
      <c r="AY16" s="146">
        <f t="shared" si="2"/>
        <v>16</v>
      </c>
      <c r="AZ16" s="146">
        <f t="shared" si="2"/>
        <v>15</v>
      </c>
      <c r="BA16" s="146">
        <f t="shared" si="2"/>
        <v>16</v>
      </c>
      <c r="BB16" s="146">
        <f t="shared" si="2"/>
        <v>15</v>
      </c>
      <c r="BC16" s="146">
        <f t="shared" si="2"/>
        <v>14</v>
      </c>
      <c r="BD16" s="146">
        <f t="shared" si="2"/>
        <v>13</v>
      </c>
      <c r="BE16" s="146">
        <f t="shared" si="2"/>
        <v>18</v>
      </c>
      <c r="BF16" s="146">
        <f t="shared" si="2"/>
        <v>17</v>
      </c>
      <c r="BG16" s="146">
        <f t="shared" si="2"/>
        <v>16</v>
      </c>
      <c r="BH16" s="146">
        <f t="shared" si="2"/>
        <v>16</v>
      </c>
      <c r="BI16" s="146">
        <f t="shared" si="2"/>
        <v>15</v>
      </c>
      <c r="BJ16" s="146">
        <f t="shared" si="2"/>
        <v>14</v>
      </c>
      <c r="BK16" s="146">
        <f t="shared" si="2"/>
        <v>15</v>
      </c>
      <c r="BL16" s="146">
        <f t="shared" si="2"/>
        <v>14</v>
      </c>
      <c r="BM16" s="146">
        <f t="shared" si="2"/>
        <v>13</v>
      </c>
      <c r="BN16" s="146">
        <f t="shared" si="2"/>
        <v>12</v>
      </c>
      <c r="BO16" s="146">
        <f>SUMPRODUCT($A7:$A15,BO7:BO15)</f>
        <v>14</v>
      </c>
      <c r="BP16" s="146">
        <f>SUMPRODUCT($A7:$A15,BP7:BP15)</f>
        <v>13</v>
      </c>
      <c r="BQ16" s="146">
        <f>SUMPRODUCT($A7:$A15,BQ7:BQ15)</f>
        <v>12</v>
      </c>
      <c r="BR16" s="146">
        <f>SUMPRODUCT($A7:$A15,BR7:BR15)</f>
        <v>11</v>
      </c>
      <c r="BS16" s="146">
        <f>SUMPRODUCT($A7:$A15,BS7:BS15)</f>
        <v>10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</row>
    <row r="17" spans="1:36" x14ac:dyDescent="0.35">
      <c r="A17" s="1"/>
    </row>
    <row r="18" spans="1:36" x14ac:dyDescent="0.35">
      <c r="A18" s="12" t="s">
        <v>112</v>
      </c>
      <c r="B18">
        <v>10</v>
      </c>
      <c r="C18">
        <f>B18+1</f>
        <v>11</v>
      </c>
      <c r="D18">
        <f t="shared" ref="D18:R18" si="3">C18+1</f>
        <v>12</v>
      </c>
      <c r="E18">
        <f t="shared" si="3"/>
        <v>13</v>
      </c>
      <c r="F18">
        <f t="shared" si="3"/>
        <v>14</v>
      </c>
      <c r="G18">
        <f t="shared" si="3"/>
        <v>15</v>
      </c>
      <c r="H18">
        <f t="shared" si="3"/>
        <v>16</v>
      </c>
      <c r="I18">
        <f t="shared" si="3"/>
        <v>17</v>
      </c>
      <c r="J18">
        <f t="shared" si="3"/>
        <v>18</v>
      </c>
      <c r="K18">
        <f t="shared" si="3"/>
        <v>19</v>
      </c>
      <c r="L18">
        <f t="shared" si="3"/>
        <v>20</v>
      </c>
      <c r="M18">
        <f t="shared" si="3"/>
        <v>21</v>
      </c>
      <c r="N18">
        <f t="shared" si="3"/>
        <v>22</v>
      </c>
      <c r="O18">
        <f t="shared" si="3"/>
        <v>23</v>
      </c>
      <c r="P18">
        <f t="shared" si="3"/>
        <v>24</v>
      </c>
      <c r="Q18">
        <f t="shared" si="3"/>
        <v>25</v>
      </c>
      <c r="R18">
        <f t="shared" si="3"/>
        <v>26</v>
      </c>
    </row>
    <row r="19" spans="1:36" x14ac:dyDescent="0.35">
      <c r="A19" s="12" t="s">
        <v>23</v>
      </c>
      <c r="B19" s="117">
        <f t="shared" ref="B19:R19" si="4">COUNTIF($B16:$BS16,B18)</f>
        <v>1</v>
      </c>
      <c r="C19" s="111">
        <f t="shared" si="4"/>
        <v>1</v>
      </c>
      <c r="D19" s="111">
        <f t="shared" si="4"/>
        <v>2</v>
      </c>
      <c r="E19" s="111">
        <f t="shared" si="4"/>
        <v>3</v>
      </c>
      <c r="F19" s="111">
        <f t="shared" si="4"/>
        <v>5</v>
      </c>
      <c r="G19" s="111">
        <f t="shared" si="4"/>
        <v>5</v>
      </c>
      <c r="H19" s="111">
        <f>COUNTIF($B16:$BS16,H18)</f>
        <v>7</v>
      </c>
      <c r="I19" s="111">
        <f t="shared" si="4"/>
        <v>7</v>
      </c>
      <c r="J19" s="111">
        <f t="shared" si="4"/>
        <v>8</v>
      </c>
      <c r="K19" s="111">
        <f t="shared" si="4"/>
        <v>7</v>
      </c>
      <c r="L19" s="111">
        <f t="shared" si="4"/>
        <v>7</v>
      </c>
      <c r="M19" s="111">
        <f t="shared" si="4"/>
        <v>5</v>
      </c>
      <c r="N19" s="111">
        <f t="shared" si="4"/>
        <v>5</v>
      </c>
      <c r="O19" s="111">
        <f t="shared" si="4"/>
        <v>3</v>
      </c>
      <c r="P19" s="111">
        <f t="shared" si="4"/>
        <v>2</v>
      </c>
      <c r="Q19" s="111">
        <f t="shared" si="4"/>
        <v>1</v>
      </c>
      <c r="R19" s="118">
        <f t="shared" si="4"/>
        <v>1</v>
      </c>
      <c r="S19" s="23">
        <f>SUM(B19:R19)</f>
        <v>70</v>
      </c>
    </row>
    <row r="20" spans="1:36" x14ac:dyDescent="0.35">
      <c r="A20" s="12" t="s">
        <v>114</v>
      </c>
      <c r="B20" s="59">
        <f t="shared" ref="B20:R20" si="5">B19/$S19</f>
        <v>1.4285714285714285E-2</v>
      </c>
      <c r="C20" s="7">
        <f t="shared" si="5"/>
        <v>1.4285714285714285E-2</v>
      </c>
      <c r="D20" s="7">
        <f t="shared" si="5"/>
        <v>2.8571428571428571E-2</v>
      </c>
      <c r="E20" s="7">
        <f t="shared" si="5"/>
        <v>4.2857142857142858E-2</v>
      </c>
      <c r="F20" s="7">
        <f t="shared" si="5"/>
        <v>7.1428571428571425E-2</v>
      </c>
      <c r="G20" s="7">
        <f t="shared" si="5"/>
        <v>7.1428571428571425E-2</v>
      </c>
      <c r="H20" s="7">
        <f t="shared" si="5"/>
        <v>0.1</v>
      </c>
      <c r="I20" s="7">
        <f t="shared" si="5"/>
        <v>0.1</v>
      </c>
      <c r="J20" s="7">
        <f t="shared" si="5"/>
        <v>0.11428571428571428</v>
      </c>
      <c r="K20" s="7">
        <f t="shared" si="5"/>
        <v>0.1</v>
      </c>
      <c r="L20" s="7">
        <f t="shared" si="5"/>
        <v>0.1</v>
      </c>
      <c r="M20" s="7">
        <f t="shared" si="5"/>
        <v>7.1428571428571425E-2</v>
      </c>
      <c r="N20" s="7">
        <f t="shared" si="5"/>
        <v>7.1428571428571425E-2</v>
      </c>
      <c r="O20" s="7">
        <f t="shared" si="5"/>
        <v>4.2857142857142858E-2</v>
      </c>
      <c r="P20" s="7">
        <f t="shared" si="5"/>
        <v>2.8571428571428571E-2</v>
      </c>
      <c r="Q20" s="7">
        <f t="shared" si="5"/>
        <v>1.4285714285714285E-2</v>
      </c>
      <c r="R20" s="60">
        <f t="shared" si="5"/>
        <v>1.4285714285714285E-2</v>
      </c>
    </row>
    <row r="21" spans="1:36" x14ac:dyDescent="0.35">
      <c r="A21" s="20" t="s">
        <v>186</v>
      </c>
      <c r="B21" s="45">
        <f>B20</f>
        <v>1.4285714285714285E-2</v>
      </c>
      <c r="C21" s="106">
        <f>B21+C20</f>
        <v>2.8571428571428571E-2</v>
      </c>
      <c r="D21" s="106">
        <f t="shared" ref="D21:Q21" si="6">C21+D20</f>
        <v>5.7142857142857141E-2</v>
      </c>
      <c r="E21" s="106">
        <f t="shared" si="6"/>
        <v>0.1</v>
      </c>
      <c r="F21" s="106">
        <f t="shared" si="6"/>
        <v>0.17142857142857143</v>
      </c>
      <c r="G21" s="106">
        <f t="shared" si="6"/>
        <v>0.24285714285714285</v>
      </c>
      <c r="H21" s="106">
        <f t="shared" si="6"/>
        <v>0.34285714285714286</v>
      </c>
      <c r="I21" s="106">
        <f t="shared" si="6"/>
        <v>0.44285714285714284</v>
      </c>
      <c r="J21" s="106">
        <f t="shared" si="6"/>
        <v>0.55714285714285716</v>
      </c>
      <c r="K21" s="106">
        <f t="shared" si="6"/>
        <v>0.65714285714285714</v>
      </c>
      <c r="L21" s="106">
        <f t="shared" si="6"/>
        <v>0.75714285714285712</v>
      </c>
      <c r="M21" s="106">
        <f t="shared" si="6"/>
        <v>0.82857142857142851</v>
      </c>
      <c r="N21" s="106">
        <f t="shared" si="6"/>
        <v>0.89999999999999991</v>
      </c>
      <c r="O21" s="106">
        <f t="shared" si="6"/>
        <v>0.94285714285714273</v>
      </c>
      <c r="P21" s="106">
        <f t="shared" si="6"/>
        <v>0.97142857142857131</v>
      </c>
      <c r="Q21" s="106">
        <f t="shared" si="6"/>
        <v>0.98571428571428554</v>
      </c>
      <c r="R21" s="48">
        <f>Q21+R20</f>
        <v>0.99999999999999978</v>
      </c>
    </row>
    <row r="25" spans="1:36" x14ac:dyDescent="0.35">
      <c r="A25" s="15" t="s">
        <v>92</v>
      </c>
      <c r="B25" s="88">
        <v>3</v>
      </c>
      <c r="D25" t="s">
        <v>93</v>
      </c>
      <c r="E25" s="88">
        <v>4</v>
      </c>
      <c r="G25" t="s">
        <v>26</v>
      </c>
      <c r="H25" s="88">
        <f>B25+E25</f>
        <v>7</v>
      </c>
    </row>
    <row r="26" spans="1:36" x14ac:dyDescent="0.35">
      <c r="A26" s="1"/>
    </row>
    <row r="27" spans="1:36" x14ac:dyDescent="0.35">
      <c r="A27" s="15" t="s">
        <v>188</v>
      </c>
      <c r="B27" s="88">
        <f>B25*(B25+1)/2</f>
        <v>6</v>
      </c>
      <c r="D27" t="s">
        <v>32</v>
      </c>
      <c r="E27" s="88">
        <f>E25*(E25+1)/2</f>
        <v>10</v>
      </c>
      <c r="G27" t="s">
        <v>33</v>
      </c>
      <c r="H27" s="88">
        <f>H25*(H25+1)/2</f>
        <v>28</v>
      </c>
      <c r="J27" t="s">
        <v>189</v>
      </c>
      <c r="K27" s="88">
        <f>H27-E27</f>
        <v>18</v>
      </c>
      <c r="M27" t="s">
        <v>185</v>
      </c>
      <c r="N27" s="88">
        <f>COMBIN(H25,E25)</f>
        <v>35</v>
      </c>
    </row>
    <row r="28" spans="1:36" x14ac:dyDescent="0.35">
      <c r="A28" s="1"/>
    </row>
    <row r="29" spans="1:36" x14ac:dyDescent="0.35">
      <c r="B29">
        <v>1</v>
      </c>
      <c r="C29">
        <f>B29+1</f>
        <v>2</v>
      </c>
      <c r="D29">
        <f t="shared" ref="D29:AJ29" si="7">C29+1</f>
        <v>3</v>
      </c>
      <c r="E29">
        <f t="shared" si="7"/>
        <v>4</v>
      </c>
      <c r="F29">
        <f t="shared" si="7"/>
        <v>5</v>
      </c>
      <c r="G29">
        <f t="shared" si="7"/>
        <v>6</v>
      </c>
      <c r="H29">
        <f t="shared" si="7"/>
        <v>7</v>
      </c>
      <c r="I29">
        <f t="shared" si="7"/>
        <v>8</v>
      </c>
      <c r="J29">
        <f t="shared" si="7"/>
        <v>9</v>
      </c>
      <c r="K29">
        <f t="shared" si="7"/>
        <v>10</v>
      </c>
      <c r="L29">
        <f t="shared" si="7"/>
        <v>11</v>
      </c>
      <c r="M29">
        <f t="shared" si="7"/>
        <v>12</v>
      </c>
      <c r="N29">
        <f t="shared" si="7"/>
        <v>13</v>
      </c>
      <c r="O29">
        <f t="shared" si="7"/>
        <v>14</v>
      </c>
      <c r="P29">
        <f t="shared" si="7"/>
        <v>15</v>
      </c>
      <c r="Q29">
        <f t="shared" si="7"/>
        <v>16</v>
      </c>
      <c r="R29">
        <f t="shared" si="7"/>
        <v>17</v>
      </c>
      <c r="S29">
        <f t="shared" si="7"/>
        <v>18</v>
      </c>
      <c r="T29">
        <f t="shared" si="7"/>
        <v>19</v>
      </c>
      <c r="U29">
        <f t="shared" si="7"/>
        <v>20</v>
      </c>
      <c r="V29">
        <f t="shared" si="7"/>
        <v>21</v>
      </c>
      <c r="W29">
        <f t="shared" si="7"/>
        <v>22</v>
      </c>
      <c r="X29">
        <f t="shared" si="7"/>
        <v>23</v>
      </c>
      <c r="Y29">
        <f t="shared" si="7"/>
        <v>24</v>
      </c>
      <c r="Z29">
        <f t="shared" si="7"/>
        <v>25</v>
      </c>
      <c r="AA29">
        <f t="shared" si="7"/>
        <v>26</v>
      </c>
      <c r="AB29">
        <f t="shared" si="7"/>
        <v>27</v>
      </c>
      <c r="AC29">
        <f t="shared" si="7"/>
        <v>28</v>
      </c>
      <c r="AD29">
        <f t="shared" si="7"/>
        <v>29</v>
      </c>
      <c r="AE29">
        <f t="shared" si="7"/>
        <v>30</v>
      </c>
      <c r="AF29">
        <f t="shared" si="7"/>
        <v>31</v>
      </c>
      <c r="AG29">
        <f t="shared" si="7"/>
        <v>32</v>
      </c>
      <c r="AH29">
        <f t="shared" si="7"/>
        <v>33</v>
      </c>
      <c r="AI29">
        <f t="shared" si="7"/>
        <v>34</v>
      </c>
      <c r="AJ29">
        <f t="shared" si="7"/>
        <v>35</v>
      </c>
    </row>
    <row r="30" spans="1:36" x14ac:dyDescent="0.35">
      <c r="A30">
        <f>A29+1</f>
        <v>1</v>
      </c>
      <c r="B30" s="117">
        <v>0</v>
      </c>
      <c r="C30" s="111">
        <v>0</v>
      </c>
      <c r="D30" s="111">
        <v>0</v>
      </c>
      <c r="E30" s="111">
        <v>0</v>
      </c>
      <c r="F30" s="111">
        <v>0</v>
      </c>
      <c r="G30" s="111">
        <v>0</v>
      </c>
      <c r="H30" s="111">
        <v>0</v>
      </c>
      <c r="I30" s="111">
        <v>0</v>
      </c>
      <c r="J30" s="111">
        <v>0</v>
      </c>
      <c r="K30" s="111">
        <v>0</v>
      </c>
      <c r="L30" s="111">
        <v>0</v>
      </c>
      <c r="M30" s="111">
        <v>0</v>
      </c>
      <c r="N30" s="111">
        <v>0</v>
      </c>
      <c r="O30" s="111">
        <v>0</v>
      </c>
      <c r="P30" s="111">
        <v>0</v>
      </c>
      <c r="Q30" s="111">
        <v>0</v>
      </c>
      <c r="R30" s="111">
        <v>0</v>
      </c>
      <c r="S30" s="111">
        <v>0</v>
      </c>
      <c r="T30" s="111">
        <v>0</v>
      </c>
      <c r="U30" s="111">
        <v>0</v>
      </c>
      <c r="V30" s="111">
        <v>1</v>
      </c>
      <c r="W30" s="111">
        <v>1</v>
      </c>
      <c r="X30" s="111">
        <v>1</v>
      </c>
      <c r="Y30" s="111">
        <v>1</v>
      </c>
      <c r="Z30" s="111">
        <v>1</v>
      </c>
      <c r="AA30" s="111">
        <v>1</v>
      </c>
      <c r="AB30" s="111">
        <v>1</v>
      </c>
      <c r="AC30" s="111">
        <v>1</v>
      </c>
      <c r="AD30" s="111">
        <v>1</v>
      </c>
      <c r="AE30" s="111">
        <v>1</v>
      </c>
      <c r="AF30" s="111">
        <v>1</v>
      </c>
      <c r="AG30" s="111">
        <v>1</v>
      </c>
      <c r="AH30" s="111">
        <v>1</v>
      </c>
      <c r="AI30" s="111">
        <v>1</v>
      </c>
      <c r="AJ30" s="118">
        <v>1</v>
      </c>
    </row>
    <row r="31" spans="1:36" x14ac:dyDescent="0.35">
      <c r="A31">
        <f t="shared" ref="A31:A36" si="8">A30+1</f>
        <v>2</v>
      </c>
      <c r="B31" s="59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1</v>
      </c>
      <c r="AG31" s="7">
        <v>1</v>
      </c>
      <c r="AH31" s="7">
        <v>1</v>
      </c>
      <c r="AI31" s="7">
        <v>1</v>
      </c>
      <c r="AJ31" s="60">
        <v>1</v>
      </c>
    </row>
    <row r="32" spans="1:36" x14ac:dyDescent="0.35">
      <c r="A32">
        <f t="shared" si="8"/>
        <v>3</v>
      </c>
      <c r="B32" s="59">
        <v>0</v>
      </c>
      <c r="C32" s="7">
        <v>0</v>
      </c>
      <c r="D32" s="7">
        <v>0</v>
      </c>
      <c r="E32" s="7">
        <v>0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7">
        <v>1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1</v>
      </c>
      <c r="AC32" s="7">
        <v>1</v>
      </c>
      <c r="AD32" s="7">
        <v>1</v>
      </c>
      <c r="AE32" s="7">
        <v>1</v>
      </c>
      <c r="AF32" s="7">
        <v>0</v>
      </c>
      <c r="AG32" s="7">
        <v>0</v>
      </c>
      <c r="AH32" s="7">
        <v>0</v>
      </c>
      <c r="AI32" s="7">
        <v>0</v>
      </c>
      <c r="AJ32" s="60">
        <v>1</v>
      </c>
    </row>
    <row r="33" spans="1:36" x14ac:dyDescent="0.35">
      <c r="A33">
        <f t="shared" si="8"/>
        <v>4</v>
      </c>
      <c r="B33" s="59">
        <v>0</v>
      </c>
      <c r="C33" s="7">
        <v>1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  <c r="I33" s="7">
        <v>1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1</v>
      </c>
      <c r="P33" s="7">
        <v>1</v>
      </c>
      <c r="Q33" s="7">
        <v>1</v>
      </c>
      <c r="R33" s="7">
        <v>0</v>
      </c>
      <c r="S33" s="7">
        <v>0</v>
      </c>
      <c r="T33" s="7">
        <v>0</v>
      </c>
      <c r="U33" s="7">
        <v>1</v>
      </c>
      <c r="V33" s="7">
        <v>0</v>
      </c>
      <c r="W33" s="7">
        <v>0</v>
      </c>
      <c r="X33" s="7">
        <v>0</v>
      </c>
      <c r="Y33" s="7">
        <v>1</v>
      </c>
      <c r="Z33" s="7">
        <v>1</v>
      </c>
      <c r="AA33" s="7">
        <v>1</v>
      </c>
      <c r="AB33" s="7">
        <v>0</v>
      </c>
      <c r="AC33" s="7">
        <v>0</v>
      </c>
      <c r="AD33" s="7">
        <v>0</v>
      </c>
      <c r="AE33" s="7">
        <v>1</v>
      </c>
      <c r="AF33" s="7">
        <v>0</v>
      </c>
      <c r="AG33" s="7">
        <v>0</v>
      </c>
      <c r="AH33" s="7">
        <v>0</v>
      </c>
      <c r="AI33" s="7">
        <v>1</v>
      </c>
      <c r="AJ33" s="60">
        <v>0</v>
      </c>
    </row>
    <row r="34" spans="1:36" x14ac:dyDescent="0.35">
      <c r="A34">
        <f t="shared" si="8"/>
        <v>5</v>
      </c>
      <c r="B34" s="59">
        <v>1</v>
      </c>
      <c r="C34" s="7">
        <v>0</v>
      </c>
      <c r="D34" s="7">
        <v>1</v>
      </c>
      <c r="E34" s="7">
        <v>1</v>
      </c>
      <c r="F34" s="7">
        <v>0</v>
      </c>
      <c r="G34" s="7">
        <v>1</v>
      </c>
      <c r="H34" s="7">
        <v>1</v>
      </c>
      <c r="I34" s="7">
        <v>0</v>
      </c>
      <c r="J34" s="7">
        <v>0</v>
      </c>
      <c r="K34" s="7">
        <v>1</v>
      </c>
      <c r="L34" s="7">
        <v>0</v>
      </c>
      <c r="M34" s="7">
        <v>1</v>
      </c>
      <c r="N34" s="7">
        <v>1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1</v>
      </c>
      <c r="U34" s="7">
        <v>0</v>
      </c>
      <c r="V34" s="7">
        <v>0</v>
      </c>
      <c r="W34" s="7">
        <v>1</v>
      </c>
      <c r="X34" s="7">
        <v>1</v>
      </c>
      <c r="Y34" s="7">
        <v>0</v>
      </c>
      <c r="Z34" s="7">
        <v>0</v>
      </c>
      <c r="AA34" s="7">
        <v>1</v>
      </c>
      <c r="AB34" s="7">
        <v>0</v>
      </c>
      <c r="AC34" s="7">
        <v>0</v>
      </c>
      <c r="AD34" s="7">
        <v>1</v>
      </c>
      <c r="AE34" s="7">
        <v>0</v>
      </c>
      <c r="AF34" s="7">
        <v>0</v>
      </c>
      <c r="AG34" s="7">
        <v>0</v>
      </c>
      <c r="AH34" s="7">
        <v>1</v>
      </c>
      <c r="AI34" s="7">
        <v>0</v>
      </c>
      <c r="AJ34" s="60">
        <v>0</v>
      </c>
    </row>
    <row r="35" spans="1:36" x14ac:dyDescent="0.35">
      <c r="A35">
        <f t="shared" si="8"/>
        <v>6</v>
      </c>
      <c r="B35" s="59">
        <v>1</v>
      </c>
      <c r="C35" s="7">
        <v>1</v>
      </c>
      <c r="D35" s="7">
        <v>0</v>
      </c>
      <c r="E35" s="7">
        <v>1</v>
      </c>
      <c r="F35" s="7">
        <v>1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7">
        <v>1</v>
      </c>
      <c r="M35" s="7">
        <v>0</v>
      </c>
      <c r="N35" s="7">
        <v>1</v>
      </c>
      <c r="O35" s="7">
        <v>0</v>
      </c>
      <c r="P35" s="7">
        <v>1</v>
      </c>
      <c r="Q35" s="7">
        <v>0</v>
      </c>
      <c r="R35" s="7">
        <v>0</v>
      </c>
      <c r="S35" s="7">
        <v>1</v>
      </c>
      <c r="T35" s="7">
        <v>0</v>
      </c>
      <c r="U35" s="7">
        <v>0</v>
      </c>
      <c r="V35" s="7">
        <v>1</v>
      </c>
      <c r="W35" s="7">
        <v>0</v>
      </c>
      <c r="X35" s="7">
        <v>1</v>
      </c>
      <c r="Y35" s="7">
        <v>0</v>
      </c>
      <c r="Z35" s="7">
        <v>1</v>
      </c>
      <c r="AA35" s="7">
        <v>0</v>
      </c>
      <c r="AB35" s="7">
        <v>0</v>
      </c>
      <c r="AC35" s="7">
        <v>1</v>
      </c>
      <c r="AD35" s="7">
        <v>0</v>
      </c>
      <c r="AE35" s="7">
        <v>0</v>
      </c>
      <c r="AF35" s="7">
        <v>0</v>
      </c>
      <c r="AG35" s="7">
        <v>1</v>
      </c>
      <c r="AH35" s="7">
        <v>0</v>
      </c>
      <c r="AI35" s="7">
        <v>0</v>
      </c>
      <c r="AJ35" s="60">
        <v>0</v>
      </c>
    </row>
    <row r="36" spans="1:36" x14ac:dyDescent="0.35">
      <c r="A36">
        <f t="shared" si="8"/>
        <v>7</v>
      </c>
      <c r="B36" s="45">
        <v>1</v>
      </c>
      <c r="C36" s="106">
        <v>1</v>
      </c>
      <c r="D36" s="106">
        <v>1</v>
      </c>
      <c r="E36" s="106">
        <v>0</v>
      </c>
      <c r="F36" s="106">
        <v>1</v>
      </c>
      <c r="G36" s="106">
        <v>1</v>
      </c>
      <c r="H36" s="106">
        <v>0</v>
      </c>
      <c r="I36" s="106">
        <v>1</v>
      </c>
      <c r="J36" s="106">
        <v>0</v>
      </c>
      <c r="K36" s="106">
        <v>0</v>
      </c>
      <c r="L36" s="106">
        <v>1</v>
      </c>
      <c r="M36" s="106">
        <v>1</v>
      </c>
      <c r="N36" s="106">
        <v>0</v>
      </c>
      <c r="O36" s="106">
        <v>1</v>
      </c>
      <c r="P36" s="106">
        <v>0</v>
      </c>
      <c r="Q36" s="106">
        <v>0</v>
      </c>
      <c r="R36" s="106">
        <v>1</v>
      </c>
      <c r="S36" s="106">
        <v>0</v>
      </c>
      <c r="T36" s="106">
        <v>0</v>
      </c>
      <c r="U36" s="106">
        <v>0</v>
      </c>
      <c r="V36" s="106">
        <v>1</v>
      </c>
      <c r="W36" s="106">
        <v>1</v>
      </c>
      <c r="X36" s="106">
        <v>0</v>
      </c>
      <c r="Y36" s="106">
        <v>1</v>
      </c>
      <c r="Z36" s="106">
        <v>0</v>
      </c>
      <c r="AA36" s="106">
        <v>0</v>
      </c>
      <c r="AB36" s="106">
        <v>1</v>
      </c>
      <c r="AC36" s="106">
        <v>0</v>
      </c>
      <c r="AD36" s="106">
        <v>0</v>
      </c>
      <c r="AE36" s="106">
        <v>0</v>
      </c>
      <c r="AF36" s="106">
        <v>1</v>
      </c>
      <c r="AG36" s="106">
        <v>0</v>
      </c>
      <c r="AH36" s="106">
        <v>0</v>
      </c>
      <c r="AI36" s="106">
        <v>0</v>
      </c>
      <c r="AJ36" s="48">
        <v>0</v>
      </c>
    </row>
    <row r="37" spans="1:36" x14ac:dyDescent="0.35">
      <c r="B37">
        <f t="shared" ref="B37:AJ37" si="9">SUMPRODUCT($A29:$A36,B29:B36)</f>
        <v>18</v>
      </c>
      <c r="C37">
        <f t="shared" si="9"/>
        <v>17</v>
      </c>
      <c r="D37">
        <f t="shared" si="9"/>
        <v>16</v>
      </c>
      <c r="E37">
        <f t="shared" si="9"/>
        <v>15</v>
      </c>
      <c r="F37">
        <f t="shared" si="9"/>
        <v>16</v>
      </c>
      <c r="G37">
        <f t="shared" si="9"/>
        <v>15</v>
      </c>
      <c r="H37">
        <f t="shared" si="9"/>
        <v>14</v>
      </c>
      <c r="I37">
        <f t="shared" si="9"/>
        <v>14</v>
      </c>
      <c r="J37">
        <f t="shared" si="9"/>
        <v>13</v>
      </c>
      <c r="K37">
        <f t="shared" si="9"/>
        <v>12</v>
      </c>
      <c r="L37">
        <f t="shared" si="9"/>
        <v>15</v>
      </c>
      <c r="M37">
        <f t="shared" si="9"/>
        <v>14</v>
      </c>
      <c r="N37">
        <f t="shared" si="9"/>
        <v>13</v>
      </c>
      <c r="O37">
        <f t="shared" si="9"/>
        <v>13</v>
      </c>
      <c r="P37">
        <f t="shared" si="9"/>
        <v>12</v>
      </c>
      <c r="Q37">
        <f t="shared" si="9"/>
        <v>11</v>
      </c>
      <c r="R37">
        <f t="shared" si="9"/>
        <v>12</v>
      </c>
      <c r="S37">
        <f t="shared" si="9"/>
        <v>11</v>
      </c>
      <c r="T37">
        <f t="shared" si="9"/>
        <v>10</v>
      </c>
      <c r="U37">
        <f t="shared" si="9"/>
        <v>9</v>
      </c>
      <c r="V37">
        <f t="shared" si="9"/>
        <v>14</v>
      </c>
      <c r="W37">
        <f t="shared" si="9"/>
        <v>13</v>
      </c>
      <c r="X37">
        <f t="shared" si="9"/>
        <v>12</v>
      </c>
      <c r="Y37">
        <f t="shared" si="9"/>
        <v>12</v>
      </c>
      <c r="Z37">
        <f t="shared" si="9"/>
        <v>11</v>
      </c>
      <c r="AA37">
        <f t="shared" si="9"/>
        <v>10</v>
      </c>
      <c r="AB37">
        <f t="shared" si="9"/>
        <v>11</v>
      </c>
      <c r="AC37">
        <f t="shared" si="9"/>
        <v>10</v>
      </c>
      <c r="AD37">
        <f t="shared" si="9"/>
        <v>9</v>
      </c>
      <c r="AE37">
        <f t="shared" si="9"/>
        <v>8</v>
      </c>
      <c r="AF37">
        <f t="shared" si="9"/>
        <v>10</v>
      </c>
      <c r="AG37">
        <f t="shared" si="9"/>
        <v>9</v>
      </c>
      <c r="AH37">
        <f t="shared" si="9"/>
        <v>8</v>
      </c>
      <c r="AI37">
        <f t="shared" si="9"/>
        <v>7</v>
      </c>
      <c r="AJ37">
        <f t="shared" si="9"/>
        <v>6</v>
      </c>
    </row>
    <row r="39" spans="1:36" x14ac:dyDescent="0.35">
      <c r="A39" s="12" t="s">
        <v>112</v>
      </c>
      <c r="B39">
        <f>B27</f>
        <v>6</v>
      </c>
      <c r="C39">
        <f>B39+1</f>
        <v>7</v>
      </c>
      <c r="D39">
        <f t="shared" ref="D39:N39" si="10">C39+1</f>
        <v>8</v>
      </c>
      <c r="E39">
        <f t="shared" si="10"/>
        <v>9</v>
      </c>
      <c r="F39">
        <f t="shared" si="10"/>
        <v>10</v>
      </c>
      <c r="G39">
        <f t="shared" si="10"/>
        <v>11</v>
      </c>
      <c r="H39">
        <f t="shared" si="10"/>
        <v>12</v>
      </c>
      <c r="I39">
        <f t="shared" si="10"/>
        <v>13</v>
      </c>
      <c r="J39">
        <f t="shared" si="10"/>
        <v>14</v>
      </c>
      <c r="K39">
        <f t="shared" si="10"/>
        <v>15</v>
      </c>
      <c r="L39">
        <f t="shared" si="10"/>
        <v>16</v>
      </c>
      <c r="M39">
        <f t="shared" si="10"/>
        <v>17</v>
      </c>
      <c r="N39">
        <f t="shared" si="10"/>
        <v>18</v>
      </c>
    </row>
    <row r="40" spans="1:36" x14ac:dyDescent="0.35">
      <c r="A40" s="12" t="s">
        <v>23</v>
      </c>
      <c r="B40" s="117">
        <f t="shared" ref="B40:N40" si="11">COUNTIF($B37:$BS37,B39)</f>
        <v>1</v>
      </c>
      <c r="C40" s="111">
        <f t="shared" si="11"/>
        <v>1</v>
      </c>
      <c r="D40" s="111">
        <f t="shared" si="11"/>
        <v>2</v>
      </c>
      <c r="E40" s="111">
        <f t="shared" si="11"/>
        <v>3</v>
      </c>
      <c r="F40" s="111">
        <f t="shared" si="11"/>
        <v>4</v>
      </c>
      <c r="G40" s="111">
        <f t="shared" si="11"/>
        <v>4</v>
      </c>
      <c r="H40" s="111">
        <f t="shared" si="11"/>
        <v>5</v>
      </c>
      <c r="I40" s="111">
        <f t="shared" si="11"/>
        <v>4</v>
      </c>
      <c r="J40" s="111">
        <f t="shared" si="11"/>
        <v>4</v>
      </c>
      <c r="K40" s="111">
        <f t="shared" si="11"/>
        <v>3</v>
      </c>
      <c r="L40" s="111">
        <f t="shared" si="11"/>
        <v>2</v>
      </c>
      <c r="M40" s="111">
        <f t="shared" si="11"/>
        <v>1</v>
      </c>
      <c r="N40" s="118">
        <f t="shared" si="11"/>
        <v>1</v>
      </c>
      <c r="O40" s="23">
        <f>SUM(B40:N40)</f>
        <v>35</v>
      </c>
    </row>
    <row r="41" spans="1:36" x14ac:dyDescent="0.35">
      <c r="A41" s="12" t="s">
        <v>114</v>
      </c>
      <c r="B41" s="59">
        <f t="shared" ref="B41:N41" si="12">B40/$O40</f>
        <v>2.8571428571428571E-2</v>
      </c>
      <c r="C41" s="7">
        <f t="shared" si="12"/>
        <v>2.8571428571428571E-2</v>
      </c>
      <c r="D41" s="7">
        <f t="shared" si="12"/>
        <v>5.7142857142857141E-2</v>
      </c>
      <c r="E41" s="7">
        <f t="shared" si="12"/>
        <v>8.5714285714285715E-2</v>
      </c>
      <c r="F41" s="7">
        <f t="shared" si="12"/>
        <v>0.11428571428571428</v>
      </c>
      <c r="G41" s="7">
        <f t="shared" si="12"/>
        <v>0.11428571428571428</v>
      </c>
      <c r="H41" s="7">
        <f t="shared" si="12"/>
        <v>0.14285714285714285</v>
      </c>
      <c r="I41" s="7">
        <f t="shared" si="12"/>
        <v>0.11428571428571428</v>
      </c>
      <c r="J41" s="7">
        <f t="shared" si="12"/>
        <v>0.11428571428571428</v>
      </c>
      <c r="K41" s="7">
        <f t="shared" si="12"/>
        <v>8.5714285714285715E-2</v>
      </c>
      <c r="L41" s="7">
        <f t="shared" si="12"/>
        <v>5.7142857142857141E-2</v>
      </c>
      <c r="M41" s="7">
        <f t="shared" si="12"/>
        <v>2.8571428571428571E-2</v>
      </c>
      <c r="N41" s="60">
        <f t="shared" si="12"/>
        <v>2.8571428571428571E-2</v>
      </c>
    </row>
    <row r="42" spans="1:36" x14ac:dyDescent="0.35">
      <c r="A42" s="20" t="s">
        <v>186</v>
      </c>
      <c r="B42" s="45">
        <f>B41</f>
        <v>2.8571428571428571E-2</v>
      </c>
      <c r="C42" s="106">
        <f>B42+C41</f>
        <v>5.7142857142857141E-2</v>
      </c>
      <c r="D42" s="106">
        <f t="shared" ref="D42:N42" si="13">C42+D41</f>
        <v>0.11428571428571428</v>
      </c>
      <c r="E42" s="106">
        <f t="shared" si="13"/>
        <v>0.2</v>
      </c>
      <c r="F42" s="106">
        <f t="shared" si="13"/>
        <v>0.31428571428571428</v>
      </c>
      <c r="G42" s="106">
        <f t="shared" si="13"/>
        <v>0.42857142857142855</v>
      </c>
      <c r="H42" s="106">
        <f t="shared" si="13"/>
        <v>0.5714285714285714</v>
      </c>
      <c r="I42" s="106">
        <f t="shared" si="13"/>
        <v>0.68571428571428572</v>
      </c>
      <c r="J42" s="106">
        <f t="shared" si="13"/>
        <v>0.8</v>
      </c>
      <c r="K42" s="106">
        <f t="shared" si="13"/>
        <v>0.88571428571428579</v>
      </c>
      <c r="L42" s="106">
        <f t="shared" si="13"/>
        <v>0.94285714285714295</v>
      </c>
      <c r="M42" s="106">
        <f t="shared" si="13"/>
        <v>0.97142857142857153</v>
      </c>
      <c r="N42" s="48">
        <f t="shared" si="13"/>
        <v>1</v>
      </c>
    </row>
    <row r="46" spans="1:36" x14ac:dyDescent="0.35">
      <c r="A46" s="15" t="s">
        <v>92</v>
      </c>
      <c r="B46" s="88">
        <v>2</v>
      </c>
      <c r="D46" t="s">
        <v>93</v>
      </c>
      <c r="E46" s="88">
        <v>4</v>
      </c>
      <c r="G46" t="s">
        <v>26</v>
      </c>
      <c r="H46" s="88">
        <f>B46+E46</f>
        <v>6</v>
      </c>
    </row>
    <row r="47" spans="1:36" x14ac:dyDescent="0.35">
      <c r="A47" s="1"/>
    </row>
    <row r="48" spans="1:36" x14ac:dyDescent="0.35">
      <c r="A48" s="15" t="s">
        <v>188</v>
      </c>
      <c r="B48" s="88">
        <f>B46*(B46+1)/2</f>
        <v>3</v>
      </c>
      <c r="D48" t="s">
        <v>32</v>
      </c>
      <c r="E48" s="88">
        <f>E46*(E46+1)/2</f>
        <v>10</v>
      </c>
      <c r="G48" t="s">
        <v>33</v>
      </c>
      <c r="H48" s="88">
        <f>H46*(H46+1)/2</f>
        <v>21</v>
      </c>
      <c r="J48" t="s">
        <v>189</v>
      </c>
      <c r="K48" s="88">
        <f>H48-E48</f>
        <v>11</v>
      </c>
      <c r="M48" t="s">
        <v>185</v>
      </c>
      <c r="N48" s="88">
        <f>COMBIN(H46,E46)</f>
        <v>15</v>
      </c>
    </row>
    <row r="49" spans="1:16" x14ac:dyDescent="0.35">
      <c r="A49" s="1"/>
    </row>
    <row r="50" spans="1:16" x14ac:dyDescent="0.35">
      <c r="B50">
        <v>1</v>
      </c>
      <c r="C50">
        <f>B50+1</f>
        <v>2</v>
      </c>
      <c r="D50">
        <f t="shared" ref="D50:P50" si="14">C50+1</f>
        <v>3</v>
      </c>
      <c r="E50">
        <f t="shared" si="14"/>
        <v>4</v>
      </c>
      <c r="F50">
        <f t="shared" si="14"/>
        <v>5</v>
      </c>
      <c r="G50">
        <f t="shared" si="14"/>
        <v>6</v>
      </c>
      <c r="H50">
        <f t="shared" si="14"/>
        <v>7</v>
      </c>
      <c r="I50">
        <f t="shared" si="14"/>
        <v>8</v>
      </c>
      <c r="J50">
        <f t="shared" si="14"/>
        <v>9</v>
      </c>
      <c r="K50">
        <f t="shared" si="14"/>
        <v>10</v>
      </c>
      <c r="L50">
        <f t="shared" si="14"/>
        <v>11</v>
      </c>
      <c r="M50">
        <f t="shared" si="14"/>
        <v>12</v>
      </c>
      <c r="N50">
        <f t="shared" si="14"/>
        <v>13</v>
      </c>
      <c r="O50">
        <f t="shared" si="14"/>
        <v>14</v>
      </c>
      <c r="P50">
        <f t="shared" si="14"/>
        <v>15</v>
      </c>
    </row>
    <row r="51" spans="1:16" x14ac:dyDescent="0.35">
      <c r="A51">
        <f t="shared" ref="A51:A56" si="15">A50+1</f>
        <v>1</v>
      </c>
      <c r="B51" s="117">
        <v>0</v>
      </c>
      <c r="C51" s="111">
        <v>0</v>
      </c>
      <c r="D51" s="111">
        <v>0</v>
      </c>
      <c r="E51" s="111">
        <v>0</v>
      </c>
      <c r="F51" s="111">
        <v>0</v>
      </c>
      <c r="G51" s="111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1</v>
      </c>
      <c r="M51" s="111">
        <v>1</v>
      </c>
      <c r="N51" s="111">
        <v>1</v>
      </c>
      <c r="O51" s="111">
        <v>1</v>
      </c>
      <c r="P51" s="118">
        <v>1</v>
      </c>
    </row>
    <row r="52" spans="1:16" x14ac:dyDescent="0.35">
      <c r="A52">
        <f t="shared" si="15"/>
        <v>2</v>
      </c>
      <c r="B52" s="59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1</v>
      </c>
      <c r="I52" s="7">
        <v>1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60">
        <v>1</v>
      </c>
    </row>
    <row r="53" spans="1:16" x14ac:dyDescent="0.35">
      <c r="A53">
        <f t="shared" si="15"/>
        <v>3</v>
      </c>
      <c r="B53" s="59">
        <v>0</v>
      </c>
      <c r="C53" s="7">
        <v>0</v>
      </c>
      <c r="D53" s="7">
        <v>0</v>
      </c>
      <c r="E53" s="7">
        <v>1</v>
      </c>
      <c r="F53" s="7">
        <v>1</v>
      </c>
      <c r="G53" s="7">
        <v>1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0</v>
      </c>
      <c r="N53" s="7">
        <v>0</v>
      </c>
      <c r="O53" s="7">
        <v>1</v>
      </c>
      <c r="P53" s="60">
        <v>0</v>
      </c>
    </row>
    <row r="54" spans="1:16" x14ac:dyDescent="0.35">
      <c r="A54">
        <f t="shared" si="15"/>
        <v>4</v>
      </c>
      <c r="B54" s="59">
        <v>0</v>
      </c>
      <c r="C54" s="7">
        <v>1</v>
      </c>
      <c r="D54" s="7">
        <v>1</v>
      </c>
      <c r="E54" s="7">
        <v>0</v>
      </c>
      <c r="F54" s="7">
        <v>0</v>
      </c>
      <c r="G54" s="7">
        <v>1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60">
        <v>0</v>
      </c>
    </row>
    <row r="55" spans="1:16" x14ac:dyDescent="0.35">
      <c r="A55">
        <f t="shared" si="15"/>
        <v>5</v>
      </c>
      <c r="B55" s="59">
        <v>1</v>
      </c>
      <c r="C55" s="7">
        <v>0</v>
      </c>
      <c r="D55" s="7">
        <v>1</v>
      </c>
      <c r="E55" s="7">
        <v>0</v>
      </c>
      <c r="F55" s="7">
        <v>1</v>
      </c>
      <c r="G55" s="7">
        <v>0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0</v>
      </c>
      <c r="P55" s="60">
        <v>0</v>
      </c>
    </row>
    <row r="56" spans="1:16" x14ac:dyDescent="0.35">
      <c r="A56">
        <f t="shared" si="15"/>
        <v>6</v>
      </c>
      <c r="B56" s="45">
        <v>1</v>
      </c>
      <c r="C56" s="106">
        <v>1</v>
      </c>
      <c r="D56" s="106">
        <v>0</v>
      </c>
      <c r="E56" s="106">
        <v>1</v>
      </c>
      <c r="F56" s="106">
        <v>0</v>
      </c>
      <c r="G56" s="106">
        <v>0</v>
      </c>
      <c r="H56" s="106">
        <v>1</v>
      </c>
      <c r="I56" s="106">
        <v>0</v>
      </c>
      <c r="J56" s="106">
        <v>0</v>
      </c>
      <c r="K56" s="106">
        <v>0</v>
      </c>
      <c r="L56" s="106">
        <v>1</v>
      </c>
      <c r="M56" s="106">
        <v>0</v>
      </c>
      <c r="N56" s="106">
        <v>0</v>
      </c>
      <c r="O56" s="106">
        <v>0</v>
      </c>
      <c r="P56" s="48">
        <v>0</v>
      </c>
    </row>
    <row r="57" spans="1:16" x14ac:dyDescent="0.35">
      <c r="B57">
        <f t="shared" ref="B57:P57" si="16">SUMPRODUCT($A50:$A56,B50:B56)</f>
        <v>11</v>
      </c>
      <c r="C57">
        <f t="shared" si="16"/>
        <v>10</v>
      </c>
      <c r="D57">
        <f t="shared" si="16"/>
        <v>9</v>
      </c>
      <c r="E57">
        <f t="shared" si="16"/>
        <v>9</v>
      </c>
      <c r="F57">
        <f t="shared" si="16"/>
        <v>8</v>
      </c>
      <c r="G57">
        <f t="shared" si="16"/>
        <v>7</v>
      </c>
      <c r="H57">
        <f t="shared" si="16"/>
        <v>8</v>
      </c>
      <c r="I57">
        <f t="shared" si="16"/>
        <v>7</v>
      </c>
      <c r="J57">
        <f t="shared" si="16"/>
        <v>6</v>
      </c>
      <c r="K57">
        <f t="shared" si="16"/>
        <v>5</v>
      </c>
      <c r="L57">
        <f t="shared" si="16"/>
        <v>7</v>
      </c>
      <c r="M57">
        <f t="shared" si="16"/>
        <v>6</v>
      </c>
      <c r="N57">
        <f t="shared" si="16"/>
        <v>5</v>
      </c>
      <c r="O57">
        <f t="shared" si="16"/>
        <v>4</v>
      </c>
      <c r="P57">
        <f t="shared" si="16"/>
        <v>3</v>
      </c>
    </row>
    <row r="59" spans="1:16" x14ac:dyDescent="0.35">
      <c r="A59" s="12" t="s">
        <v>112</v>
      </c>
      <c r="B59">
        <f>B48</f>
        <v>3</v>
      </c>
      <c r="C59">
        <f>B59+1</f>
        <v>4</v>
      </c>
      <c r="D59">
        <f t="shared" ref="D59:J59" si="17">C59+1</f>
        <v>5</v>
      </c>
      <c r="E59">
        <f t="shared" si="17"/>
        <v>6</v>
      </c>
      <c r="F59">
        <f t="shared" si="17"/>
        <v>7</v>
      </c>
      <c r="G59">
        <f t="shared" si="17"/>
        <v>8</v>
      </c>
      <c r="H59">
        <f t="shared" si="17"/>
        <v>9</v>
      </c>
      <c r="I59">
        <f t="shared" si="17"/>
        <v>10</v>
      </c>
      <c r="J59">
        <f t="shared" si="17"/>
        <v>11</v>
      </c>
    </row>
    <row r="60" spans="1:16" x14ac:dyDescent="0.35">
      <c r="A60" s="12" t="s">
        <v>23</v>
      </c>
      <c r="B60" s="117">
        <f t="shared" ref="B60:J60" si="18">COUNTIF($B57:$BS57,B59)</f>
        <v>1</v>
      </c>
      <c r="C60" s="111">
        <f t="shared" si="18"/>
        <v>1</v>
      </c>
      <c r="D60" s="111">
        <f t="shared" si="18"/>
        <v>2</v>
      </c>
      <c r="E60" s="111">
        <f t="shared" si="18"/>
        <v>2</v>
      </c>
      <c r="F60" s="111">
        <f t="shared" si="18"/>
        <v>3</v>
      </c>
      <c r="G60" s="111">
        <f t="shared" si="18"/>
        <v>2</v>
      </c>
      <c r="H60" s="111">
        <f t="shared" si="18"/>
        <v>2</v>
      </c>
      <c r="I60" s="111">
        <f t="shared" si="18"/>
        <v>1</v>
      </c>
      <c r="J60" s="118">
        <f t="shared" si="18"/>
        <v>1</v>
      </c>
      <c r="K60" s="23">
        <f>SUM(B60:J60)</f>
        <v>15</v>
      </c>
    </row>
    <row r="61" spans="1:16" x14ac:dyDescent="0.35">
      <c r="A61" s="12" t="s">
        <v>114</v>
      </c>
      <c r="B61" s="59">
        <f>B60/$K60</f>
        <v>6.6666666666666666E-2</v>
      </c>
      <c r="C61" s="7">
        <f t="shared" ref="C61:J61" si="19">C60/$K60</f>
        <v>6.6666666666666666E-2</v>
      </c>
      <c r="D61" s="7">
        <f t="shared" si="19"/>
        <v>0.13333333333333333</v>
      </c>
      <c r="E61" s="7">
        <f t="shared" si="19"/>
        <v>0.13333333333333333</v>
      </c>
      <c r="F61" s="7">
        <f t="shared" si="19"/>
        <v>0.2</v>
      </c>
      <c r="G61" s="7">
        <f t="shared" si="19"/>
        <v>0.13333333333333333</v>
      </c>
      <c r="H61" s="7">
        <f t="shared" si="19"/>
        <v>0.13333333333333333</v>
      </c>
      <c r="I61" s="7">
        <f t="shared" si="19"/>
        <v>6.6666666666666666E-2</v>
      </c>
      <c r="J61" s="60">
        <f t="shared" si="19"/>
        <v>6.6666666666666666E-2</v>
      </c>
    </row>
    <row r="62" spans="1:16" x14ac:dyDescent="0.35">
      <c r="A62" s="20" t="s">
        <v>186</v>
      </c>
      <c r="B62" s="45">
        <f>B61</f>
        <v>6.6666666666666666E-2</v>
      </c>
      <c r="C62" s="106">
        <f>B62+C61</f>
        <v>0.13333333333333333</v>
      </c>
      <c r="D62" s="106">
        <f t="shared" ref="D62:J62" si="20">C62+D61</f>
        <v>0.26666666666666666</v>
      </c>
      <c r="E62" s="106">
        <f t="shared" si="20"/>
        <v>0.4</v>
      </c>
      <c r="F62" s="106">
        <f t="shared" si="20"/>
        <v>0.60000000000000009</v>
      </c>
      <c r="G62" s="106">
        <f t="shared" si="20"/>
        <v>0.73333333333333339</v>
      </c>
      <c r="H62" s="106">
        <f t="shared" si="20"/>
        <v>0.8666666666666667</v>
      </c>
      <c r="I62" s="106">
        <f t="shared" si="20"/>
        <v>0.93333333333333335</v>
      </c>
      <c r="J62" s="48">
        <f t="shared" si="20"/>
        <v>1</v>
      </c>
    </row>
    <row r="66" spans="1:14" x14ac:dyDescent="0.35">
      <c r="A66" s="15" t="s">
        <v>92</v>
      </c>
      <c r="B66" s="88">
        <v>1</v>
      </c>
      <c r="D66" t="s">
        <v>93</v>
      </c>
      <c r="E66" s="88">
        <v>4</v>
      </c>
      <c r="G66" t="s">
        <v>26</v>
      </c>
      <c r="H66" s="88">
        <f>B66+E66</f>
        <v>5</v>
      </c>
    </row>
    <row r="67" spans="1:14" x14ac:dyDescent="0.35">
      <c r="A67" s="1"/>
    </row>
    <row r="68" spans="1:14" x14ac:dyDescent="0.35">
      <c r="A68" s="15" t="s">
        <v>188</v>
      </c>
      <c r="B68" s="88">
        <f>B66*(B66+1)/2</f>
        <v>1</v>
      </c>
      <c r="D68" t="s">
        <v>32</v>
      </c>
      <c r="E68" s="88">
        <f>E66*(E66+1)/2</f>
        <v>10</v>
      </c>
      <c r="G68" t="s">
        <v>33</v>
      </c>
      <c r="H68" s="88">
        <f>H66*(H66+1)/2</f>
        <v>15</v>
      </c>
      <c r="J68" t="s">
        <v>189</v>
      </c>
      <c r="K68" s="88">
        <f>H68-E68</f>
        <v>5</v>
      </c>
      <c r="M68" t="s">
        <v>185</v>
      </c>
      <c r="N68" s="88">
        <f>COMBIN(H66,E66)</f>
        <v>5</v>
      </c>
    </row>
    <row r="69" spans="1:14" x14ac:dyDescent="0.35">
      <c r="A69" s="1"/>
    </row>
    <row r="70" spans="1:14" x14ac:dyDescent="0.35">
      <c r="B70">
        <v>1</v>
      </c>
      <c r="C70">
        <f>B70+1</f>
        <v>2</v>
      </c>
      <c r="D70">
        <f>C70+1</f>
        <v>3</v>
      </c>
      <c r="E70">
        <f>D70+1</f>
        <v>4</v>
      </c>
      <c r="F70">
        <f>E70+1</f>
        <v>5</v>
      </c>
    </row>
    <row r="71" spans="1:14" x14ac:dyDescent="0.35">
      <c r="A71">
        <f>A70+1</f>
        <v>1</v>
      </c>
      <c r="B71" s="117">
        <v>0</v>
      </c>
      <c r="C71" s="111">
        <v>0</v>
      </c>
      <c r="D71" s="111">
        <v>0</v>
      </c>
      <c r="E71" s="111">
        <v>0</v>
      </c>
      <c r="F71" s="118">
        <v>1</v>
      </c>
    </row>
    <row r="72" spans="1:14" x14ac:dyDescent="0.35">
      <c r="A72">
        <f>A71+1</f>
        <v>2</v>
      </c>
      <c r="B72" s="59">
        <v>0</v>
      </c>
      <c r="C72" s="7">
        <v>0</v>
      </c>
      <c r="D72" s="7">
        <v>0</v>
      </c>
      <c r="E72" s="7">
        <v>1</v>
      </c>
      <c r="F72" s="60">
        <v>0</v>
      </c>
    </row>
    <row r="73" spans="1:14" x14ac:dyDescent="0.35">
      <c r="A73">
        <f>A72+1</f>
        <v>3</v>
      </c>
      <c r="B73" s="59">
        <v>0</v>
      </c>
      <c r="C73" s="7">
        <v>0</v>
      </c>
      <c r="D73" s="7">
        <v>1</v>
      </c>
      <c r="E73" s="7">
        <v>0</v>
      </c>
      <c r="F73" s="60">
        <v>0</v>
      </c>
    </row>
    <row r="74" spans="1:14" x14ac:dyDescent="0.35">
      <c r="A74">
        <f>A73+1</f>
        <v>4</v>
      </c>
      <c r="B74" s="59">
        <v>0</v>
      </c>
      <c r="C74" s="7">
        <v>1</v>
      </c>
      <c r="D74" s="7">
        <v>0</v>
      </c>
      <c r="E74" s="7">
        <v>0</v>
      </c>
      <c r="F74" s="60">
        <v>0</v>
      </c>
    </row>
    <row r="75" spans="1:14" x14ac:dyDescent="0.35">
      <c r="A75">
        <f>A74+1</f>
        <v>5</v>
      </c>
      <c r="B75" s="45">
        <v>1</v>
      </c>
      <c r="C75" s="106">
        <v>0</v>
      </c>
      <c r="D75" s="106">
        <v>0</v>
      </c>
      <c r="E75" s="106">
        <v>0</v>
      </c>
      <c r="F75" s="48">
        <v>0</v>
      </c>
    </row>
    <row r="76" spans="1:14" x14ac:dyDescent="0.35">
      <c r="B76">
        <f>SUMPRODUCT($A70:$A75,B70:B75)</f>
        <v>5</v>
      </c>
      <c r="C76">
        <f>SUMPRODUCT($A70:$A75,C70:C75)</f>
        <v>4</v>
      </c>
      <c r="D76">
        <f>SUMPRODUCT($A70:$A75,D70:D75)</f>
        <v>3</v>
      </c>
      <c r="E76">
        <f>SUMPRODUCT($A70:$A75,E70:E75)</f>
        <v>2</v>
      </c>
      <c r="F76">
        <f>SUMPRODUCT($A70:$A75,F70:F75)</f>
        <v>1</v>
      </c>
    </row>
    <row r="78" spans="1:14" x14ac:dyDescent="0.35">
      <c r="A78" s="12" t="s">
        <v>112</v>
      </c>
      <c r="B78">
        <f>B68</f>
        <v>1</v>
      </c>
      <c r="C78">
        <f>B78+1</f>
        <v>2</v>
      </c>
      <c r="D78">
        <f>C78+1</f>
        <v>3</v>
      </c>
      <c r="E78">
        <f>D78+1</f>
        <v>4</v>
      </c>
      <c r="F78">
        <f>E78+1</f>
        <v>5</v>
      </c>
    </row>
    <row r="79" spans="1:14" x14ac:dyDescent="0.35">
      <c r="A79" s="12" t="s">
        <v>23</v>
      </c>
      <c r="B79" s="117">
        <f>COUNTIF($B76:$BS76,B78)</f>
        <v>1</v>
      </c>
      <c r="C79" s="111">
        <f>COUNTIF($B76:$BS76,C78)</f>
        <v>1</v>
      </c>
      <c r="D79" s="111">
        <f>COUNTIF($B76:$BS76,D78)</f>
        <v>1</v>
      </c>
      <c r="E79" s="111">
        <f>COUNTIF($B76:$BS76,E78)</f>
        <v>1</v>
      </c>
      <c r="F79" s="118">
        <f>COUNTIF($B76:$BS76,F78)</f>
        <v>1</v>
      </c>
      <c r="G79" s="23">
        <f>SUM(B79:F79)</f>
        <v>5</v>
      </c>
    </row>
    <row r="80" spans="1:14" x14ac:dyDescent="0.35">
      <c r="A80" s="12" t="s">
        <v>114</v>
      </c>
      <c r="B80" s="59">
        <f>B79/$G79</f>
        <v>0.2</v>
      </c>
      <c r="C80" s="7">
        <f>C79/$G79</f>
        <v>0.2</v>
      </c>
      <c r="D80" s="7">
        <f>D79/$G79</f>
        <v>0.2</v>
      </c>
      <c r="E80" s="7">
        <f>E79/$G79</f>
        <v>0.2</v>
      </c>
      <c r="F80" s="60">
        <f>F79/$G79</f>
        <v>0.2</v>
      </c>
    </row>
    <row r="81" spans="1:6" x14ac:dyDescent="0.35">
      <c r="A81" s="20" t="s">
        <v>186</v>
      </c>
      <c r="B81" s="45">
        <f>B80</f>
        <v>0.2</v>
      </c>
      <c r="C81" s="106">
        <f>B81+C80</f>
        <v>0.4</v>
      </c>
      <c r="D81" s="106">
        <f>C81+D80</f>
        <v>0.60000000000000009</v>
      </c>
      <c r="E81" s="106">
        <f>D81+E80</f>
        <v>0.8</v>
      </c>
      <c r="F81" s="48">
        <f>E81+F80</f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85"/>
  <dimension ref="A1:S43"/>
  <sheetViews>
    <sheetView topLeftCell="A19" workbookViewId="0">
      <selection activeCell="H31" sqref="H31"/>
    </sheetView>
  </sheetViews>
  <sheetFormatPr defaultRowHeight="14.5" x14ac:dyDescent="0.35"/>
  <cols>
    <col min="1" max="1" width="4.81640625" customWidth="1"/>
    <col min="2" max="95" width="5.7265625" customWidth="1"/>
  </cols>
  <sheetData>
    <row r="1" spans="1:19" x14ac:dyDescent="0.35">
      <c r="A1" s="1" t="s">
        <v>223</v>
      </c>
    </row>
    <row r="2" spans="1:19" x14ac:dyDescent="0.35">
      <c r="A2" s="1"/>
    </row>
    <row r="3" spans="1:19" x14ac:dyDescent="0.35">
      <c r="A3" s="15" t="s">
        <v>92</v>
      </c>
      <c r="B3" s="88">
        <v>4</v>
      </c>
      <c r="D3" t="s">
        <v>93</v>
      </c>
      <c r="E3" s="88">
        <v>4</v>
      </c>
      <c r="G3" t="s">
        <v>26</v>
      </c>
      <c r="H3" s="88">
        <f>B3+E3</f>
        <v>8</v>
      </c>
    </row>
    <row r="4" spans="1:19" x14ac:dyDescent="0.35">
      <c r="A4" s="1"/>
    </row>
    <row r="5" spans="1:19" x14ac:dyDescent="0.35">
      <c r="A5" s="15" t="s">
        <v>188</v>
      </c>
      <c r="B5" s="88">
        <f>B3*(B3+1)/2</f>
        <v>10</v>
      </c>
      <c r="D5" t="s">
        <v>32</v>
      </c>
      <c r="E5" s="88">
        <f>E3*(E3+1)/2</f>
        <v>10</v>
      </c>
      <c r="G5" t="s">
        <v>33</v>
      </c>
      <c r="H5" s="88">
        <f>H3*(H3+1)/2</f>
        <v>36</v>
      </c>
      <c r="J5" t="s">
        <v>189</v>
      </c>
      <c r="K5" s="88">
        <f>H5-E5</f>
        <v>26</v>
      </c>
      <c r="M5" t="s">
        <v>185</v>
      </c>
      <c r="N5" s="88">
        <f>COMBIN(H3,E3)</f>
        <v>70</v>
      </c>
    </row>
    <row r="6" spans="1:19" x14ac:dyDescent="0.35">
      <c r="A6" s="1"/>
    </row>
    <row r="7" spans="1:19" x14ac:dyDescent="0.35">
      <c r="A7" s="12" t="s">
        <v>112</v>
      </c>
      <c r="B7">
        <v>10</v>
      </c>
      <c r="C7">
        <f>B7+1</f>
        <v>11</v>
      </c>
      <c r="D7">
        <f t="shared" ref="D7:R7" si="0">C7+1</f>
        <v>12</v>
      </c>
      <c r="E7">
        <f t="shared" si="0"/>
        <v>13</v>
      </c>
      <c r="F7">
        <f t="shared" si="0"/>
        <v>14</v>
      </c>
      <c r="G7">
        <f t="shared" si="0"/>
        <v>15</v>
      </c>
      <c r="H7">
        <f t="shared" si="0"/>
        <v>16</v>
      </c>
      <c r="I7">
        <f t="shared" si="0"/>
        <v>17</v>
      </c>
      <c r="J7">
        <f t="shared" si="0"/>
        <v>18</v>
      </c>
      <c r="K7">
        <f t="shared" si="0"/>
        <v>19</v>
      </c>
      <c r="L7">
        <f t="shared" si="0"/>
        <v>20</v>
      </c>
      <c r="M7">
        <f t="shared" si="0"/>
        <v>21</v>
      </c>
      <c r="N7">
        <f t="shared" si="0"/>
        <v>22</v>
      </c>
      <c r="O7">
        <f t="shared" si="0"/>
        <v>23</v>
      </c>
      <c r="P7">
        <f t="shared" si="0"/>
        <v>24</v>
      </c>
      <c r="Q7">
        <f t="shared" si="0"/>
        <v>25</v>
      </c>
      <c r="R7">
        <f t="shared" si="0"/>
        <v>26</v>
      </c>
    </row>
    <row r="8" spans="1:19" x14ac:dyDescent="0.35">
      <c r="A8" s="12" t="s">
        <v>23</v>
      </c>
      <c r="B8" s="172" t="e">
        <f ca="1">B9*$N$5</f>
        <v>#NAME?</v>
      </c>
      <c r="C8" s="164" t="e">
        <f t="shared" ref="C8:R8" ca="1" si="1">C9*$N$5</f>
        <v>#NAME?</v>
      </c>
      <c r="D8" s="164" t="e">
        <f t="shared" ca="1" si="1"/>
        <v>#NAME?</v>
      </c>
      <c r="E8" s="164" t="e">
        <f t="shared" ca="1" si="1"/>
        <v>#NAME?</v>
      </c>
      <c r="F8" s="164" t="e">
        <f t="shared" ca="1" si="1"/>
        <v>#NAME?</v>
      </c>
      <c r="G8" s="164" t="e">
        <f t="shared" ca="1" si="1"/>
        <v>#NAME?</v>
      </c>
      <c r="H8" s="164" t="e">
        <f t="shared" ca="1" si="1"/>
        <v>#NAME?</v>
      </c>
      <c r="I8" s="164" t="e">
        <f t="shared" ca="1" si="1"/>
        <v>#NAME?</v>
      </c>
      <c r="J8" s="164" t="e">
        <f t="shared" ca="1" si="1"/>
        <v>#NAME?</v>
      </c>
      <c r="K8" s="164" t="e">
        <f t="shared" ca="1" si="1"/>
        <v>#NAME?</v>
      </c>
      <c r="L8" s="164" t="e">
        <f t="shared" ca="1" si="1"/>
        <v>#NAME?</v>
      </c>
      <c r="M8" s="164" t="e">
        <f t="shared" ca="1" si="1"/>
        <v>#NAME?</v>
      </c>
      <c r="N8" s="164" t="e">
        <f t="shared" ca="1" si="1"/>
        <v>#NAME?</v>
      </c>
      <c r="O8" s="164" t="e">
        <f t="shared" ca="1" si="1"/>
        <v>#NAME?</v>
      </c>
      <c r="P8" s="164" t="e">
        <f t="shared" ca="1" si="1"/>
        <v>#NAME?</v>
      </c>
      <c r="Q8" s="164" t="e">
        <f t="shared" ca="1" si="1"/>
        <v>#NAME?</v>
      </c>
      <c r="R8" s="163" t="e">
        <f t="shared" ca="1" si="1"/>
        <v>#NAME?</v>
      </c>
      <c r="S8" s="23" t="e">
        <f ca="1">SUM(B8:R8)</f>
        <v>#NAME?</v>
      </c>
    </row>
    <row r="9" spans="1:19" x14ac:dyDescent="0.35">
      <c r="A9" s="12" t="s">
        <v>114</v>
      </c>
      <c r="B9" s="59" t="e">
        <f ca="1">PERM2DIST(B7,$B$3,$E$3,FALSE,FALSE)</f>
        <v>#NAME?</v>
      </c>
      <c r="C9" s="7" t="e">
        <f ca="1">PERM2DIST(C7,$B$3,$E$3,FALSE,FALSE)</f>
        <v>#NAME?</v>
      </c>
      <c r="D9" s="7" t="e">
        <f ca="1">PERM2DIST(D7,$B$3,$E$3,FALSE,FALSE)</f>
        <v>#NAME?</v>
      </c>
      <c r="E9" s="7" t="e">
        <f ca="1">PERM2DIST(E7,$B$3,$E$3,FALSE,FALSE)</f>
        <v>#NAME?</v>
      </c>
      <c r="F9" s="7" t="e">
        <f ca="1">PERM2DIST(F7,$B$3,$E$3,FALSE,FALSE)</f>
        <v>#NAME?</v>
      </c>
      <c r="G9" s="7" t="e">
        <f ca="1">PERM2DIST(G7,$B$3,$E$3,FALSE,FALSE)</f>
        <v>#NAME?</v>
      </c>
      <c r="H9" s="7" t="e">
        <f ca="1">PERM2DIST(H7,$B$3,$E$3,FALSE,FALSE)</f>
        <v>#NAME?</v>
      </c>
      <c r="I9" s="7" t="e">
        <f ca="1">PERM2DIST(I7,$B$3,$E$3,FALSE,FALSE)</f>
        <v>#NAME?</v>
      </c>
      <c r="J9" s="7" t="e">
        <f ca="1">PERM2DIST(J7,$B$3,$E$3,FALSE,FALSE)</f>
        <v>#NAME?</v>
      </c>
      <c r="K9" s="7" t="e">
        <f ca="1">PERM2DIST(K7,$B$3,$E$3,FALSE,FALSE)</f>
        <v>#NAME?</v>
      </c>
      <c r="L9" s="7" t="e">
        <f ca="1">PERM2DIST(L7,$B$3,$E$3,FALSE,FALSE)</f>
        <v>#NAME?</v>
      </c>
      <c r="M9" s="7" t="e">
        <f ca="1">PERM2DIST(M7,$B$3,$E$3,FALSE,FALSE)</f>
        <v>#NAME?</v>
      </c>
      <c r="N9" s="7" t="e">
        <f ca="1">PERM2DIST(N7,$B$3,$E$3,FALSE,FALSE)</f>
        <v>#NAME?</v>
      </c>
      <c r="O9" s="7" t="e">
        <f ca="1">PERM2DIST(O7,$B$3,$E$3,FALSE,FALSE)</f>
        <v>#NAME?</v>
      </c>
      <c r="P9" s="7" t="e">
        <f ca="1">PERM2DIST(P7,$B$3,$E$3,FALSE,FALSE)</f>
        <v>#NAME?</v>
      </c>
      <c r="Q9" s="7" t="e">
        <f ca="1">PERM2DIST(Q7,$B$3,$E$3,FALSE,FALSE)</f>
        <v>#NAME?</v>
      </c>
      <c r="R9" s="60" t="e">
        <f ca="1">PERM2DIST(R7,$B$3,$E$3,FALSE,FALSE)</f>
        <v>#NAME?</v>
      </c>
    </row>
    <row r="10" spans="1:19" x14ac:dyDescent="0.35">
      <c r="A10" s="20" t="s">
        <v>186</v>
      </c>
      <c r="B10" s="45" t="e">
        <f ca="1">PERM2DIST(B7,$B$3,$E$3,TRUE,FALSE)</f>
        <v>#NAME?</v>
      </c>
      <c r="C10" s="106" t="e">
        <f ca="1">PERM2DIST(C7,$B$3,$E$3,TRUE,FALSE)</f>
        <v>#NAME?</v>
      </c>
      <c r="D10" s="106" t="e">
        <f ca="1">PERM2DIST(D7,$B$3,$E$3,TRUE,FALSE)</f>
        <v>#NAME?</v>
      </c>
      <c r="E10" s="106" t="e">
        <f ca="1">PERM2DIST(E7,$B$3,$E$3,TRUE,FALSE)</f>
        <v>#NAME?</v>
      </c>
      <c r="F10" s="106" t="e">
        <f ca="1">PERM2DIST(F7,$B$3,$E$3,TRUE,FALSE)</f>
        <v>#NAME?</v>
      </c>
      <c r="G10" s="106" t="e">
        <f ca="1">PERM2DIST(G7,$B$3,$E$3,TRUE,FALSE)</f>
        <v>#NAME?</v>
      </c>
      <c r="H10" s="106" t="e">
        <f ca="1">PERM2DIST(H7,$B$3,$E$3,TRUE,FALSE)</f>
        <v>#NAME?</v>
      </c>
      <c r="I10" s="106" t="e">
        <f ca="1">PERM2DIST(I7,$B$3,$E$3,TRUE,FALSE)</f>
        <v>#NAME?</v>
      </c>
      <c r="J10" s="106" t="e">
        <f ca="1">PERM2DIST(J7,$B$3,$E$3,TRUE,FALSE)</f>
        <v>#NAME?</v>
      </c>
      <c r="K10" s="106" t="e">
        <f ca="1">PERM2DIST(K7,$B$3,$E$3,TRUE,FALSE)</f>
        <v>#NAME?</v>
      </c>
      <c r="L10" s="106" t="e">
        <f ca="1">PERM2DIST(L7,$B$3,$E$3,TRUE,FALSE)</f>
        <v>#NAME?</v>
      </c>
      <c r="M10" s="106" t="e">
        <f ca="1">PERM2DIST(M7,$B$3,$E$3,TRUE,FALSE)</f>
        <v>#NAME?</v>
      </c>
      <c r="N10" s="106" t="e">
        <f ca="1">PERM2DIST(N7,$B$3,$E$3,TRUE,FALSE)</f>
        <v>#NAME?</v>
      </c>
      <c r="O10" s="106" t="e">
        <f ca="1">PERM2DIST(O7,$B$3,$E$3,TRUE,FALSE)</f>
        <v>#NAME?</v>
      </c>
      <c r="P10" s="106" t="e">
        <f ca="1">PERM2DIST(P7,$B$3,$E$3,TRUE,FALSE)</f>
        <v>#NAME?</v>
      </c>
      <c r="Q10" s="106" t="e">
        <f ca="1">PERM2DIST(Q7,$B$3,$E$3,TRUE,FALSE)</f>
        <v>#NAME?</v>
      </c>
      <c r="R10" s="48" t="e">
        <f ca="1">PERM2DIST(R7,$B$3,$E$3,TRUE,FALSE)</f>
        <v>#NAME?</v>
      </c>
    </row>
    <row r="14" spans="1:19" x14ac:dyDescent="0.35">
      <c r="A14" s="15" t="s">
        <v>92</v>
      </c>
      <c r="B14" s="88">
        <v>3</v>
      </c>
      <c r="D14" t="s">
        <v>93</v>
      </c>
      <c r="E14" s="88">
        <v>4</v>
      </c>
      <c r="G14" t="s">
        <v>26</v>
      </c>
      <c r="H14" s="88">
        <f>B14+E14</f>
        <v>7</v>
      </c>
    </row>
    <row r="15" spans="1:19" x14ac:dyDescent="0.35">
      <c r="A15" s="1"/>
    </row>
    <row r="16" spans="1:19" x14ac:dyDescent="0.35">
      <c r="A16" s="15" t="s">
        <v>188</v>
      </c>
      <c r="B16" s="88">
        <f>B14*(B14+1)/2</f>
        <v>6</v>
      </c>
      <c r="D16" t="s">
        <v>32</v>
      </c>
      <c r="E16" s="88">
        <f>E14*(E14+1)/2</f>
        <v>10</v>
      </c>
      <c r="G16" t="s">
        <v>33</v>
      </c>
      <c r="H16" s="88">
        <f>H14*(H14+1)/2</f>
        <v>28</v>
      </c>
      <c r="J16" t="s">
        <v>189</v>
      </c>
      <c r="K16" s="88">
        <f>H16-E16</f>
        <v>18</v>
      </c>
      <c r="M16" t="s">
        <v>185</v>
      </c>
      <c r="N16" s="88">
        <f>COMBIN(H14,E14)</f>
        <v>35</v>
      </c>
    </row>
    <row r="17" spans="1:15" x14ac:dyDescent="0.35">
      <c r="A17" s="1"/>
    </row>
    <row r="18" spans="1:15" x14ac:dyDescent="0.35">
      <c r="A18" s="12" t="s">
        <v>112</v>
      </c>
      <c r="B18">
        <f>B16</f>
        <v>6</v>
      </c>
      <c r="C18">
        <f>B18+1</f>
        <v>7</v>
      </c>
      <c r="D18">
        <f t="shared" ref="D18:N18" si="2">C18+1</f>
        <v>8</v>
      </c>
      <c r="E18">
        <f t="shared" si="2"/>
        <v>9</v>
      </c>
      <c r="F18">
        <f t="shared" si="2"/>
        <v>10</v>
      </c>
      <c r="G18">
        <f t="shared" si="2"/>
        <v>11</v>
      </c>
      <c r="H18">
        <f t="shared" si="2"/>
        <v>12</v>
      </c>
      <c r="I18">
        <f t="shared" si="2"/>
        <v>13</v>
      </c>
      <c r="J18">
        <f t="shared" si="2"/>
        <v>14</v>
      </c>
      <c r="K18">
        <f t="shared" si="2"/>
        <v>15</v>
      </c>
      <c r="L18">
        <f t="shared" si="2"/>
        <v>16</v>
      </c>
      <c r="M18">
        <f t="shared" si="2"/>
        <v>17</v>
      </c>
      <c r="N18">
        <f t="shared" si="2"/>
        <v>18</v>
      </c>
    </row>
    <row r="19" spans="1:15" x14ac:dyDescent="0.35">
      <c r="A19" s="12" t="s">
        <v>23</v>
      </c>
      <c r="B19" s="172" t="e">
        <f ca="1">B20*$N$16</f>
        <v>#NAME?</v>
      </c>
      <c r="C19" s="164" t="e">
        <f t="shared" ref="C19:N19" ca="1" si="3">C20*$N$16</f>
        <v>#NAME?</v>
      </c>
      <c r="D19" s="164" t="e">
        <f t="shared" ca="1" si="3"/>
        <v>#NAME?</v>
      </c>
      <c r="E19" s="164" t="e">
        <f t="shared" ca="1" si="3"/>
        <v>#NAME?</v>
      </c>
      <c r="F19" s="164" t="e">
        <f t="shared" ca="1" si="3"/>
        <v>#NAME?</v>
      </c>
      <c r="G19" s="164" t="e">
        <f t="shared" ca="1" si="3"/>
        <v>#NAME?</v>
      </c>
      <c r="H19" s="164" t="e">
        <f t="shared" ca="1" si="3"/>
        <v>#NAME?</v>
      </c>
      <c r="I19" s="164" t="e">
        <f t="shared" ca="1" si="3"/>
        <v>#NAME?</v>
      </c>
      <c r="J19" s="164" t="e">
        <f t="shared" ca="1" si="3"/>
        <v>#NAME?</v>
      </c>
      <c r="K19" s="164" t="e">
        <f t="shared" ca="1" si="3"/>
        <v>#NAME?</v>
      </c>
      <c r="L19" s="164" t="e">
        <f t="shared" ca="1" si="3"/>
        <v>#NAME?</v>
      </c>
      <c r="M19" s="164" t="e">
        <f t="shared" ca="1" si="3"/>
        <v>#NAME?</v>
      </c>
      <c r="N19" s="163" t="e">
        <f t="shared" ca="1" si="3"/>
        <v>#NAME?</v>
      </c>
      <c r="O19" s="23" t="e">
        <f ca="1">SUM(B19:N19)</f>
        <v>#NAME?</v>
      </c>
    </row>
    <row r="20" spans="1:15" x14ac:dyDescent="0.35">
      <c r="A20" s="12" t="s">
        <v>114</v>
      </c>
      <c r="B20" s="59" t="e">
        <f ca="1">PERM2DIST(B18,$B$14,$E$14,FALSE,FALSE)</f>
        <v>#NAME?</v>
      </c>
      <c r="C20" s="7" t="e">
        <f ca="1">PERM2DIST(C18,$B$14,$E$14,FALSE,FALSE)</f>
        <v>#NAME?</v>
      </c>
      <c r="D20" s="7" t="e">
        <f ca="1">PERM2DIST(D18,$B$14,$E$14,FALSE,FALSE)</f>
        <v>#NAME?</v>
      </c>
      <c r="E20" s="7" t="e">
        <f ca="1">PERM2DIST(E18,$B$14,$E$14,FALSE,FALSE)</f>
        <v>#NAME?</v>
      </c>
      <c r="F20" s="7" t="e">
        <f ca="1">PERM2DIST(F18,$B$14,$E$14,FALSE,FALSE)</f>
        <v>#NAME?</v>
      </c>
      <c r="G20" s="7" t="e">
        <f ca="1">PERM2DIST(G18,$B$14,$E$14,FALSE,FALSE)</f>
        <v>#NAME?</v>
      </c>
      <c r="H20" s="7" t="e">
        <f ca="1">PERM2DIST(H18,$B$14,$E$14,FALSE,FALSE)</f>
        <v>#NAME?</v>
      </c>
      <c r="I20" s="7" t="e">
        <f ca="1">PERM2DIST(I18,$B$14,$E$14,FALSE,FALSE)</f>
        <v>#NAME?</v>
      </c>
      <c r="J20" s="7" t="e">
        <f ca="1">PERM2DIST(J18,$B$14,$E$14,FALSE,FALSE)</f>
        <v>#NAME?</v>
      </c>
      <c r="K20" s="7" t="e">
        <f ca="1">PERM2DIST(K18,$B$14,$E$14,FALSE,FALSE)</f>
        <v>#NAME?</v>
      </c>
      <c r="L20" s="7" t="e">
        <f ca="1">PERM2DIST(L18,$B$14,$E$14,FALSE,FALSE)</f>
        <v>#NAME?</v>
      </c>
      <c r="M20" s="7" t="e">
        <f ca="1">PERM2DIST(M18,$B$14,$E$14,FALSE,FALSE)</f>
        <v>#NAME?</v>
      </c>
      <c r="N20" s="60" t="e">
        <f ca="1">PERM2DIST(N18,$B$14,$E$14,FALSE,FALSE)</f>
        <v>#NAME?</v>
      </c>
    </row>
    <row r="21" spans="1:15" x14ac:dyDescent="0.35">
      <c r="A21" s="20" t="s">
        <v>186</v>
      </c>
      <c r="B21" s="45" t="e">
        <f ca="1">PERM2DIST(B18,$B$14,$E$14,TRUE,FALSE)</f>
        <v>#NAME?</v>
      </c>
      <c r="C21" s="106" t="e">
        <f ca="1">PERM2DIST(C18,$B$14,$E$14,TRUE,FALSE)</f>
        <v>#NAME?</v>
      </c>
      <c r="D21" s="106" t="e">
        <f ca="1">PERM2DIST(D18,$B$14,$E$14,TRUE,FALSE)</f>
        <v>#NAME?</v>
      </c>
      <c r="E21" s="106" t="e">
        <f ca="1">PERM2DIST(E18,$B$14,$E$14,TRUE,FALSE)</f>
        <v>#NAME?</v>
      </c>
      <c r="F21" s="106" t="e">
        <f ca="1">PERM2DIST(F18,$B$14,$E$14,TRUE,FALSE)</f>
        <v>#NAME?</v>
      </c>
      <c r="G21" s="106" t="e">
        <f ca="1">PERM2DIST(G18,$B$14,$E$14,TRUE,FALSE)</f>
        <v>#NAME?</v>
      </c>
      <c r="H21" s="106" t="e">
        <f ca="1">PERM2DIST(H18,$B$14,$E$14,TRUE,FALSE)</f>
        <v>#NAME?</v>
      </c>
      <c r="I21" s="106" t="e">
        <f ca="1">PERM2DIST(I18,$B$14,$E$14,TRUE,FALSE)</f>
        <v>#NAME?</v>
      </c>
      <c r="J21" s="106" t="e">
        <f ca="1">PERM2DIST(J18,$B$14,$E$14,TRUE,FALSE)</f>
        <v>#NAME?</v>
      </c>
      <c r="K21" s="106" t="e">
        <f ca="1">PERM2DIST(K18,$B$14,$E$14,TRUE,FALSE)</f>
        <v>#NAME?</v>
      </c>
      <c r="L21" s="106" t="e">
        <f ca="1">PERM2DIST(L18,$B$14,$E$14,TRUE,FALSE)</f>
        <v>#NAME?</v>
      </c>
      <c r="M21" s="106" t="e">
        <f ca="1">PERM2DIST(M18,$B$14,$E$14,TRUE,FALSE)</f>
        <v>#NAME?</v>
      </c>
      <c r="N21" s="48" t="e">
        <f ca="1">PERM2DIST(N18,$B$14,$E$14,TRUE,FALSE)</f>
        <v>#NAME?</v>
      </c>
    </row>
    <row r="25" spans="1:15" x14ac:dyDescent="0.35">
      <c r="A25" s="15" t="s">
        <v>92</v>
      </c>
      <c r="B25" s="88">
        <v>2</v>
      </c>
      <c r="D25" t="s">
        <v>93</v>
      </c>
      <c r="E25" s="88">
        <v>4</v>
      </c>
      <c r="G25" t="s">
        <v>26</v>
      </c>
      <c r="H25" s="88">
        <f>B25+E25</f>
        <v>6</v>
      </c>
    </row>
    <row r="26" spans="1:15" x14ac:dyDescent="0.35">
      <c r="A26" s="1"/>
    </row>
    <row r="27" spans="1:15" x14ac:dyDescent="0.35">
      <c r="A27" s="15" t="s">
        <v>188</v>
      </c>
      <c r="B27" s="88">
        <f>B25*(B25+1)/2</f>
        <v>3</v>
      </c>
      <c r="D27" t="s">
        <v>32</v>
      </c>
      <c r="E27" s="88">
        <f>E25*(E25+1)/2</f>
        <v>10</v>
      </c>
      <c r="G27" t="s">
        <v>33</v>
      </c>
      <c r="H27" s="88">
        <f>H25*(H25+1)/2</f>
        <v>21</v>
      </c>
      <c r="J27" t="s">
        <v>189</v>
      </c>
      <c r="K27" s="88">
        <f>H27-E27</f>
        <v>11</v>
      </c>
      <c r="M27" t="s">
        <v>185</v>
      </c>
      <c r="N27" s="88">
        <f>COMBIN(H25,E25)</f>
        <v>15</v>
      </c>
    </row>
    <row r="28" spans="1:15" x14ac:dyDescent="0.35">
      <c r="A28" s="1"/>
    </row>
    <row r="29" spans="1:15" x14ac:dyDescent="0.35">
      <c r="A29" s="12" t="s">
        <v>112</v>
      </c>
      <c r="B29">
        <f>B27</f>
        <v>3</v>
      </c>
      <c r="C29">
        <f>B29+1</f>
        <v>4</v>
      </c>
      <c r="D29">
        <f t="shared" ref="D29:J29" si="4">C29+1</f>
        <v>5</v>
      </c>
      <c r="E29">
        <f t="shared" si="4"/>
        <v>6</v>
      </c>
      <c r="F29">
        <f t="shared" si="4"/>
        <v>7</v>
      </c>
      <c r="G29">
        <f t="shared" si="4"/>
        <v>8</v>
      </c>
      <c r="H29">
        <f t="shared" si="4"/>
        <v>9</v>
      </c>
      <c r="I29">
        <f t="shared" si="4"/>
        <v>10</v>
      </c>
      <c r="J29">
        <f t="shared" si="4"/>
        <v>11</v>
      </c>
    </row>
    <row r="30" spans="1:15" x14ac:dyDescent="0.35">
      <c r="A30" s="12" t="s">
        <v>23</v>
      </c>
      <c r="B30" s="117" t="e">
        <f ca="1">B31*$N$27</f>
        <v>#NAME?</v>
      </c>
      <c r="C30" s="111" t="e">
        <f t="shared" ref="C30:J30" ca="1" si="5">C31*$N$27</f>
        <v>#NAME?</v>
      </c>
      <c r="D30" s="111" t="e">
        <f t="shared" ca="1" si="5"/>
        <v>#NAME?</v>
      </c>
      <c r="E30" s="111" t="e">
        <f t="shared" ca="1" si="5"/>
        <v>#NAME?</v>
      </c>
      <c r="F30" s="111" t="e">
        <f t="shared" ca="1" si="5"/>
        <v>#NAME?</v>
      </c>
      <c r="G30" s="111" t="e">
        <f t="shared" ca="1" si="5"/>
        <v>#NAME?</v>
      </c>
      <c r="H30" s="111" t="e">
        <f t="shared" ca="1" si="5"/>
        <v>#NAME?</v>
      </c>
      <c r="I30" s="111" t="e">
        <f t="shared" ca="1" si="5"/>
        <v>#NAME?</v>
      </c>
      <c r="J30" s="118" t="e">
        <f t="shared" ca="1" si="5"/>
        <v>#NAME?</v>
      </c>
      <c r="K30" s="23" t="e">
        <f ca="1">SUM(B30:J30)</f>
        <v>#NAME?</v>
      </c>
    </row>
    <row r="31" spans="1:15" x14ac:dyDescent="0.35">
      <c r="A31" s="12" t="s">
        <v>114</v>
      </c>
      <c r="B31" s="59" t="e">
        <f ca="1">PERM2DIST(B29,$B$25,$E$25,FALSE)</f>
        <v>#NAME?</v>
      </c>
      <c r="C31" s="7" t="e">
        <f ca="1">PERM2DIST(C29,$B$25,$E$25,FALSE)</f>
        <v>#NAME?</v>
      </c>
      <c r="D31" s="7" t="e">
        <f ca="1">PERM2DIST(D29,$B$25,$E$25,FALSE)</f>
        <v>#NAME?</v>
      </c>
      <c r="E31" s="7" t="e">
        <f ca="1">PERM2DIST(E29,$B$25,$E$25,FALSE)</f>
        <v>#NAME?</v>
      </c>
      <c r="F31" s="7" t="e">
        <f ca="1">PERM2DIST(F29,$B$25,$E$25,FALSE)</f>
        <v>#NAME?</v>
      </c>
      <c r="G31" s="7" t="e">
        <f ca="1">PERM2DIST(G29,$B$25,$E$25,FALSE)</f>
        <v>#NAME?</v>
      </c>
      <c r="H31" s="7" t="e">
        <f ca="1">PERM2DIST(H29,$B$25,$E$25,FALSE)</f>
        <v>#NAME?</v>
      </c>
      <c r="I31" s="7" t="e">
        <f ca="1">PERM2DIST(I29,$B$25,$E$25,FALSE)</f>
        <v>#NAME?</v>
      </c>
      <c r="J31" s="60" t="e">
        <f ca="1">PERM2DIST(J29,$B$25,$E$25,FALSE)</f>
        <v>#NAME?</v>
      </c>
    </row>
    <row r="32" spans="1:15" x14ac:dyDescent="0.35">
      <c r="A32" s="20" t="s">
        <v>186</v>
      </c>
      <c r="B32" s="45" t="e">
        <f ca="1">PERM2DIST(B29,$B$25,$E$25,TRUE)</f>
        <v>#NAME?</v>
      </c>
      <c r="C32" s="106" t="e">
        <f ca="1">PERM2DIST(C29,$B$25,$E$25,TRUE)</f>
        <v>#NAME?</v>
      </c>
      <c r="D32" s="106" t="e">
        <f ca="1">PERM2DIST(D29,$B$25,$E$25,TRUE)</f>
        <v>#NAME?</v>
      </c>
      <c r="E32" s="106" t="e">
        <f ca="1">PERM2DIST(E29,$B$25,$E$25,TRUE)</f>
        <v>#NAME?</v>
      </c>
      <c r="F32" s="106" t="e">
        <f ca="1">PERM2DIST(F29,$B$25,$E$25,TRUE)</f>
        <v>#NAME?</v>
      </c>
      <c r="G32" s="106" t="e">
        <f ca="1">PERM2DIST(G29,$B$25,$E$25,TRUE)</f>
        <v>#NAME?</v>
      </c>
      <c r="H32" s="106" t="e">
        <f ca="1">PERM2DIST(H29,$B$25,$E$25,TRUE)</f>
        <v>#NAME?</v>
      </c>
      <c r="I32" s="106" t="e">
        <f ca="1">PERM2DIST(I29,$B$25,$E$25,TRUE)</f>
        <v>#NAME?</v>
      </c>
      <c r="J32" s="48" t="e">
        <f ca="1">PERM2DIST(J29,$B$25,$E$25,TRUE)</f>
        <v>#NAME?</v>
      </c>
    </row>
    <row r="36" spans="1:14" x14ac:dyDescent="0.35">
      <c r="A36" s="15" t="s">
        <v>92</v>
      </c>
      <c r="B36" s="88">
        <v>1</v>
      </c>
      <c r="D36" t="s">
        <v>93</v>
      </c>
      <c r="E36" s="88">
        <v>4</v>
      </c>
      <c r="G36" t="s">
        <v>26</v>
      </c>
      <c r="H36" s="88">
        <f>B36+E36</f>
        <v>5</v>
      </c>
    </row>
    <row r="37" spans="1:14" x14ac:dyDescent="0.35">
      <c r="A37" s="1"/>
    </row>
    <row r="38" spans="1:14" x14ac:dyDescent="0.35">
      <c r="A38" s="15" t="s">
        <v>188</v>
      </c>
      <c r="B38" s="88">
        <f>B36*(B36+1)/2</f>
        <v>1</v>
      </c>
      <c r="D38" t="s">
        <v>32</v>
      </c>
      <c r="E38" s="88">
        <f>E36*(E36+1)/2</f>
        <v>10</v>
      </c>
      <c r="G38" t="s">
        <v>33</v>
      </c>
      <c r="H38" s="88">
        <f>H36*(H36+1)/2</f>
        <v>15</v>
      </c>
      <c r="J38" t="s">
        <v>189</v>
      </c>
      <c r="K38" s="88">
        <f>H38-E38</f>
        <v>5</v>
      </c>
      <c r="M38" t="s">
        <v>185</v>
      </c>
      <c r="N38" s="88">
        <f>COMBIN(H36,E36)</f>
        <v>5</v>
      </c>
    </row>
    <row r="39" spans="1:14" x14ac:dyDescent="0.35">
      <c r="A39" s="1"/>
    </row>
    <row r="40" spans="1:14" x14ac:dyDescent="0.35">
      <c r="A40" s="12" t="s">
        <v>112</v>
      </c>
      <c r="B40">
        <f>B38</f>
        <v>1</v>
      </c>
      <c r="C40">
        <f>B40+1</f>
        <v>2</v>
      </c>
      <c r="D40">
        <f>C40+1</f>
        <v>3</v>
      </c>
      <c r="E40">
        <f>D40+1</f>
        <v>4</v>
      </c>
      <c r="F40">
        <f>E40+1</f>
        <v>5</v>
      </c>
    </row>
    <row r="41" spans="1:14" x14ac:dyDescent="0.35">
      <c r="A41" s="12" t="s">
        <v>23</v>
      </c>
      <c r="B41" s="117" t="e">
        <f ca="1">B42*$N$38</f>
        <v>#NAME?</v>
      </c>
      <c r="C41" s="111" t="e">
        <f ca="1">C42*$N$38</f>
        <v>#NAME?</v>
      </c>
      <c r="D41" s="111" t="e">
        <f ca="1">D42*$N$38</f>
        <v>#NAME?</v>
      </c>
      <c r="E41" s="111" t="e">
        <f ca="1">E42*$N$38</f>
        <v>#NAME?</v>
      </c>
      <c r="F41" s="118" t="e">
        <f ca="1">F42*$N$38</f>
        <v>#NAME?</v>
      </c>
      <c r="G41" s="23" t="e">
        <f ca="1">SUM(B41:F41)</f>
        <v>#NAME?</v>
      </c>
    </row>
    <row r="42" spans="1:14" x14ac:dyDescent="0.35">
      <c r="A42" s="12" t="s">
        <v>114</v>
      </c>
      <c r="B42" s="59" t="e">
        <f ca="1">PERM2DIST(B40,$B$36,$E$36,FALSE)</f>
        <v>#NAME?</v>
      </c>
      <c r="C42" s="7" t="e">
        <f ca="1">PERM2DIST(C40,$B$36,$E$36,FALSE)</f>
        <v>#NAME?</v>
      </c>
      <c r="D42" s="7" t="e">
        <f ca="1">PERM2DIST(D40,$B$36,$E$36,FALSE)</f>
        <v>#NAME?</v>
      </c>
      <c r="E42" s="7" t="e">
        <f ca="1">PERM2DIST(E40,$B$36,$E$36,FALSE)</f>
        <v>#NAME?</v>
      </c>
      <c r="F42" s="60" t="e">
        <f ca="1">PERM2DIST(F40,$B$36,$E$36,FALSE)</f>
        <v>#NAME?</v>
      </c>
    </row>
    <row r="43" spans="1:14" x14ac:dyDescent="0.35">
      <c r="A43" s="20" t="s">
        <v>186</v>
      </c>
      <c r="B43" s="45" t="e">
        <f ca="1">PERM2DIST(B40,$B$36,$E$36,TRUE)</f>
        <v>#NAME?</v>
      </c>
      <c r="C43" s="106" t="e">
        <f ca="1">PERM2DIST(C40,$B$36,$E$36,TRUE)</f>
        <v>#NAME?</v>
      </c>
      <c r="D43" s="106" t="e">
        <f ca="1">PERM2DIST(D40,$B$36,$E$36,TRUE)</f>
        <v>#NAME?</v>
      </c>
      <c r="E43" s="106" t="e">
        <f ca="1">PERM2DIST(E40,$B$36,$E$36,TRUE)</f>
        <v>#NAME?</v>
      </c>
      <c r="F43" s="48" t="e">
        <f ca="1">PERM2DIST(F40,$B$36,$E$36,TRUE)</f>
        <v>#NAME?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87"/>
  <dimension ref="A1:AA20"/>
  <sheetViews>
    <sheetView zoomScaleNormal="100" workbookViewId="0"/>
  </sheetViews>
  <sheetFormatPr defaultRowHeight="14.5" x14ac:dyDescent="0.35"/>
  <cols>
    <col min="3" max="3" width="5.453125" customWidth="1"/>
    <col min="6" max="6" width="5.7265625" customWidth="1"/>
    <col min="11" max="11" width="3.1796875" customWidth="1"/>
    <col min="12" max="12" width="22.453125" customWidth="1"/>
    <col min="26" max="26" width="3.7265625" customWidth="1"/>
    <col min="27" max="27" width="29" customWidth="1"/>
  </cols>
  <sheetData>
    <row r="1" spans="1:27" x14ac:dyDescent="0.35">
      <c r="A1" s="1" t="s">
        <v>130</v>
      </c>
      <c r="N1" t="s">
        <v>184</v>
      </c>
      <c r="Y1" t="s">
        <v>235</v>
      </c>
    </row>
    <row r="3" spans="1:27" x14ac:dyDescent="0.35">
      <c r="A3" s="34" t="s">
        <v>120</v>
      </c>
      <c r="D3" t="s">
        <v>99</v>
      </c>
      <c r="N3" t="s">
        <v>57</v>
      </c>
      <c r="Y3" s="88" t="e">
        <f ca="1">MANNDIST(H11,H5,I5,2)</f>
        <v>#NAME?</v>
      </c>
      <c r="AA3" t="e">
        <f ca="1">FTEXT(Y3)</f>
        <v>#NAME?</v>
      </c>
    </row>
    <row r="4" spans="1:27" ht="13.5" customHeight="1" x14ac:dyDescent="0.35">
      <c r="H4" s="12" t="s">
        <v>64</v>
      </c>
      <c r="I4" s="12" t="s">
        <v>65</v>
      </c>
    </row>
    <row r="5" spans="1:27" ht="15" thickBot="1" x14ac:dyDescent="0.4">
      <c r="A5" s="177" t="s">
        <v>64</v>
      </c>
      <c r="B5" s="177" t="s">
        <v>65</v>
      </c>
      <c r="D5" s="177" t="s">
        <v>64</v>
      </c>
      <c r="E5" s="177" t="s">
        <v>65</v>
      </c>
      <c r="G5" t="s">
        <v>100</v>
      </c>
      <c r="H5" s="172">
        <f>COUNT(A6:A17)</f>
        <v>12</v>
      </c>
      <c r="I5" s="163">
        <f>COUNT(B6:B17)</f>
        <v>11</v>
      </c>
      <c r="N5" t="s">
        <v>45</v>
      </c>
      <c r="Q5" t="s">
        <v>58</v>
      </c>
      <c r="R5">
        <v>0</v>
      </c>
      <c r="Y5" s="88" t="e">
        <f ca="1">MANNINV(H9,H5,I5,2)</f>
        <v>#NAME?</v>
      </c>
      <c r="AA5" t="e">
        <f ca="1">FTEXT(Y5)</f>
        <v>#NAME?</v>
      </c>
    </row>
    <row r="6" spans="1:27" ht="15" thickTop="1" x14ac:dyDescent="0.35">
      <c r="A6">
        <v>11</v>
      </c>
      <c r="B6">
        <v>34</v>
      </c>
      <c r="D6" t="e">
        <f ca="1">IF(A6&lt;&gt;"",RANK_AVG(A6,$A$6:$B$17,1),"")</f>
        <v>#NAME?</v>
      </c>
      <c r="E6" t="e">
        <f ca="1">IF(B6&lt;&gt;"",RANK_AVG(B6,$A$6:$B$17,1),"")</f>
        <v>#NAME?</v>
      </c>
      <c r="G6" t="s">
        <v>123</v>
      </c>
      <c r="H6" s="59" t="e">
        <f ca="1">D18</f>
        <v>#NAME?</v>
      </c>
      <c r="I6" s="60" t="e">
        <f ca="1">E18</f>
        <v>#NAME?</v>
      </c>
      <c r="N6" s="110" t="s">
        <v>59</v>
      </c>
      <c r="O6" s="110" t="s">
        <v>15</v>
      </c>
      <c r="P6" s="110" t="s">
        <v>3</v>
      </c>
      <c r="Q6" s="110" t="s">
        <v>60</v>
      </c>
      <c r="R6" s="110" t="s">
        <v>46</v>
      </c>
    </row>
    <row r="7" spans="1:27" x14ac:dyDescent="0.35">
      <c r="A7">
        <v>15</v>
      </c>
      <c r="B7">
        <v>31</v>
      </c>
      <c r="D7" t="e">
        <f ca="1">IF(A7&lt;&gt;"",RANK_AVG(A7,$A$6:$B$17,1),"")</f>
        <v>#NAME?</v>
      </c>
      <c r="E7" t="e">
        <f ca="1">IF(B7&lt;&gt;"",RANK_AVG(B7,$A$6:$B$17,1),"")</f>
        <v>#NAME?</v>
      </c>
      <c r="G7" t="s">
        <v>131</v>
      </c>
      <c r="H7" s="196" t="e">
        <f ca="1">H5*I5+H5*(H5+1)/2-H6</f>
        <v>#NAME?</v>
      </c>
      <c r="I7" s="197" t="e">
        <f ca="1">H5*I5+I5*(I5+1)/2-I6</f>
        <v>#NAME?</v>
      </c>
      <c r="N7" t="str">
        <f>A5</f>
        <v>Control</v>
      </c>
      <c r="O7">
        <f>COUNT(A6:A17)</f>
        <v>12</v>
      </c>
      <c r="P7">
        <f>AVERAGE(A6:A17)</f>
        <v>17</v>
      </c>
      <c r="Q7">
        <f>VAR(A6:A17)</f>
        <v>80.909090909090907</v>
      </c>
      <c r="Y7" s="88" t="e">
        <f ca="1">MANN_EXACT(A6:A17,B6:B16)</f>
        <v>#NAME?</v>
      </c>
      <c r="AA7" t="e">
        <f ca="1">FTEXT(Y7)</f>
        <v>#NAME?</v>
      </c>
    </row>
    <row r="8" spans="1:27" x14ac:dyDescent="0.35">
      <c r="A8">
        <v>9</v>
      </c>
      <c r="B8">
        <v>35</v>
      </c>
      <c r="D8" t="e">
        <f ca="1">IF(A8&lt;&gt;"",RANK_AVG(A8,$A$6:$B$17,1),"")</f>
        <v>#NAME?</v>
      </c>
      <c r="E8" t="e">
        <f ca="1">IF(B8&lt;&gt;"",RANK_AVG(B8,$A$6:$B$17,1),"")</f>
        <v>#NAME?</v>
      </c>
      <c r="N8" t="str">
        <f>B5</f>
        <v>Drug</v>
      </c>
      <c r="O8">
        <f>COUNT(B6:B17)</f>
        <v>11</v>
      </c>
      <c r="P8">
        <f>AVERAGE(B6:B17)</f>
        <v>23.90909090909091</v>
      </c>
      <c r="Q8">
        <f>VAR(B6:B17)</f>
        <v>82.690909090909102</v>
      </c>
    </row>
    <row r="9" spans="1:27" x14ac:dyDescent="0.35">
      <c r="A9">
        <v>4</v>
      </c>
      <c r="B9">
        <v>29</v>
      </c>
      <c r="D9" t="e">
        <f ca="1">IF(A9&lt;&gt;"",RANK_AVG(A9,$A$6:$B$17,1),"")</f>
        <v>#NAME?</v>
      </c>
      <c r="E9" t="e">
        <f ca="1">IF(B9&lt;&gt;"",RANK_AVG(B9,$A$6:$B$17,1),"")</f>
        <v>#NAME?</v>
      </c>
      <c r="G9" s="38" t="s">
        <v>34</v>
      </c>
      <c r="H9" s="173">
        <v>0.05</v>
      </c>
      <c r="L9" t="s">
        <v>194</v>
      </c>
      <c r="N9" s="164" t="s">
        <v>61</v>
      </c>
      <c r="O9" s="164"/>
      <c r="P9" s="164"/>
      <c r="Q9" s="164">
        <f>((O7-1)*Q7+(O8-1)*Q8)/(O7+O8-2)</f>
        <v>81.757575757575765</v>
      </c>
      <c r="R9" s="164">
        <f>ABS(P7-P8-R5)/SQRT(Q9)</f>
        <v>0.76411179639367188</v>
      </c>
    </row>
    <row r="10" spans="1:27" x14ac:dyDescent="0.35">
      <c r="A10">
        <v>34</v>
      </c>
      <c r="B10">
        <v>28</v>
      </c>
      <c r="D10" t="e">
        <f ca="1">IF(A10&lt;&gt;"",RANK_AVG(A10,$A$6:$B$17,1),"")</f>
        <v>#NAME?</v>
      </c>
      <c r="E10" t="e">
        <f ca="1">IF(B10&lt;&gt;"",RANK_AVG(B10,$A$6:$B$17,1),"")</f>
        <v>#NAME?</v>
      </c>
      <c r="G10" s="38" t="s">
        <v>107</v>
      </c>
      <c r="H10" s="58">
        <v>2</v>
      </c>
    </row>
    <row r="11" spans="1:27" ht="15" thickBot="1" x14ac:dyDescent="0.4">
      <c r="A11">
        <v>17</v>
      </c>
      <c r="B11">
        <v>12</v>
      </c>
      <c r="D11" t="e">
        <f ca="1">IF(A11&lt;&gt;"",RANK_AVG(A11,$A$6:$B$17,1),"")</f>
        <v>#NAME?</v>
      </c>
      <c r="E11" t="e">
        <f ca="1">IF(B11&lt;&gt;"",RANK_AVG(B11,$A$6:$B$17,1),"")</f>
        <v>#NAME?</v>
      </c>
      <c r="G11" s="38" t="s">
        <v>131</v>
      </c>
      <c r="H11" s="58" t="e">
        <f ca="1">MIN(H7:I7)</f>
        <v>#NAME?</v>
      </c>
      <c r="J11" s="173" t="e">
        <f ca="1">MANN(A6:B17)</f>
        <v>#NAME?</v>
      </c>
      <c r="L11" s="14" t="e">
        <f ca="1">FTEXT(J11)</f>
        <v>#NAME?</v>
      </c>
      <c r="N11" t="s">
        <v>62</v>
      </c>
      <c r="R11" t="s">
        <v>30</v>
      </c>
      <c r="S11">
        <v>0.05</v>
      </c>
    </row>
    <row r="12" spans="1:27" ht="15" thickTop="1" x14ac:dyDescent="0.35">
      <c r="A12">
        <v>18</v>
      </c>
      <c r="B12">
        <v>18</v>
      </c>
      <c r="D12" t="e">
        <f ca="1">IF(A12&lt;&gt;"",RANK_AVG(A12,$A$6:$B$17,1),"")</f>
        <v>#NAME?</v>
      </c>
      <c r="E12" t="e">
        <f ca="1">IF(B12&lt;&gt;"",RANK_AVG(B12,$A$6:$B$17,1),"")</f>
        <v>#NAME?</v>
      </c>
      <c r="G12" s="23" t="s">
        <v>132</v>
      </c>
      <c r="H12" s="58" t="e">
        <f ca="1">MWINV(H9,H5,I5,H10)</f>
        <v>#NAME?</v>
      </c>
      <c r="J12" s="50" t="e">
        <f ca="1">MWINV(H9,H5,I5,H10)</f>
        <v>#NAME?</v>
      </c>
      <c r="L12" s="14" t="e">
        <f ca="1">FTEXT(J12)</f>
        <v>#NAME?</v>
      </c>
      <c r="N12" s="110" t="s">
        <v>47</v>
      </c>
      <c r="O12" s="110" t="s">
        <v>110</v>
      </c>
      <c r="P12" s="110" t="s">
        <v>69</v>
      </c>
      <c r="Q12" s="110" t="s">
        <v>44</v>
      </c>
      <c r="R12" s="110" t="s">
        <v>48</v>
      </c>
      <c r="S12" s="110" t="s">
        <v>49</v>
      </c>
      <c r="T12" s="110" t="s">
        <v>24</v>
      </c>
      <c r="U12" s="110" t="s">
        <v>25</v>
      </c>
      <c r="V12" s="110" t="s">
        <v>104</v>
      </c>
      <c r="W12" s="110" t="s">
        <v>111</v>
      </c>
    </row>
    <row r="13" spans="1:27" x14ac:dyDescent="0.35">
      <c r="A13">
        <v>14</v>
      </c>
      <c r="B13">
        <v>30</v>
      </c>
      <c r="D13" t="e">
        <f ca="1">IF(A13&lt;&gt;"",RANK_AVG(A13,$A$6:$B$17,1),"")</f>
        <v>#NAME?</v>
      </c>
      <c r="E13" t="e">
        <f ca="1">IF(B13&lt;&gt;"",RANK_AVG(B13,$A$6:$B$17,1),"")</f>
        <v>#NAME?</v>
      </c>
      <c r="G13" s="23" t="s">
        <v>104</v>
      </c>
      <c r="H13" s="47" t="e">
        <f ca="1">IF(H11&lt;H12,"yes","no")</f>
        <v>#NAME?</v>
      </c>
      <c r="N13" t="s">
        <v>50</v>
      </c>
      <c r="O13">
        <f>SQRT(Q9*(1/O7+1/O8))</f>
        <v>3.774339438919565</v>
      </c>
      <c r="P13">
        <f>(ABS(P7-P8-R5))/O13</f>
        <v>1.8305430714172048</v>
      </c>
      <c r="Q13">
        <f>O7+O8-2</f>
        <v>21</v>
      </c>
      <c r="R13">
        <f>TDIST(P13,Q13,1)</f>
        <v>4.0699273241060353E-2</v>
      </c>
      <c r="S13">
        <f>TINV(S11*2,Q13)</f>
        <v>1.7207429028118781</v>
      </c>
      <c r="V13" s="191" t="str">
        <f>IF(R13&lt;S11,"yes","no")</f>
        <v>yes</v>
      </c>
      <c r="W13">
        <f>SQRT(P13^2/(P13^2+Q13))</f>
        <v>0.37095612899862523</v>
      </c>
    </row>
    <row r="14" spans="1:27" x14ac:dyDescent="0.35">
      <c r="A14">
        <v>12</v>
      </c>
      <c r="B14">
        <v>14</v>
      </c>
      <c r="D14" t="e">
        <f ca="1">IF(A14&lt;&gt;"",RANK_AVG(A14,$A$6:$B$17,1),"")</f>
        <v>#NAME?</v>
      </c>
      <c r="E14" t="e">
        <f ca="1">IF(B14&lt;&gt;"",RANK_AVG(B14,$A$6:$B$17,1),"")</f>
        <v>#NAME?</v>
      </c>
      <c r="N14" t="s">
        <v>51</v>
      </c>
      <c r="O14">
        <f>O13</f>
        <v>3.774339438919565</v>
      </c>
      <c r="P14">
        <f>P13</f>
        <v>1.8305430714172048</v>
      </c>
      <c r="Q14">
        <f>Q13</f>
        <v>21</v>
      </c>
      <c r="R14">
        <f>TDIST(P14,Q14,2)</f>
        <v>8.1398546482120707E-2</v>
      </c>
      <c r="S14">
        <f>TINV(S11,Q14)</f>
        <v>2.07961384472768</v>
      </c>
      <c r="T14">
        <f>(P7-P8)-S14*O14</f>
        <v>-14.758259460969741</v>
      </c>
      <c r="U14">
        <f>(P7-P8)+S14*O14</f>
        <v>0.94007764278792116</v>
      </c>
      <c r="V14" s="191" t="str">
        <f>IF(R14&lt;S11,"yes","no")</f>
        <v>no</v>
      </c>
      <c r="W14">
        <f>W13</f>
        <v>0.37095612899862523</v>
      </c>
    </row>
    <row r="15" spans="1:27" x14ac:dyDescent="0.35">
      <c r="A15">
        <v>13</v>
      </c>
      <c r="B15">
        <v>22</v>
      </c>
      <c r="D15" t="e">
        <f ca="1">IF(A15&lt;&gt;"",RANK_AVG(A15,$A$6:$B$17,1),"")</f>
        <v>#NAME?</v>
      </c>
      <c r="E15" t="e">
        <f ca="1">IF(B15&lt;&gt;"",RANK_AVG(B15,$A$6:$B$17,1),"")</f>
        <v>#NAME?</v>
      </c>
      <c r="N15" s="164"/>
      <c r="O15" s="164"/>
      <c r="P15" s="164"/>
      <c r="Q15" s="164"/>
      <c r="R15" s="164"/>
      <c r="S15" s="164"/>
      <c r="T15" s="164"/>
      <c r="U15" s="164"/>
      <c r="V15" s="164"/>
      <c r="W15" s="164"/>
    </row>
    <row r="16" spans="1:27" ht="15" thickBot="1" x14ac:dyDescent="0.4">
      <c r="A16">
        <v>26</v>
      </c>
      <c r="B16">
        <v>10</v>
      </c>
      <c r="D16" t="e">
        <f ca="1">IF(A16&lt;&gt;"",RANK_AVG(A16,$A$6:$B$17,1),"")</f>
        <v>#NAME?</v>
      </c>
      <c r="E16" t="e">
        <f ca="1">IF(B16&lt;&gt;"",RANK_AVG(B16,$A$6:$B$17,1),"")</f>
        <v>#NAME?</v>
      </c>
      <c r="N16" t="s">
        <v>63</v>
      </c>
      <c r="R16" t="s">
        <v>30</v>
      </c>
      <c r="S16">
        <f>S11</f>
        <v>0.05</v>
      </c>
    </row>
    <row r="17" spans="1:23" ht="15" thickTop="1" x14ac:dyDescent="0.35">
      <c r="A17" s="102">
        <v>31</v>
      </c>
      <c r="B17" s="102"/>
      <c r="D17" s="102" t="e">
        <f ca="1">IF(A17&lt;&gt;"",RANK_AVG(A17,$A$6:$B$17,1),"")</f>
        <v>#NAME?</v>
      </c>
      <c r="E17" s="102" t="str">
        <f>IF(B17&lt;&gt;"",RANK_AVG(B17,$A$6:$B$17,1),"")</f>
        <v/>
      </c>
      <c r="N17" s="110" t="s">
        <v>47</v>
      </c>
      <c r="O17" s="110" t="s">
        <v>110</v>
      </c>
      <c r="P17" s="110" t="s">
        <v>69</v>
      </c>
      <c r="Q17" s="110" t="s">
        <v>44</v>
      </c>
      <c r="R17" s="110" t="s">
        <v>48</v>
      </c>
      <c r="S17" s="110" t="s">
        <v>49</v>
      </c>
      <c r="T17" s="110" t="s">
        <v>24</v>
      </c>
      <c r="U17" s="110" t="s">
        <v>25</v>
      </c>
      <c r="V17" s="110" t="s">
        <v>104</v>
      </c>
      <c r="W17" s="110" t="s">
        <v>111</v>
      </c>
    </row>
    <row r="18" spans="1:23" x14ac:dyDescent="0.35">
      <c r="A18">
        <f>AVERAGE(A6:A17)</f>
        <v>17</v>
      </c>
      <c r="B18">
        <f>AVERAGE(B6:B17)</f>
        <v>23.90909090909091</v>
      </c>
      <c r="D18" t="e">
        <f ca="1">SUM(D6:D17)</f>
        <v>#NAME?</v>
      </c>
      <c r="E18" t="e">
        <f ca="1">SUM(E6:E17)</f>
        <v>#NAME?</v>
      </c>
      <c r="N18" t="s">
        <v>50</v>
      </c>
      <c r="O18">
        <f>SQRT(Q7/O7+Q8/O8)</f>
        <v>3.776212337028344</v>
      </c>
      <c r="P18">
        <f>(ABS(P7-P8-R5))/O18</f>
        <v>1.8296351720856767</v>
      </c>
      <c r="Q18">
        <f>(Q7/O7+Q8/O8)^2/((Q7/O7)^2/(O7-1)+(Q8/O8)^2/(O8-1))</f>
        <v>20.783435398688827</v>
      </c>
      <c r="R18">
        <f>TTEST(A6:A17,B6:B17,1,3)</f>
        <v>4.0843926219351213E-2</v>
      </c>
      <c r="S18">
        <f>TINV(S16*2,ROUND(Q18,0))</f>
        <v>1.7207429028118781</v>
      </c>
      <c r="V18" s="191" t="str">
        <f>IF(R18&lt;S16,"yes","no")</f>
        <v>yes</v>
      </c>
      <c r="W18">
        <f>SQRT(P18^2/(P18^2+Q18))</f>
        <v>0.37245759802708889</v>
      </c>
    </row>
    <row r="19" spans="1:23" x14ac:dyDescent="0.35">
      <c r="N19" t="s">
        <v>51</v>
      </c>
      <c r="O19">
        <f>O18</f>
        <v>3.776212337028344</v>
      </c>
      <c r="P19">
        <f>P18</f>
        <v>1.8296351720856767</v>
      </c>
      <c r="Q19">
        <f>Q18</f>
        <v>20.783435398688827</v>
      </c>
      <c r="R19">
        <f>TTEST(A6:A17,B6:B17,2,3)</f>
        <v>8.1687852438702427E-2</v>
      </c>
      <c r="S19">
        <f>TINV(S16,ROUND(Q19,0))</f>
        <v>2.07961384472768</v>
      </c>
      <c r="T19">
        <f>(P7-P8)-S19*O19</f>
        <v>-14.762154365806522</v>
      </c>
      <c r="U19">
        <f>(P7-P8)+S19*O19</f>
        <v>0.94397254762470162</v>
      </c>
      <c r="V19" s="191" t="str">
        <f>IF(R19&lt;S16,"yes","no")</f>
        <v>no</v>
      </c>
      <c r="W19">
        <f>W18</f>
        <v>0.37245759802708889</v>
      </c>
    </row>
    <row r="20" spans="1:23" x14ac:dyDescent="0.35">
      <c r="N20" s="164"/>
      <c r="O20" s="164"/>
      <c r="P20" s="164"/>
      <c r="Q20" s="164"/>
      <c r="R20" s="164"/>
      <c r="S20" s="164"/>
      <c r="T20" s="164"/>
      <c r="U20" s="164"/>
      <c r="V20" s="164"/>
      <c r="W20" s="16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92"/>
  <dimension ref="A1:P19"/>
  <sheetViews>
    <sheetView workbookViewId="0"/>
  </sheetViews>
  <sheetFormatPr defaultRowHeight="14.5" x14ac:dyDescent="0.35"/>
  <cols>
    <col min="3" max="3" width="4.453125" customWidth="1"/>
  </cols>
  <sheetData>
    <row r="1" spans="1:16" x14ac:dyDescent="0.35">
      <c r="A1" s="1" t="s">
        <v>130</v>
      </c>
    </row>
    <row r="3" spans="1:16" x14ac:dyDescent="0.35">
      <c r="A3" s="34" t="s">
        <v>120</v>
      </c>
      <c r="D3" t="s">
        <v>175</v>
      </c>
      <c r="J3" t="s">
        <v>175</v>
      </c>
    </row>
    <row r="5" spans="1:16" x14ac:dyDescent="0.35">
      <c r="A5" s="177" t="s">
        <v>64</v>
      </c>
      <c r="B5" s="177" t="s">
        <v>65</v>
      </c>
      <c r="E5" t="str">
        <f>A5</f>
        <v>Control</v>
      </c>
      <c r="F5" t="str">
        <f>B5</f>
        <v>Drug</v>
      </c>
      <c r="K5" t="str">
        <f>A5</f>
        <v>Control</v>
      </c>
      <c r="L5" t="str">
        <f>B5</f>
        <v>Drug</v>
      </c>
    </row>
    <row r="6" spans="1:16" x14ac:dyDescent="0.35">
      <c r="A6">
        <v>11</v>
      </c>
      <c r="B6">
        <v>34</v>
      </c>
      <c r="D6" t="s">
        <v>100</v>
      </c>
      <c r="E6" s="170">
        <f>COUNT(A6:A17)</f>
        <v>12</v>
      </c>
      <c r="F6" s="169">
        <f>COUNT(B6:B17)</f>
        <v>11</v>
      </c>
      <c r="J6" t="s">
        <v>100</v>
      </c>
      <c r="K6" s="170">
        <f>COUNT(A6:A17)</f>
        <v>12</v>
      </c>
      <c r="L6" s="169">
        <f>COUNT(B6:B17)</f>
        <v>11</v>
      </c>
    </row>
    <row r="7" spans="1:16" x14ac:dyDescent="0.35">
      <c r="A7">
        <v>15</v>
      </c>
      <c r="B7">
        <v>31</v>
      </c>
      <c r="D7" t="s">
        <v>106</v>
      </c>
      <c r="E7" s="57">
        <f>MEDIAN(A6:A17)</f>
        <v>14.5</v>
      </c>
      <c r="F7" s="37">
        <f>MEDIAN(B6:B17)</f>
        <v>28</v>
      </c>
      <c r="J7" t="s">
        <v>106</v>
      </c>
      <c r="K7" s="57">
        <f>MEDIAN(A6:A17)</f>
        <v>14.5</v>
      </c>
      <c r="L7" s="37">
        <f>MEDIAN(B6:B17)</f>
        <v>28</v>
      </c>
    </row>
    <row r="8" spans="1:16" x14ac:dyDescent="0.35">
      <c r="A8">
        <v>9</v>
      </c>
      <c r="B8">
        <v>35</v>
      </c>
      <c r="D8" t="s">
        <v>123</v>
      </c>
      <c r="E8" s="57" t="e">
        <f ca="1">RANK_SUM(A6:A17,B6:B17,1)</f>
        <v>#NAME?</v>
      </c>
      <c r="F8" s="37" t="e">
        <f ca="1">RANK_SUM(B6:B17,A6:A17,1)</f>
        <v>#NAME?</v>
      </c>
      <c r="J8" t="s">
        <v>123</v>
      </c>
      <c r="K8" s="57" t="e">
        <f ca="1">RANK_SUM(A6:A17,B6:B17,1)</f>
        <v>#NAME?</v>
      </c>
      <c r="L8" s="37" t="e">
        <f ca="1">RANK_SUM(B6:B17,A6:A17,1)</f>
        <v>#NAME?</v>
      </c>
    </row>
    <row r="9" spans="1:16" x14ac:dyDescent="0.35">
      <c r="A9">
        <v>4</v>
      </c>
      <c r="B9">
        <v>29</v>
      </c>
      <c r="D9" t="s">
        <v>131</v>
      </c>
      <c r="E9" s="104" t="e">
        <f ca="1">E6*F6+E6*(E6+1)/2-E8</f>
        <v>#NAME?</v>
      </c>
      <c r="F9" s="105" t="e">
        <f ca="1">E6*F6+F6*(F6+1)/2-F8</f>
        <v>#NAME?</v>
      </c>
      <c r="J9" t="s">
        <v>131</v>
      </c>
      <c r="K9" s="104" t="e">
        <f ca="1">K6*L6+K6*(K6+1)/2-K8</f>
        <v>#NAME?</v>
      </c>
      <c r="L9" s="105" t="e">
        <f ca="1">K6*L6+L6*(L6+1)/2-L8</f>
        <v>#NAME?</v>
      </c>
    </row>
    <row r="10" spans="1:16" x14ac:dyDescent="0.35">
      <c r="A10">
        <v>34</v>
      </c>
      <c r="B10">
        <v>28</v>
      </c>
      <c r="O10" t="e">
        <f t="array" aca="1" ref="O10:P15" ca="1">MW_TEST(A6:A17,B6:B17,TRUE)</f>
        <v>#NAME?</v>
      </c>
      <c r="P10" s="173" t="e">
        <f ca="1"/>
        <v>#NAME?</v>
      </c>
    </row>
    <row r="11" spans="1:16" x14ac:dyDescent="0.35">
      <c r="A11">
        <v>17</v>
      </c>
      <c r="B11">
        <v>12</v>
      </c>
      <c r="E11" s="191" t="s">
        <v>182</v>
      </c>
      <c r="F11" s="191" t="s">
        <v>183</v>
      </c>
      <c r="K11" s="191" t="s">
        <v>182</v>
      </c>
      <c r="L11" s="191" t="s">
        <v>183</v>
      </c>
      <c r="O11" t="e">
        <f ca="1"/>
        <v>#NAME?</v>
      </c>
      <c r="P11" s="58" t="e">
        <f ca="1"/>
        <v>#NAME?</v>
      </c>
    </row>
    <row r="12" spans="1:16" x14ac:dyDescent="0.35">
      <c r="A12">
        <v>18</v>
      </c>
      <c r="B12">
        <v>18</v>
      </c>
      <c r="D12" t="s">
        <v>131</v>
      </c>
      <c r="E12" s="168" t="e">
        <f ca="1">MIN(E9,F9)</f>
        <v>#NAME?</v>
      </c>
      <c r="J12" t="s">
        <v>131</v>
      </c>
      <c r="K12" s="168" t="e">
        <f ca="1">MIN(K9,L9)</f>
        <v>#NAME?</v>
      </c>
      <c r="O12" t="e">
        <f ca="1"/>
        <v>#NAME?</v>
      </c>
      <c r="P12" s="58" t="e">
        <f ca="1"/>
        <v>#NAME?</v>
      </c>
    </row>
    <row r="13" spans="1:16" x14ac:dyDescent="0.35">
      <c r="A13">
        <v>14</v>
      </c>
      <c r="B13">
        <v>30</v>
      </c>
      <c r="D13" t="s">
        <v>2</v>
      </c>
      <c r="E13" s="101">
        <f>E6*F6/2</f>
        <v>66</v>
      </c>
      <c r="J13" t="s">
        <v>2</v>
      </c>
      <c r="K13" s="101">
        <f>K6*L6/2</f>
        <v>66</v>
      </c>
      <c r="O13" t="e">
        <f ca="1"/>
        <v>#NAME?</v>
      </c>
      <c r="P13" s="58" t="e">
        <f ca="1"/>
        <v>#NAME?</v>
      </c>
    </row>
    <row r="14" spans="1:16" x14ac:dyDescent="0.35">
      <c r="A14">
        <v>12</v>
      </c>
      <c r="B14">
        <v>14</v>
      </c>
      <c r="D14" t="s">
        <v>56</v>
      </c>
      <c r="E14" s="101">
        <f>SQRT(E13*(E6+F6+1)/6)</f>
        <v>16.248076809271922</v>
      </c>
      <c r="J14" t="s">
        <v>56</v>
      </c>
      <c r="K14" s="101" t="e">
        <f ca="1">SQRT(K13*(K6+L6+1)/6*(1-TiesCorrection(A6:A17,B6:B17,2)/((K6+L6)^3-K6-L6)))</f>
        <v>#NAME?</v>
      </c>
      <c r="L14" t="s">
        <v>246</v>
      </c>
      <c r="O14" t="e">
        <f ca="1"/>
        <v>#NAME?</v>
      </c>
      <c r="P14" s="58" t="e">
        <f ca="1"/>
        <v>#NAME?</v>
      </c>
    </row>
    <row r="15" spans="1:16" x14ac:dyDescent="0.35">
      <c r="A15">
        <v>13</v>
      </c>
      <c r="B15">
        <v>22</v>
      </c>
      <c r="D15" t="s">
        <v>115</v>
      </c>
      <c r="E15" s="101" t="e">
        <f ca="1">ABS(ABS(E12-E13)-1/2)/E14</f>
        <v>#NAME?</v>
      </c>
      <c r="F15" t="s">
        <v>273</v>
      </c>
      <c r="J15" t="s">
        <v>115</v>
      </c>
      <c r="K15" s="101" t="e">
        <f ca="1">ABS(ABS(K12-K13)-1/2)/K14</f>
        <v>#NAME?</v>
      </c>
      <c r="L15" t="s">
        <v>273</v>
      </c>
      <c r="O15" t="e">
        <f ca="1"/>
        <v>#NAME?</v>
      </c>
      <c r="P15" s="50" t="e">
        <f ca="1"/>
        <v>#NAME?</v>
      </c>
    </row>
    <row r="16" spans="1:16" x14ac:dyDescent="0.35">
      <c r="A16">
        <v>26</v>
      </c>
      <c r="B16">
        <v>10</v>
      </c>
      <c r="D16" t="s">
        <v>111</v>
      </c>
      <c r="E16" s="101" t="e">
        <f ca="1">E15/SQRT(E6+F6)</f>
        <v>#NAME?</v>
      </c>
      <c r="J16" t="s">
        <v>111</v>
      </c>
      <c r="K16" s="101" t="e">
        <f ca="1">K15/SQRT(K6+L6)</f>
        <v>#NAME?</v>
      </c>
    </row>
    <row r="17" spans="1:12" x14ac:dyDescent="0.35">
      <c r="A17" s="102">
        <v>31</v>
      </c>
      <c r="B17" s="102"/>
      <c r="D17" t="s">
        <v>274</v>
      </c>
      <c r="E17" s="168" t="e">
        <f ca="1">1-NORMSDIST(E15)</f>
        <v>#NAME?</v>
      </c>
      <c r="F17" s="169" t="e">
        <f ca="1">2*E17</f>
        <v>#NAME?</v>
      </c>
      <c r="J17" t="s">
        <v>274</v>
      </c>
      <c r="K17" s="168" t="e">
        <f ca="1">1-NORMSDIST(K15)</f>
        <v>#NAME?</v>
      </c>
      <c r="L17" s="169" t="e">
        <f ca="1">2*K17</f>
        <v>#NAME?</v>
      </c>
    </row>
    <row r="18" spans="1:12" x14ac:dyDescent="0.35">
      <c r="A18">
        <f>AVERAGE(A6:A17)</f>
        <v>17</v>
      </c>
      <c r="B18">
        <f>AVERAGE(B6:B17)</f>
        <v>23.90909090909091</v>
      </c>
      <c r="D18" t="s">
        <v>275</v>
      </c>
      <c r="E18" s="101" t="e">
        <f ca="1">MWDIST(E12,E6,F6,1)</f>
        <v>#NAME?</v>
      </c>
      <c r="F18" s="37" t="e">
        <f ca="1">2*E18</f>
        <v>#NAME?</v>
      </c>
      <c r="J18" t="s">
        <v>275</v>
      </c>
      <c r="K18" s="101" t="e">
        <f ca="1">MWDIST(K12,K6,L6,1)</f>
        <v>#NAME?</v>
      </c>
      <c r="L18" s="37" t="e">
        <f ca="1">2*K18</f>
        <v>#NAME?</v>
      </c>
    </row>
    <row r="19" spans="1:12" x14ac:dyDescent="0.35">
      <c r="D19" t="s">
        <v>276</v>
      </c>
      <c r="E19" s="103" t="e">
        <f t="array" aca="1" ref="E19:F19" ca="1">TRANSPOSE(SUBMATRIX(MW_SIMUL(A6:A17,B6:B17,TRUE,10000),3,2,2,1))</f>
        <v>#NAME?</v>
      </c>
      <c r="F19" s="105" t="e">
        <f ca="1"/>
        <v>#NAME?</v>
      </c>
      <c r="J19" t="s">
        <v>276</v>
      </c>
      <c r="K19" s="103" t="e">
        <f t="array" aca="1" ref="K19:L19" ca="1">TRANSPOSE(SUBMATRIX(MW_SIMUL(A6:A17,B6:B17,TRUE,10000),3,2,2,1))</f>
        <v>#NAME?</v>
      </c>
      <c r="L19" s="105" t="e">
        <f ca="1"/>
        <v>#NAME?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94"/>
  <dimension ref="A1:AX21"/>
  <sheetViews>
    <sheetView workbookViewId="0"/>
  </sheetViews>
  <sheetFormatPr defaultRowHeight="14.5" x14ac:dyDescent="0.35"/>
  <cols>
    <col min="1" max="17" width="5.1796875" customWidth="1"/>
    <col min="18" max="18" width="6.453125" customWidth="1"/>
    <col min="20" max="21" width="9.1796875" customWidth="1"/>
    <col min="22" max="22" width="3.7265625" customWidth="1"/>
    <col min="23" max="23" width="28.81640625" customWidth="1"/>
    <col min="25" max="25" width="9.1796875" customWidth="1"/>
    <col min="26" max="26" width="2.81640625" customWidth="1"/>
    <col min="27" max="27" width="36.54296875" customWidth="1"/>
    <col min="29" max="29" width="13" customWidth="1"/>
  </cols>
  <sheetData>
    <row r="1" spans="1:50" x14ac:dyDescent="0.35">
      <c r="A1" s="35" t="s">
        <v>130</v>
      </c>
    </row>
    <row r="3" spans="1:50" x14ac:dyDescent="0.35">
      <c r="A3" s="15" t="s">
        <v>31</v>
      </c>
      <c r="J3" t="s">
        <v>127</v>
      </c>
      <c r="S3" t="s">
        <v>129</v>
      </c>
      <c r="AC3" t="s">
        <v>57</v>
      </c>
      <c r="AN3" t="s">
        <v>175</v>
      </c>
      <c r="AT3" t="s">
        <v>277</v>
      </c>
      <c r="AW3" t="s">
        <v>215</v>
      </c>
    </row>
    <row r="5" spans="1:50" ht="15" thickBot="1" x14ac:dyDescent="0.4">
      <c r="A5" t="s">
        <v>125</v>
      </c>
      <c r="E5" t="s">
        <v>126</v>
      </c>
      <c r="J5" t="s">
        <v>125</v>
      </c>
      <c r="N5" t="s">
        <v>126</v>
      </c>
      <c r="T5" s="12" t="s">
        <v>243</v>
      </c>
      <c r="U5" s="12" t="s">
        <v>126</v>
      </c>
      <c r="AC5" t="s">
        <v>45</v>
      </c>
      <c r="AF5" t="s">
        <v>58</v>
      </c>
      <c r="AG5">
        <v>0</v>
      </c>
      <c r="AO5" t="s">
        <v>21</v>
      </c>
      <c r="AP5" t="s">
        <v>22</v>
      </c>
      <c r="AT5" t="e">
        <f t="array" aca="1" ref="AT5:AU10" ca="1">MW_TEST(A6:D15,E6:H15,TRUE,1)</f>
        <v>#NAME?</v>
      </c>
      <c r="AU5" s="156" t="e">
        <f ca="1"/>
        <v>#NAME?</v>
      </c>
      <c r="AW5" t="e">
        <f t="array" aca="1" ref="AW5:AX10" ca="1">MW_TEST(A6:D15,E6:H15,TRUE,1,0.05,FALSE)</f>
        <v>#NAME?</v>
      </c>
      <c r="AX5" s="156" t="e">
        <f ca="1"/>
        <v>#NAME?</v>
      </c>
    </row>
    <row r="6" spans="1:50" ht="15" thickTop="1" x14ac:dyDescent="0.35">
      <c r="A6" s="172">
        <v>81</v>
      </c>
      <c r="B6" s="164">
        <v>62</v>
      </c>
      <c r="C6" s="164">
        <v>90</v>
      </c>
      <c r="D6" s="164">
        <v>79</v>
      </c>
      <c r="E6" s="172">
        <v>72</v>
      </c>
      <c r="F6" s="164">
        <v>86</v>
      </c>
      <c r="G6" s="164">
        <v>77</v>
      </c>
      <c r="H6" s="163">
        <v>66</v>
      </c>
      <c r="J6" s="172" t="e">
        <f ca="1">IF(A6&lt;&gt;"",RANK_AVG(A6,$A$6:$H$15,1),"")</f>
        <v>#NAME?</v>
      </c>
      <c r="K6" s="164" t="e">
        <f ca="1">IF(B6&lt;&gt;"",RANK_AVG(B6,$A$6:$H$15,1),"")</f>
        <v>#NAME?</v>
      </c>
      <c r="L6" s="164" t="e">
        <f ca="1">IF(C6&lt;&gt;"",RANK_AVG(C6,$A$6:$H$15,1),"")</f>
        <v>#NAME?</v>
      </c>
      <c r="M6" s="164" t="e">
        <f ca="1">IF(D6&lt;&gt;"",RANK_AVG(D6,$A$6:$H$15,1),"")</f>
        <v>#NAME?</v>
      </c>
      <c r="N6" s="172" t="e">
        <f ca="1">IF(E6&lt;&gt;"",RANK_AVG(E6,$A$6:$H$15,1),"")</f>
        <v>#NAME?</v>
      </c>
      <c r="O6" s="164" t="e">
        <f ca="1">IF(F6&lt;&gt;"",RANK_AVG(F6,$A$6:$H$15,1),"")</f>
        <v>#NAME?</v>
      </c>
      <c r="P6" s="164" t="e">
        <f ca="1">IF(G6&lt;&gt;"",RANK_AVG(G6,$A$6:$H$15,1),"")</f>
        <v>#NAME?</v>
      </c>
      <c r="Q6" s="163" t="e">
        <f ca="1">IF(H6&lt;&gt;"",RANK_AVG(H6,$A$6:$H$15,1),"")</f>
        <v>#NAME?</v>
      </c>
      <c r="S6" t="s">
        <v>100</v>
      </c>
      <c r="T6" s="172">
        <f>COUNT(A6:D15)</f>
        <v>40</v>
      </c>
      <c r="U6" s="163">
        <f>COUNT(E6:H15)</f>
        <v>38</v>
      </c>
      <c r="W6" t="e">
        <f ca="1">FTEXT(T6)</f>
        <v>#NAME?</v>
      </c>
      <c r="AC6" s="110" t="s">
        <v>59</v>
      </c>
      <c r="AD6" s="110" t="s">
        <v>15</v>
      </c>
      <c r="AE6" s="110" t="s">
        <v>3</v>
      </c>
      <c r="AF6" s="110" t="s">
        <v>60</v>
      </c>
      <c r="AG6" s="110" t="s">
        <v>46</v>
      </c>
      <c r="AN6" t="s">
        <v>100</v>
      </c>
      <c r="AO6" s="170">
        <f>COUNT(A6:D15)</f>
        <v>40</v>
      </c>
      <c r="AP6" s="169">
        <f>COUNT(E6:H15)</f>
        <v>38</v>
      </c>
      <c r="AT6" t="e">
        <f ca="1"/>
        <v>#NAME?</v>
      </c>
      <c r="AU6" s="58" t="e">
        <f ca="1"/>
        <v>#NAME?</v>
      </c>
      <c r="AW6" t="e">
        <f ca="1"/>
        <v>#NAME?</v>
      </c>
      <c r="AX6" s="58" t="e">
        <f ca="1"/>
        <v>#NAME?</v>
      </c>
    </row>
    <row r="7" spans="1:50" x14ac:dyDescent="0.35">
      <c r="A7" s="59">
        <v>65</v>
      </c>
      <c r="B7" s="7">
        <v>86</v>
      </c>
      <c r="C7" s="7">
        <v>88</v>
      </c>
      <c r="D7" s="7">
        <v>72</v>
      </c>
      <c r="E7" s="59">
        <v>80</v>
      </c>
      <c r="F7" s="7">
        <v>35</v>
      </c>
      <c r="G7" s="7">
        <v>87</v>
      </c>
      <c r="H7" s="60">
        <v>79</v>
      </c>
      <c r="J7" s="59" t="e">
        <f ca="1">IF(A7&lt;&gt;"",RANK_AVG(A7,$A$6:$H$15,1),"")</f>
        <v>#NAME?</v>
      </c>
      <c r="K7" s="7" t="e">
        <f ca="1">IF(B7&lt;&gt;"",RANK_AVG(B7,$A$6:$H$15,1),"")</f>
        <v>#NAME?</v>
      </c>
      <c r="L7" s="7" t="e">
        <f ca="1">IF(C7&lt;&gt;"",RANK_AVG(C7,$A$6:$H$15,1),"")</f>
        <v>#NAME?</v>
      </c>
      <c r="M7" s="7" t="e">
        <f ca="1">IF(D7&lt;&gt;"",RANK_AVG(D7,$A$6:$H$15,1),"")</f>
        <v>#NAME?</v>
      </c>
      <c r="N7" s="59" t="e">
        <f ca="1">IF(E7&lt;&gt;"",RANK_AVG(E7,$A$6:$H$15,1),"")</f>
        <v>#NAME?</v>
      </c>
      <c r="O7" s="7" t="e">
        <f ca="1">IF(F7&lt;&gt;"",RANK_AVG(F7,$A$6:$H$15,1),"")</f>
        <v>#NAME?</v>
      </c>
      <c r="P7" s="7" t="e">
        <f ca="1">IF(G7&lt;&gt;"",RANK_AVG(G7,$A$6:$H$15,1),"")</f>
        <v>#NAME?</v>
      </c>
      <c r="Q7" s="60" t="e">
        <f ca="1">IF(H7&lt;&gt;"",RANK_AVG(H7,$A$6:$H$15,1),"")</f>
        <v>#NAME?</v>
      </c>
      <c r="S7" t="s">
        <v>106</v>
      </c>
      <c r="T7" s="59">
        <f>MEDIAN(A6:D15)</f>
        <v>76.5</v>
      </c>
      <c r="U7" s="60">
        <f>MEDIAN(E6:H15)</f>
        <v>70.5</v>
      </c>
      <c r="W7" t="e">
        <f ca="1">FTEXT(T7)</f>
        <v>#NAME?</v>
      </c>
      <c r="AC7" t="str">
        <f>A5</f>
        <v>Non-smokers</v>
      </c>
      <c r="AD7">
        <f>COUNT(A6:D15)</f>
        <v>40</v>
      </c>
      <c r="AE7">
        <f>AVERAGE(A6:D15)</f>
        <v>77.674999999999997</v>
      </c>
      <c r="AF7">
        <f>VAR(A6:D15)</f>
        <v>133.35320512820499</v>
      </c>
      <c r="AN7" t="s">
        <v>106</v>
      </c>
      <c r="AO7" s="57">
        <f>MEDIAN(A6:D15)</f>
        <v>76.5</v>
      </c>
      <c r="AP7" s="37">
        <f>MEDIAN(E6:H15)</f>
        <v>70.5</v>
      </c>
      <c r="AT7" t="e">
        <f ca="1"/>
        <v>#NAME?</v>
      </c>
      <c r="AU7" s="58" t="e">
        <f ca="1"/>
        <v>#NAME?</v>
      </c>
      <c r="AW7" t="e">
        <f ca="1"/>
        <v>#NAME?</v>
      </c>
      <c r="AX7" s="58" t="e">
        <f ca="1"/>
        <v>#NAME?</v>
      </c>
    </row>
    <row r="8" spans="1:50" x14ac:dyDescent="0.35">
      <c r="A8" s="59">
        <v>89</v>
      </c>
      <c r="B8" s="7">
        <v>89</v>
      </c>
      <c r="C8" s="7">
        <v>74</v>
      </c>
      <c r="D8" s="7">
        <v>92</v>
      </c>
      <c r="E8" s="59">
        <v>63</v>
      </c>
      <c r="F8" s="7">
        <v>78</v>
      </c>
      <c r="G8" s="7">
        <v>77</v>
      </c>
      <c r="H8" s="60">
        <v>67</v>
      </c>
      <c r="J8" s="59" t="e">
        <f ca="1">IF(A8&lt;&gt;"",RANK_AVG(A8,$A$6:$H$15,1),"")</f>
        <v>#NAME?</v>
      </c>
      <c r="K8" s="7" t="e">
        <f ca="1">IF(B8&lt;&gt;"",RANK_AVG(B8,$A$6:$H$15,1),"")</f>
        <v>#NAME?</v>
      </c>
      <c r="L8" s="7" t="e">
        <f ca="1">IF(C8&lt;&gt;"",RANK_AVG(C8,$A$6:$H$15,1),"")</f>
        <v>#NAME?</v>
      </c>
      <c r="M8" s="7" t="e">
        <f ca="1">IF(D8&lt;&gt;"",RANK_AVG(D8,$A$6:$H$15,1),"")</f>
        <v>#NAME?</v>
      </c>
      <c r="N8" s="59" t="e">
        <f ca="1">IF(E8&lt;&gt;"",RANK_AVG(E8,$A$6:$H$15,1),"")</f>
        <v>#NAME?</v>
      </c>
      <c r="O8" s="7" t="e">
        <f ca="1">IF(F8&lt;&gt;"",RANK_AVG(F8,$A$6:$H$15,1),"")</f>
        <v>#NAME?</v>
      </c>
      <c r="P8" s="7" t="e">
        <f ca="1">IF(G8&lt;&gt;"",RANK_AVG(G8,$A$6:$H$15,1),"")</f>
        <v>#NAME?</v>
      </c>
      <c r="Q8" s="60" t="e">
        <f ca="1">IF(H8&lt;&gt;"",RANK_AVG(H8,$A$6:$H$15,1),"")</f>
        <v>#NAME?</v>
      </c>
      <c r="S8" t="s">
        <v>123</v>
      </c>
      <c r="T8" s="59" t="e">
        <f ca="1">SUM(J6:M15)</f>
        <v>#NAME?</v>
      </c>
      <c r="U8" s="60" t="e">
        <f ca="1">SUM(N6:Q15)</f>
        <v>#NAME?</v>
      </c>
      <c r="W8" t="e">
        <f ca="1">FTEXT(T8)</f>
        <v>#NAME?</v>
      </c>
      <c r="AA8" t="str">
        <f>IF(H15&lt;&gt;"",RANK_AVG(H15,$A$6:$H$15,1),"")</f>
        <v/>
      </c>
      <c r="AC8" t="str">
        <f>E5</f>
        <v>Smokers</v>
      </c>
      <c r="AD8">
        <f>COUNT(E6:H15)</f>
        <v>38</v>
      </c>
      <c r="AE8">
        <f>AVERAGE(E6:H15)</f>
        <v>69.44736842105263</v>
      </c>
      <c r="AF8">
        <f>VAR(E6:H15)</f>
        <v>161.65931721194883</v>
      </c>
      <c r="AN8" t="s">
        <v>123</v>
      </c>
      <c r="AO8" s="57" t="e">
        <f ca="1">RANK_SUM(A6:D15,E6:H15,1)</f>
        <v>#NAME?</v>
      </c>
      <c r="AP8" s="37" t="e">
        <f ca="1">RANK_SUM(E6:H15,A6:D15,1)</f>
        <v>#NAME?</v>
      </c>
      <c r="AT8" t="e">
        <f ca="1"/>
        <v>#NAME?</v>
      </c>
      <c r="AU8" s="58" t="e">
        <f ca="1"/>
        <v>#NAME?</v>
      </c>
      <c r="AW8" t="e">
        <f ca="1"/>
        <v>#NAME?</v>
      </c>
      <c r="AX8" s="58" t="e">
        <f ca="1"/>
        <v>#NAME?</v>
      </c>
    </row>
    <row r="9" spans="1:50" x14ac:dyDescent="0.35">
      <c r="A9" s="59">
        <v>70</v>
      </c>
      <c r="B9" s="7">
        <v>75</v>
      </c>
      <c r="C9" s="7">
        <v>88</v>
      </c>
      <c r="D9" s="7">
        <v>77</v>
      </c>
      <c r="E9" s="59">
        <v>67</v>
      </c>
      <c r="F9" s="7">
        <v>72</v>
      </c>
      <c r="G9" s="7">
        <v>65</v>
      </c>
      <c r="H9" s="60">
        <v>65</v>
      </c>
      <c r="J9" s="59" t="e">
        <f ca="1">IF(A9&lt;&gt;"",RANK_AVG(A9,$A$6:$H$15,1),"")</f>
        <v>#NAME?</v>
      </c>
      <c r="K9" s="7" t="e">
        <f ca="1">IF(B9&lt;&gt;"",RANK_AVG(B9,$A$6:$H$15,1),"")</f>
        <v>#NAME?</v>
      </c>
      <c r="L9" s="7" t="e">
        <f ca="1">IF(C9&lt;&gt;"",RANK_AVG(C9,$A$6:$H$15,1),"")</f>
        <v>#NAME?</v>
      </c>
      <c r="M9" s="7" t="e">
        <f ca="1">IF(D9&lt;&gt;"",RANK_AVG(D9,$A$6:$H$15,1),"")</f>
        <v>#NAME?</v>
      </c>
      <c r="N9" s="59" t="e">
        <f ca="1">IF(E9&lt;&gt;"",RANK_AVG(E9,$A$6:$H$15,1),"")</f>
        <v>#NAME?</v>
      </c>
      <c r="O9" s="7" t="e">
        <f ca="1">IF(F9&lt;&gt;"",RANK_AVG(F9,$A$6:$H$15,1),"")</f>
        <v>#NAME?</v>
      </c>
      <c r="P9" s="7" t="e">
        <f ca="1">IF(G9&lt;&gt;"",RANK_AVG(G9,$A$6:$H$15,1),"")</f>
        <v>#NAME?</v>
      </c>
      <c r="Q9" s="60" t="e">
        <f ca="1">IF(H9&lt;&gt;"",RANK_AVG(H9,$A$6:$H$15,1),"")</f>
        <v>#NAME?</v>
      </c>
      <c r="S9" t="s">
        <v>131</v>
      </c>
      <c r="T9" s="196" t="e">
        <f ca="1">T6*U6+T6*(T6+1)/2-T8</f>
        <v>#NAME?</v>
      </c>
      <c r="U9" s="197" t="e">
        <f ca="1">T6*U6+U6*(U6+1)/2-U8</f>
        <v>#NAME?</v>
      </c>
      <c r="W9" t="e">
        <f ca="1">FTEXT(T9)</f>
        <v>#NAME?</v>
      </c>
      <c r="Y9" s="88" t="e">
        <f ca="1">MANN(A6:D15,E6:H15)</f>
        <v>#NAME?</v>
      </c>
      <c r="AA9" s="14" t="s">
        <v>187</v>
      </c>
      <c r="AC9" s="164" t="s">
        <v>61</v>
      </c>
      <c r="AD9" s="164"/>
      <c r="AE9" s="164"/>
      <c r="AF9" s="164">
        <f>((AD7-1)*AF7+(AD8-1)*AF8)/(AD7+AD8-2)</f>
        <v>147.13381232686976</v>
      </c>
      <c r="AG9" s="164">
        <f>ABS(AE7-AE8-AG5)/SQRT(AF9)</f>
        <v>0.67829496363381436</v>
      </c>
      <c r="AN9" t="s">
        <v>131</v>
      </c>
      <c r="AO9" s="104" t="e">
        <f ca="1">AO6*AP6+AO6*(AO6+1)/2-AO8</f>
        <v>#NAME?</v>
      </c>
      <c r="AP9" s="105" t="e">
        <f ca="1">AO6*AP6+AP6*(AP6+1)/2-AP8</f>
        <v>#NAME?</v>
      </c>
      <c r="AT9" t="e">
        <f ca="1"/>
        <v>#NAME?</v>
      </c>
      <c r="AU9" s="58" t="e">
        <f ca="1"/>
        <v>#NAME?</v>
      </c>
      <c r="AW9" t="e">
        <f ca="1"/>
        <v>#NAME?</v>
      </c>
      <c r="AX9" s="58" t="e">
        <f ca="1"/>
        <v>#NAME?</v>
      </c>
    </row>
    <row r="10" spans="1:50" x14ac:dyDescent="0.35">
      <c r="A10" s="59">
        <v>87</v>
      </c>
      <c r="B10" s="7">
        <v>76</v>
      </c>
      <c r="C10" s="7">
        <v>90</v>
      </c>
      <c r="D10" s="7">
        <v>45</v>
      </c>
      <c r="E10" s="59">
        <v>69</v>
      </c>
      <c r="F10" s="7">
        <v>75</v>
      </c>
      <c r="G10" s="7">
        <v>90</v>
      </c>
      <c r="H10" s="60">
        <v>76</v>
      </c>
      <c r="J10" s="59" t="e">
        <f ca="1">IF(A10&lt;&gt;"",RANK_AVG(A10,$A$6:$H$15,1),"")</f>
        <v>#NAME?</v>
      </c>
      <c r="K10" s="7" t="e">
        <f ca="1">IF(B10&lt;&gt;"",RANK_AVG(B10,$A$6:$H$15,1),"")</f>
        <v>#NAME?</v>
      </c>
      <c r="L10" s="7" t="e">
        <f ca="1">IF(C10&lt;&gt;"",RANK_AVG(C10,$A$6:$H$15,1),"")</f>
        <v>#NAME?</v>
      </c>
      <c r="M10" s="7" t="e">
        <f ca="1">IF(D10&lt;&gt;"",RANK_AVG(D10,$A$6:$H$15,1),"")</f>
        <v>#NAME?</v>
      </c>
      <c r="N10" s="59" t="e">
        <f ca="1">IF(E10&lt;&gt;"",RANK_AVG(E10,$A$6:$H$15,1),"")</f>
        <v>#NAME?</v>
      </c>
      <c r="O10" s="7" t="e">
        <f ca="1">IF(F10&lt;&gt;"",RANK_AVG(F10,$A$6:$H$15,1),"")</f>
        <v>#NAME?</v>
      </c>
      <c r="P10" s="7" t="e">
        <f ca="1">IF(G10&lt;&gt;"",RANK_AVG(G10,$A$6:$H$15,1),"")</f>
        <v>#NAME?</v>
      </c>
      <c r="Q10" s="60" t="e">
        <f ca="1">IF(H10&lt;&gt;"",RANK_AVG(H10,$A$6:$H$15,1),"")</f>
        <v>#NAME?</v>
      </c>
      <c r="W10" t="s">
        <v>150</v>
      </c>
      <c r="AT10" t="e">
        <f ca="1"/>
        <v>#NAME?</v>
      </c>
      <c r="AU10" s="50" t="e">
        <f ca="1"/>
        <v>#NAME?</v>
      </c>
      <c r="AW10" t="e">
        <f ca="1"/>
        <v>#NAME?</v>
      </c>
      <c r="AX10" s="50" t="e">
        <f ca="1"/>
        <v>#NAME?</v>
      </c>
    </row>
    <row r="11" spans="1:50" ht="15" thickBot="1" x14ac:dyDescent="0.4">
      <c r="A11" s="59">
        <v>61</v>
      </c>
      <c r="B11" s="7">
        <v>69</v>
      </c>
      <c r="C11" s="7">
        <v>87</v>
      </c>
      <c r="D11" s="7">
        <v>75</v>
      </c>
      <c r="E11" s="59">
        <v>62</v>
      </c>
      <c r="F11" s="7">
        <v>73</v>
      </c>
      <c r="G11" s="7">
        <v>55</v>
      </c>
      <c r="H11" s="60">
        <v>70</v>
      </c>
      <c r="J11" s="59" t="e">
        <f ca="1">IF(A11&lt;&gt;"",RANK_AVG(A11,$A$6:$H$15,1),"")</f>
        <v>#NAME?</v>
      </c>
      <c r="K11" s="7" t="e">
        <f ca="1">IF(B11&lt;&gt;"",RANK_AVG(B11,$A$6:$H$15,1),"")</f>
        <v>#NAME?</v>
      </c>
      <c r="L11" s="7" t="e">
        <f ca="1">IF(C11&lt;&gt;"",RANK_AVG(C11,$A$6:$H$15,1),"")</f>
        <v>#NAME?</v>
      </c>
      <c r="M11" s="7" t="e">
        <f ca="1">IF(D11&lt;&gt;"",RANK_AVG(D11,$A$6:$H$15,1),"")</f>
        <v>#NAME?</v>
      </c>
      <c r="N11" s="59" t="e">
        <f ca="1">IF(E11&lt;&gt;"",RANK_AVG(E11,$A$6:$H$15,1),"")</f>
        <v>#NAME?</v>
      </c>
      <c r="O11" s="7" t="e">
        <f ca="1">IF(F11&lt;&gt;"",RANK_AVG(F11,$A$6:$H$15,1),"")</f>
        <v>#NAME?</v>
      </c>
      <c r="P11" s="7" t="e">
        <f ca="1">IF(G11&lt;&gt;"",RANK_AVG(G11,$A$6:$H$15,1),"")</f>
        <v>#NAME?</v>
      </c>
      <c r="Q11" s="60" t="e">
        <f ca="1">IF(H11&lt;&gt;"",RANK_AVG(H11,$A$6:$H$15,1),"")</f>
        <v>#NAME?</v>
      </c>
      <c r="S11" s="38" t="s">
        <v>34</v>
      </c>
      <c r="T11" s="156">
        <v>0.05</v>
      </c>
      <c r="AC11" t="s">
        <v>62</v>
      </c>
      <c r="AG11" t="s">
        <v>30</v>
      </c>
      <c r="AH11">
        <v>0.05</v>
      </c>
      <c r="AO11" s="191" t="s">
        <v>182</v>
      </c>
      <c r="AP11" s="191" t="s">
        <v>183</v>
      </c>
      <c r="AU11" s="7"/>
      <c r="AX11" s="7"/>
    </row>
    <row r="12" spans="1:50" ht="15" thickTop="1" x14ac:dyDescent="0.35">
      <c r="A12" s="59">
        <v>94</v>
      </c>
      <c r="B12" s="7">
        <v>69</v>
      </c>
      <c r="C12" s="7">
        <v>95</v>
      </c>
      <c r="D12" s="7">
        <v>70</v>
      </c>
      <c r="E12" s="59">
        <v>67</v>
      </c>
      <c r="F12" s="7">
        <v>71</v>
      </c>
      <c r="G12" s="7">
        <v>69</v>
      </c>
      <c r="H12" s="60">
        <v>64</v>
      </c>
      <c r="J12" s="59" t="e">
        <f ca="1">IF(A12&lt;&gt;"",RANK_AVG(A12,$A$6:$H$15,1),"")</f>
        <v>#NAME?</v>
      </c>
      <c r="K12" s="7" t="e">
        <f ca="1">IF(B12&lt;&gt;"",RANK_AVG(B12,$A$6:$H$15,1),"")</f>
        <v>#NAME?</v>
      </c>
      <c r="L12" s="7" t="e">
        <f ca="1">IF(C12&lt;&gt;"",RANK_AVG(C12,$A$6:$H$15,1),"")</f>
        <v>#NAME?</v>
      </c>
      <c r="M12" s="7" t="e">
        <f ca="1">IF(D12&lt;&gt;"",RANK_AVG(D12,$A$6:$H$15,1),"")</f>
        <v>#NAME?</v>
      </c>
      <c r="N12" s="59" t="e">
        <f ca="1">IF(E12&lt;&gt;"",RANK_AVG(E12,$A$6:$H$15,1),"")</f>
        <v>#NAME?</v>
      </c>
      <c r="O12" s="7" t="e">
        <f ca="1">IF(F12&lt;&gt;"",RANK_AVG(F12,$A$6:$H$15,1),"")</f>
        <v>#NAME?</v>
      </c>
      <c r="P12" s="7" t="e">
        <f ca="1">IF(G12&lt;&gt;"",RANK_AVG(G12,$A$6:$H$15,1),"")</f>
        <v>#NAME?</v>
      </c>
      <c r="Q12" s="60" t="e">
        <f ca="1">IF(H12&lt;&gt;"",RANK_AVG(H12,$A$6:$H$15,1),"")</f>
        <v>#NAME?</v>
      </c>
      <c r="S12" s="38" t="s">
        <v>107</v>
      </c>
      <c r="T12" s="58">
        <v>1</v>
      </c>
      <c r="AC12" s="110" t="s">
        <v>47</v>
      </c>
      <c r="AD12" s="110" t="s">
        <v>110</v>
      </c>
      <c r="AE12" s="110" t="s">
        <v>69</v>
      </c>
      <c r="AF12" s="110" t="s">
        <v>44</v>
      </c>
      <c r="AG12" s="110" t="s">
        <v>48</v>
      </c>
      <c r="AH12" s="110" t="s">
        <v>49</v>
      </c>
      <c r="AI12" s="110" t="s">
        <v>24</v>
      </c>
      <c r="AJ12" s="110" t="s">
        <v>25</v>
      </c>
      <c r="AK12" s="110" t="s">
        <v>104</v>
      </c>
      <c r="AL12" s="110" t="s">
        <v>111</v>
      </c>
      <c r="AN12" t="s">
        <v>131</v>
      </c>
      <c r="AO12" s="168" t="e">
        <f ca="1">MIN(AO9,AP9)</f>
        <v>#NAME?</v>
      </c>
    </row>
    <row r="13" spans="1:50" x14ac:dyDescent="0.35">
      <c r="A13" s="59">
        <v>98</v>
      </c>
      <c r="B13" s="7">
        <v>61</v>
      </c>
      <c r="C13" s="7">
        <v>66</v>
      </c>
      <c r="D13" s="7">
        <v>91</v>
      </c>
      <c r="E13" s="59">
        <v>62</v>
      </c>
      <c r="F13" s="7">
        <v>78</v>
      </c>
      <c r="G13" s="7">
        <v>91</v>
      </c>
      <c r="H13" s="60">
        <v>64</v>
      </c>
      <c r="J13" s="59" t="e">
        <f ca="1">IF(A13&lt;&gt;"",RANK_AVG(A13,$A$6:$H$15,1),"")</f>
        <v>#NAME?</v>
      </c>
      <c r="K13" s="7" t="e">
        <f ca="1">IF(B13&lt;&gt;"",RANK_AVG(B13,$A$6:$H$15,1),"")</f>
        <v>#NAME?</v>
      </c>
      <c r="L13" s="7" t="e">
        <f ca="1">IF(C13&lt;&gt;"",RANK_AVG(C13,$A$6:$H$15,1),"")</f>
        <v>#NAME?</v>
      </c>
      <c r="M13" s="7" t="e">
        <f ca="1">IF(D13&lt;&gt;"",RANK_AVG(D13,$A$6:$H$15,1),"")</f>
        <v>#NAME?</v>
      </c>
      <c r="N13" s="59" t="e">
        <f ca="1">IF(E13&lt;&gt;"",RANK_AVG(E13,$A$6:$H$15,1),"")</f>
        <v>#NAME?</v>
      </c>
      <c r="O13" s="7" t="e">
        <f ca="1">IF(F13&lt;&gt;"",RANK_AVG(F13,$A$6:$H$15,1),"")</f>
        <v>#NAME?</v>
      </c>
      <c r="P13" s="7" t="e">
        <f ca="1">IF(G13&lt;&gt;"",RANK_AVG(G13,$A$6:$H$15,1),"")</f>
        <v>#NAME?</v>
      </c>
      <c r="Q13" s="60" t="e">
        <f ca="1">IF(H13&lt;&gt;"",RANK_AVG(H13,$A$6:$H$15,1),"")</f>
        <v>#NAME?</v>
      </c>
      <c r="S13" s="38" t="s">
        <v>131</v>
      </c>
      <c r="T13" s="58" t="e">
        <f ca="1">MIN(T9:U9)</f>
        <v>#NAME?</v>
      </c>
      <c r="W13" t="e">
        <f ca="1">FTEXT(T13)</f>
        <v>#NAME?</v>
      </c>
      <c r="AC13" t="s">
        <v>50</v>
      </c>
      <c r="AD13">
        <f>SQRT(AF9*(1/AD7+1/AD8))</f>
        <v>2.7477786915663733</v>
      </c>
      <c r="AE13">
        <f>(ABS(AE7-AE8-AG5))/AD13</f>
        <v>2.9942846577128086</v>
      </c>
      <c r="AF13">
        <f>AD7+AD8-2</f>
        <v>76</v>
      </c>
      <c r="AG13">
        <f>TDIST(AE13,AF13,1)</f>
        <v>1.855508793985649E-3</v>
      </c>
      <c r="AH13">
        <f>TINV(AH11*2,AF13)</f>
        <v>1.6651513534046942</v>
      </c>
      <c r="AK13" s="191" t="str">
        <f>IF(AG13&lt;AH11,"yes","no")</f>
        <v>yes</v>
      </c>
      <c r="AL13">
        <f>SQRT(AE13^2/(AE13^2+AF13))</f>
        <v>0.32484124131214032</v>
      </c>
      <c r="AN13" t="s">
        <v>2</v>
      </c>
      <c r="AO13" s="101">
        <f>AO6*AP6/2</f>
        <v>760</v>
      </c>
      <c r="AT13" t="s">
        <v>257</v>
      </c>
      <c r="AW13" t="s">
        <v>256</v>
      </c>
    </row>
    <row r="14" spans="1:50" x14ac:dyDescent="0.35">
      <c r="A14" s="59">
        <v>81</v>
      </c>
      <c r="B14" s="7">
        <v>72</v>
      </c>
      <c r="C14" s="7">
        <v>72</v>
      </c>
      <c r="D14" s="7">
        <v>73</v>
      </c>
      <c r="E14" s="59">
        <v>71</v>
      </c>
      <c r="F14" s="7">
        <v>80</v>
      </c>
      <c r="G14" s="7">
        <v>30</v>
      </c>
      <c r="H14" s="60"/>
      <c r="J14" s="59" t="e">
        <f ca="1">IF(A14&lt;&gt;"",RANK_AVG(A14,$A$6:$H$15,1),"")</f>
        <v>#NAME?</v>
      </c>
      <c r="K14" s="7" t="e">
        <f ca="1">IF(B14&lt;&gt;"",RANK_AVG(B14,$A$6:$H$15,1),"")</f>
        <v>#NAME?</v>
      </c>
      <c r="L14" s="7" t="e">
        <f ca="1">IF(C14&lt;&gt;"",RANK_AVG(C14,$A$6:$H$15,1),"")</f>
        <v>#NAME?</v>
      </c>
      <c r="M14" s="7" t="e">
        <f ca="1">IF(D14&lt;&gt;"",RANK_AVG(D14,$A$6:$H$15,1),"")</f>
        <v>#NAME?</v>
      </c>
      <c r="N14" s="59" t="e">
        <f ca="1">IF(E14&lt;&gt;"",RANK_AVG(E14,$A$6:$H$15,1),"")</f>
        <v>#NAME?</v>
      </c>
      <c r="O14" s="7" t="e">
        <f ca="1">IF(F14&lt;&gt;"",RANK_AVG(F14,$A$6:$H$15,1),"")</f>
        <v>#NAME?</v>
      </c>
      <c r="P14" s="7" t="e">
        <f ca="1">IF(G14&lt;&gt;"",RANK_AVG(G14,$A$6:$H$15,1),"")</f>
        <v>#NAME?</v>
      </c>
      <c r="Q14" s="60" t="str">
        <f>IF(H14&lt;&gt;"",RANK_AVG(H14,$A$6:$H$15,1),"")</f>
        <v/>
      </c>
      <c r="S14" s="23" t="s">
        <v>2</v>
      </c>
      <c r="T14" s="58">
        <f>T6*U6/2</f>
        <v>760</v>
      </c>
      <c r="W14" t="e">
        <f ca="1">FTEXT(T14)</f>
        <v>#NAME?</v>
      </c>
      <c r="AC14" t="s">
        <v>51</v>
      </c>
      <c r="AD14">
        <f>AD13</f>
        <v>2.7477786915663733</v>
      </c>
      <c r="AE14">
        <f>AE13</f>
        <v>2.9942846577128086</v>
      </c>
      <c r="AF14">
        <f>AF13</f>
        <v>76</v>
      </c>
      <c r="AG14">
        <f>TDIST(AE14,AF14,2)</f>
        <v>3.711017587971298E-3</v>
      </c>
      <c r="AH14">
        <f>TINV(AH11,AF14)</f>
        <v>1.991672609644662</v>
      </c>
      <c r="AI14">
        <f>(AE7-AE8)-AH14*AD14</f>
        <v>2.7549560215893738</v>
      </c>
      <c r="AJ14">
        <f>(AE7-AE8)+AH14*AD14</f>
        <v>13.70030713630536</v>
      </c>
      <c r="AK14" s="191" t="str">
        <f>IF(AG14&lt;AH11,"yes","no")</f>
        <v>yes</v>
      </c>
      <c r="AL14">
        <f>AL13</f>
        <v>0.32484124131214032</v>
      </c>
      <c r="AN14" t="s">
        <v>56</v>
      </c>
      <c r="AO14" s="101">
        <f>SQRT(AO13*(AO6+AP6+1)/6)</f>
        <v>100.03332777962885</v>
      </c>
    </row>
    <row r="15" spans="1:50" x14ac:dyDescent="0.35">
      <c r="A15" s="196">
        <v>70</v>
      </c>
      <c r="B15" s="102">
        <v>77</v>
      </c>
      <c r="C15" s="102">
        <v>84</v>
      </c>
      <c r="D15" s="102">
        <v>67</v>
      </c>
      <c r="E15" s="196">
        <v>70</v>
      </c>
      <c r="F15" s="102">
        <v>45</v>
      </c>
      <c r="G15" s="102">
        <v>71</v>
      </c>
      <c r="H15" s="197"/>
      <c r="J15" s="196" t="e">
        <f ca="1">IF(A15&lt;&gt;"",RANK_AVG(A15,$A$6:$H$15,1),"")</f>
        <v>#NAME?</v>
      </c>
      <c r="K15" s="102" t="e">
        <f ca="1">IF(B15&lt;&gt;"",RANK_AVG(B15,$A$6:$H$15,1),"")</f>
        <v>#NAME?</v>
      </c>
      <c r="L15" s="102" t="e">
        <f ca="1">IF(C15&lt;&gt;"",RANK_AVG(C15,$A$6:$H$15,1),"")</f>
        <v>#NAME?</v>
      </c>
      <c r="M15" s="102" t="e">
        <f ca="1">IF(D15&lt;&gt;"",RANK_AVG(D15,$A$6:$H$15,1),"")</f>
        <v>#NAME?</v>
      </c>
      <c r="N15" s="196" t="e">
        <f ca="1">IF(E15&lt;&gt;"",RANK_AVG(E15,$A$6:$H$15,1),"")</f>
        <v>#NAME?</v>
      </c>
      <c r="O15" s="102" t="e">
        <f ca="1">IF(F15&lt;&gt;"",RANK_AVG(F15,$A$6:$H$15,1),"")</f>
        <v>#NAME?</v>
      </c>
      <c r="P15" s="102" t="e">
        <f ca="1">IF(G15&lt;&gt;"",RANK_AVG(G15,$A$6:$H$15,1),"")</f>
        <v>#NAME?</v>
      </c>
      <c r="Q15" s="197" t="str">
        <f>IF(H15&lt;&gt;"",RANK_AVG(H15,$A$6:$H$15,1),"")</f>
        <v/>
      </c>
      <c r="S15" s="23" t="s">
        <v>113</v>
      </c>
      <c r="T15" s="68">
        <f>T14*(T6+U6+1)/6</f>
        <v>10006.666666666666</v>
      </c>
      <c r="W15" t="e">
        <f ca="1">FTEXT(T15)</f>
        <v>#NAME?</v>
      </c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N15" t="s">
        <v>115</v>
      </c>
      <c r="AO15" s="101" t="e">
        <f ca="1">ABS(STANDARDIZE(AO12,AO13,AO14))</f>
        <v>#NAME?</v>
      </c>
      <c r="AT15" t="e">
        <f t="array" aca="1" ref="AT15:AU20" ca="1">MW_TEST(A6:D15,E6:H15,TRUE,1,,,FALSE)</f>
        <v>#NAME?</v>
      </c>
      <c r="AU15" s="156" t="e">
        <f ca="1"/>
        <v>#NAME?</v>
      </c>
      <c r="AW15" t="e">
        <f t="array" aca="1" ref="AW15:AX20" ca="1">MW_TEST(A6:D15,E6:H15,TRUE,1,0.05,FALSE,FALSE)</f>
        <v>#NAME?</v>
      </c>
      <c r="AX15" s="156" t="e">
        <f ca="1"/>
        <v>#NAME?</v>
      </c>
    </row>
    <row r="16" spans="1:50" ht="15" thickBot="1" x14ac:dyDescent="0.4">
      <c r="S16" s="23" t="s">
        <v>56</v>
      </c>
      <c r="T16" s="58">
        <f>SQRT(T15)</f>
        <v>100.03332777962885</v>
      </c>
      <c r="W16" t="e">
        <f ca="1">FTEXT(T16)</f>
        <v>#NAME?</v>
      </c>
      <c r="AC16" t="s">
        <v>63</v>
      </c>
      <c r="AG16" t="s">
        <v>30</v>
      </c>
      <c r="AH16">
        <f>AH11</f>
        <v>0.05</v>
      </c>
      <c r="AN16" t="s">
        <v>111</v>
      </c>
      <c r="AO16" s="101" t="e">
        <f ca="1">AO15/SQRT(AO6+AP6)</f>
        <v>#NAME?</v>
      </c>
      <c r="AT16" t="e">
        <f ca="1"/>
        <v>#NAME?</v>
      </c>
      <c r="AU16" s="58" t="e">
        <f ca="1"/>
        <v>#NAME?</v>
      </c>
      <c r="AW16" t="e">
        <f ca="1"/>
        <v>#NAME?</v>
      </c>
      <c r="AX16" s="58" t="e">
        <f ca="1"/>
        <v>#NAME?</v>
      </c>
    </row>
    <row r="17" spans="19:50" ht="15" thickTop="1" x14ac:dyDescent="0.35">
      <c r="S17" s="23" t="s">
        <v>115</v>
      </c>
      <c r="T17" s="58" t="e">
        <f ca="1">ABS((T13-T14)/T16)</f>
        <v>#NAME?</v>
      </c>
      <c r="W17" t="e">
        <f ca="1">FTEXT(T17)</f>
        <v>#NAME?</v>
      </c>
      <c r="Y17" s="156" t="e">
        <f ca="1">-NORMSINV(Y18)</f>
        <v>#NAME?</v>
      </c>
      <c r="AA17" s="14" t="s">
        <v>278</v>
      </c>
      <c r="AC17" s="110" t="s">
        <v>47</v>
      </c>
      <c r="AD17" s="110" t="s">
        <v>110</v>
      </c>
      <c r="AE17" s="110" t="s">
        <v>69</v>
      </c>
      <c r="AF17" s="110" t="s">
        <v>44</v>
      </c>
      <c r="AG17" s="110" t="s">
        <v>48</v>
      </c>
      <c r="AH17" s="110" t="s">
        <v>49</v>
      </c>
      <c r="AI17" s="110" t="s">
        <v>24</v>
      </c>
      <c r="AJ17" s="110" t="s">
        <v>25</v>
      </c>
      <c r="AK17" s="110" t="s">
        <v>104</v>
      </c>
      <c r="AL17" s="110" t="s">
        <v>111</v>
      </c>
      <c r="AN17" t="s">
        <v>274</v>
      </c>
      <c r="AO17" s="168" t="e">
        <f ca="1">1-NORMSDIST(AO15)</f>
        <v>#NAME?</v>
      </c>
      <c r="AP17" s="169" t="e">
        <f ca="1">2*AO17</f>
        <v>#NAME?</v>
      </c>
      <c r="AT17" t="e">
        <f ca="1"/>
        <v>#NAME?</v>
      </c>
      <c r="AU17" s="58" t="e">
        <f ca="1"/>
        <v>#NAME?</v>
      </c>
      <c r="AW17" t="e">
        <f ca="1"/>
        <v>#NAME?</v>
      </c>
      <c r="AX17" s="58" t="e">
        <f ca="1"/>
        <v>#NAME?</v>
      </c>
    </row>
    <row r="18" spans="19:50" x14ac:dyDescent="0.35">
      <c r="S18" s="23" t="s">
        <v>132</v>
      </c>
      <c r="T18" s="58">
        <f>T14+T16*NORMSINV(T11)</f>
        <v>595.45981798565197</v>
      </c>
      <c r="W18" s="14" t="s">
        <v>279</v>
      </c>
      <c r="Y18" s="58" t="e">
        <f ca="1">MWTEST(A6:D15,E6:H15,1,FALSE,FALSE)</f>
        <v>#NAME?</v>
      </c>
      <c r="AA18" s="14" t="e">
        <f ca="1">FTEXT(Y18)</f>
        <v>#NAME?</v>
      </c>
      <c r="AC18" t="s">
        <v>50</v>
      </c>
      <c r="AD18">
        <f>SQRT(AF7/AD7+AF8/AD8)</f>
        <v>2.7546365797350298</v>
      </c>
      <c r="AE18">
        <f>(ABS(AE7-AE8-AG5))/AD18</f>
        <v>2.9868301464793543</v>
      </c>
      <c r="AF18">
        <f>(AF7/AD7+AF8/AD8)^2/((AF7/AD7)^2/(AD7-1)+(AF8/AD8)^2/(AD8-1))</f>
        <v>74.378329123802331</v>
      </c>
      <c r="AG18">
        <f>TTEST(A6:D15,E6:H15,1,3)</f>
        <v>1.9078580664936271E-3</v>
      </c>
      <c r="AH18">
        <f>TINV(AH16*2,ROUND(AF18,0))</f>
        <v>1.6657068927340244</v>
      </c>
      <c r="AK18" s="191" t="str">
        <f>IF(AG18&lt;AH16,"yes","no")</f>
        <v>yes</v>
      </c>
      <c r="AL18">
        <f>SQRT(AE18^2/(AE18^2+AF18))</f>
        <v>0.32725732182104256</v>
      </c>
      <c r="AN18" t="s">
        <v>275</v>
      </c>
      <c r="AO18" s="101" t="e">
        <f ca="1">MWDIST(AO12,AO6,AP6,1)</f>
        <v>#NAME?</v>
      </c>
      <c r="AP18" s="37" t="e">
        <f ca="1">2*AO18</f>
        <v>#NAME?</v>
      </c>
      <c r="AT18" t="e">
        <f ca="1"/>
        <v>#NAME?</v>
      </c>
      <c r="AU18" s="58" t="e">
        <f ca="1"/>
        <v>#NAME?</v>
      </c>
      <c r="AW18" t="e">
        <f ca="1"/>
        <v>#NAME?</v>
      </c>
      <c r="AX18" s="58" t="e">
        <f ca="1"/>
        <v>#NAME?</v>
      </c>
    </row>
    <row r="19" spans="19:50" x14ac:dyDescent="0.35">
      <c r="S19" s="23" t="s">
        <v>48</v>
      </c>
      <c r="T19" s="58" t="e">
        <f ca="1">1-NORMSDIST(T17)</f>
        <v>#NAME?</v>
      </c>
      <c r="W19" s="14" t="s">
        <v>280</v>
      </c>
      <c r="Y19" s="58" t="e">
        <f ca="1">MWTEST(A6:D15,E6:H15)</f>
        <v>#NAME?</v>
      </c>
      <c r="AA19" s="14" t="e">
        <f ca="1">FTEXT(Y19)</f>
        <v>#NAME?</v>
      </c>
      <c r="AC19" t="s">
        <v>51</v>
      </c>
      <c r="AD19">
        <f>AD18</f>
        <v>2.7546365797350298</v>
      </c>
      <c r="AE19">
        <f>AE18</f>
        <v>2.9868301464793543</v>
      </c>
      <c r="AF19">
        <f>AF18</f>
        <v>74.378329123802331</v>
      </c>
      <c r="AG19">
        <f>TTEST(A6:D15,E6:H15,2,3)</f>
        <v>3.8157161329872543E-3</v>
      </c>
      <c r="AH19">
        <f>TINV(AH16,ROUND(AF19,0))</f>
        <v>1.992543495180934</v>
      </c>
      <c r="AI19">
        <f>(AE7-AE8)-AH19*AD19</f>
        <v>2.7388983804088776</v>
      </c>
      <c r="AJ19">
        <f>(AE7-AE8)+AH19*AD19</f>
        <v>13.716364777485857</v>
      </c>
      <c r="AK19" s="191" t="str">
        <f>IF(AG19&lt;AH16,"yes","no")</f>
        <v>yes</v>
      </c>
      <c r="AL19">
        <f>AL18</f>
        <v>0.32725732182104256</v>
      </c>
      <c r="AN19" t="s">
        <v>276</v>
      </c>
      <c r="AO19" s="103" t="e">
        <f t="array" aca="1" ref="AO19:AP19" ca="1">TRANSPOSE(SUBMATRIX(MW_SIMUL(A6:D15,E6:H15,TRUE,10000),3,2,2,1))</f>
        <v>#NAME?</v>
      </c>
      <c r="AP19" s="105" t="e">
        <f ca="1"/>
        <v>#NAME?</v>
      </c>
      <c r="AT19" t="e">
        <f ca="1"/>
        <v>#NAME?</v>
      </c>
      <c r="AU19" s="58" t="e">
        <f ca="1"/>
        <v>#NAME?</v>
      </c>
      <c r="AW19" t="e">
        <f ca="1"/>
        <v>#NAME?</v>
      </c>
      <c r="AX19" s="58" t="e">
        <f ca="1"/>
        <v>#NAME?</v>
      </c>
    </row>
    <row r="20" spans="19:50" x14ac:dyDescent="0.35">
      <c r="S20" s="23" t="s">
        <v>104</v>
      </c>
      <c r="T20" s="68" t="e">
        <f ca="1">IF(T19&lt;T11,"yes","no")</f>
        <v>#NAME?</v>
      </c>
      <c r="W20" t="e">
        <f ca="1">FTEXT(T20)</f>
        <v>#NAME?</v>
      </c>
      <c r="Y20" s="50" t="e">
        <f ca="1">ABS(Y17/SQRT(T6+U6))</f>
        <v>#NAME?</v>
      </c>
      <c r="AA20" s="14" t="e">
        <f ca="1">FTEXT(Y20)</f>
        <v>#NAME?</v>
      </c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T20" t="e">
        <f ca="1"/>
        <v>#NAME?</v>
      </c>
      <c r="AU20" s="50" t="e">
        <f ca="1"/>
        <v>#NAME?</v>
      </c>
      <c r="AW20" t="e">
        <f ca="1"/>
        <v>#NAME?</v>
      </c>
      <c r="AX20" s="50" t="e">
        <f ca="1"/>
        <v>#NAME?</v>
      </c>
    </row>
    <row r="21" spans="19:50" x14ac:dyDescent="0.35">
      <c r="S21" s="23" t="s">
        <v>96</v>
      </c>
      <c r="T21" s="50" t="e">
        <f ca="1">ABS(T17)/SQRT(T6+U6)</f>
        <v>#NAME?</v>
      </c>
      <c r="W21" t="e">
        <f ca="1">FTEXT(T21)</f>
        <v>#NAME?</v>
      </c>
      <c r="AU21" s="7"/>
      <c r="AX21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95"/>
  <dimension ref="A1:U41"/>
  <sheetViews>
    <sheetView workbookViewId="0">
      <selection activeCell="V12" sqref="V12"/>
    </sheetView>
  </sheetViews>
  <sheetFormatPr defaultRowHeight="14.5" x14ac:dyDescent="0.35"/>
  <cols>
    <col min="1" max="1" width="3.1796875" customWidth="1"/>
    <col min="2" max="3" width="8.81640625" customWidth="1"/>
    <col min="4" max="4" width="4.453125" customWidth="1"/>
    <col min="5" max="5" width="5.54296875" customWidth="1"/>
    <col min="6" max="16" width="4.453125" customWidth="1"/>
    <col min="17" max="17" width="3.81640625" customWidth="1"/>
    <col min="18" max="19" width="9.1796875" customWidth="1"/>
    <col min="20" max="20" width="2.54296875" customWidth="1"/>
    <col min="21" max="21" width="26" customWidth="1"/>
  </cols>
  <sheetData>
    <row r="1" spans="1:21" x14ac:dyDescent="0.35">
      <c r="A1" s="35" t="s">
        <v>252</v>
      </c>
    </row>
    <row r="3" spans="1:21" x14ac:dyDescent="0.35">
      <c r="B3" s="174" t="s">
        <v>64</v>
      </c>
      <c r="C3" s="174" t="s">
        <v>65</v>
      </c>
      <c r="F3">
        <f t="array" ref="F3:P3">TRANSPOSE(C4:C14)</f>
        <v>34</v>
      </c>
      <c r="G3">
        <v>31</v>
      </c>
      <c r="H3">
        <v>35</v>
      </c>
      <c r="I3">
        <v>29</v>
      </c>
      <c r="J3">
        <v>28</v>
      </c>
      <c r="K3">
        <v>12</v>
      </c>
      <c r="L3">
        <v>18</v>
      </c>
      <c r="M3">
        <v>30</v>
      </c>
      <c r="N3">
        <v>14</v>
      </c>
      <c r="O3">
        <v>22</v>
      </c>
      <c r="P3">
        <v>10</v>
      </c>
      <c r="R3" t="s">
        <v>94</v>
      </c>
      <c r="S3" s="88">
        <v>0.05</v>
      </c>
    </row>
    <row r="4" spans="1:21" x14ac:dyDescent="0.35">
      <c r="B4" s="191">
        <v>52</v>
      </c>
      <c r="C4" s="191">
        <v>34</v>
      </c>
      <c r="E4">
        <f>B4</f>
        <v>52</v>
      </c>
      <c r="F4" s="172">
        <f>$E4-F$3</f>
        <v>18</v>
      </c>
      <c r="G4" s="164">
        <f t="shared" ref="G4:P15" si="0">$E4-G$3</f>
        <v>21</v>
      </c>
      <c r="H4" s="164">
        <f t="shared" si="0"/>
        <v>17</v>
      </c>
      <c r="I4" s="164">
        <f t="shared" si="0"/>
        <v>23</v>
      </c>
      <c r="J4" s="164">
        <f t="shared" si="0"/>
        <v>24</v>
      </c>
      <c r="K4" s="164">
        <f t="shared" si="0"/>
        <v>40</v>
      </c>
      <c r="L4" s="164">
        <f t="shared" si="0"/>
        <v>34</v>
      </c>
      <c r="M4" s="164">
        <f t="shared" si="0"/>
        <v>22</v>
      </c>
      <c r="N4" s="164">
        <f t="shared" si="0"/>
        <v>38</v>
      </c>
      <c r="O4" s="164">
        <f t="shared" si="0"/>
        <v>30</v>
      </c>
      <c r="P4" s="163">
        <f t="shared" si="0"/>
        <v>42</v>
      </c>
    </row>
    <row r="5" spans="1:21" x14ac:dyDescent="0.35">
      <c r="B5" s="191">
        <v>85</v>
      </c>
      <c r="C5" s="191">
        <v>31</v>
      </c>
      <c r="E5">
        <f t="shared" ref="E5:E15" si="1">B5</f>
        <v>85</v>
      </c>
      <c r="F5" s="59">
        <f t="shared" ref="F5:F15" si="2">$E5-F$3</f>
        <v>51</v>
      </c>
      <c r="G5" s="7">
        <f t="shared" si="0"/>
        <v>54</v>
      </c>
      <c r="H5" s="7">
        <f t="shared" si="0"/>
        <v>50</v>
      </c>
      <c r="I5" s="7">
        <f t="shared" si="0"/>
        <v>56</v>
      </c>
      <c r="J5" s="7">
        <f t="shared" si="0"/>
        <v>57</v>
      </c>
      <c r="K5" s="7">
        <f t="shared" si="0"/>
        <v>73</v>
      </c>
      <c r="L5" s="7">
        <f t="shared" si="0"/>
        <v>67</v>
      </c>
      <c r="M5" s="7">
        <f t="shared" si="0"/>
        <v>55</v>
      </c>
      <c r="N5" s="7">
        <f t="shared" si="0"/>
        <v>71</v>
      </c>
      <c r="O5" s="7">
        <f t="shared" si="0"/>
        <v>63</v>
      </c>
      <c r="P5" s="60">
        <f t="shared" si="0"/>
        <v>75</v>
      </c>
      <c r="R5" t="s">
        <v>132</v>
      </c>
      <c r="S5" s="173" t="e">
        <f ca="1">MWINV(S3,C16,B16)</f>
        <v>#NAME?</v>
      </c>
      <c r="U5" t="e">
        <f ca="1">FTEXT(S5)</f>
        <v>#NAME?</v>
      </c>
    </row>
    <row r="6" spans="1:21" x14ac:dyDescent="0.35">
      <c r="B6" s="191">
        <v>98</v>
      </c>
      <c r="C6" s="191">
        <v>35</v>
      </c>
      <c r="E6">
        <f t="shared" si="1"/>
        <v>98</v>
      </c>
      <c r="F6" s="59">
        <f t="shared" si="2"/>
        <v>64</v>
      </c>
      <c r="G6" s="7">
        <f t="shared" si="0"/>
        <v>67</v>
      </c>
      <c r="H6" s="7">
        <f t="shared" si="0"/>
        <v>63</v>
      </c>
      <c r="I6" s="7">
        <f t="shared" si="0"/>
        <v>69</v>
      </c>
      <c r="J6" s="7">
        <f t="shared" si="0"/>
        <v>70</v>
      </c>
      <c r="K6" s="7">
        <f t="shared" si="0"/>
        <v>86</v>
      </c>
      <c r="L6" s="7">
        <f t="shared" si="0"/>
        <v>80</v>
      </c>
      <c r="M6" s="7">
        <f t="shared" si="0"/>
        <v>68</v>
      </c>
      <c r="N6" s="7">
        <f t="shared" si="0"/>
        <v>84</v>
      </c>
      <c r="O6" s="7">
        <f t="shared" si="0"/>
        <v>76</v>
      </c>
      <c r="P6" s="60">
        <f t="shared" si="0"/>
        <v>88</v>
      </c>
      <c r="R6" t="s">
        <v>94</v>
      </c>
      <c r="S6" s="58" t="e">
        <f ca="1">MWDIST(S5,B16,C16)</f>
        <v>#NAME?</v>
      </c>
      <c r="U6" t="e">
        <f ca="1">FTEXT(S6)</f>
        <v>#NAME?</v>
      </c>
    </row>
    <row r="7" spans="1:21" x14ac:dyDescent="0.35">
      <c r="B7" s="191">
        <v>123</v>
      </c>
      <c r="C7" s="191">
        <v>29</v>
      </c>
      <c r="E7">
        <f t="shared" si="1"/>
        <v>123</v>
      </c>
      <c r="F7" s="59">
        <f t="shared" si="2"/>
        <v>89</v>
      </c>
      <c r="G7" s="7">
        <f t="shared" si="0"/>
        <v>92</v>
      </c>
      <c r="H7" s="7">
        <f t="shared" si="0"/>
        <v>88</v>
      </c>
      <c r="I7" s="7">
        <f t="shared" si="0"/>
        <v>94</v>
      </c>
      <c r="J7" s="7">
        <f t="shared" si="0"/>
        <v>95</v>
      </c>
      <c r="K7" s="7">
        <f t="shared" si="0"/>
        <v>111</v>
      </c>
      <c r="L7" s="7">
        <f t="shared" si="0"/>
        <v>105</v>
      </c>
      <c r="M7" s="7">
        <f t="shared" si="0"/>
        <v>93</v>
      </c>
      <c r="N7" s="7">
        <f t="shared" si="0"/>
        <v>109</v>
      </c>
      <c r="O7" s="7">
        <f t="shared" si="0"/>
        <v>101</v>
      </c>
      <c r="P7" s="60">
        <f t="shared" si="0"/>
        <v>113</v>
      </c>
      <c r="R7" t="s">
        <v>24</v>
      </c>
      <c r="S7" s="58" t="e">
        <f ca="1">SMALL(F4:P15,S5)</f>
        <v>#NAME?</v>
      </c>
      <c r="U7" t="e">
        <f ca="1">FTEXT(S7)</f>
        <v>#NAME?</v>
      </c>
    </row>
    <row r="8" spans="1:21" x14ac:dyDescent="0.35">
      <c r="B8" s="191">
        <v>34</v>
      </c>
      <c r="C8" s="191">
        <v>28</v>
      </c>
      <c r="E8">
        <f t="shared" si="1"/>
        <v>34</v>
      </c>
      <c r="F8" s="59">
        <f t="shared" si="2"/>
        <v>0</v>
      </c>
      <c r="G8" s="7">
        <f t="shared" si="0"/>
        <v>3</v>
      </c>
      <c r="H8" s="7">
        <f t="shared" si="0"/>
        <v>-1</v>
      </c>
      <c r="I8" s="7">
        <f t="shared" si="0"/>
        <v>5</v>
      </c>
      <c r="J8" s="7">
        <f t="shared" si="0"/>
        <v>6</v>
      </c>
      <c r="K8" s="7">
        <f t="shared" si="0"/>
        <v>22</v>
      </c>
      <c r="L8" s="7">
        <f t="shared" si="0"/>
        <v>16</v>
      </c>
      <c r="M8" s="7">
        <f t="shared" si="0"/>
        <v>4</v>
      </c>
      <c r="N8" s="7">
        <f t="shared" si="0"/>
        <v>20</v>
      </c>
      <c r="O8" s="7">
        <f t="shared" si="0"/>
        <v>12</v>
      </c>
      <c r="P8" s="60">
        <f t="shared" si="0"/>
        <v>24</v>
      </c>
      <c r="R8" t="s">
        <v>25</v>
      </c>
      <c r="S8" s="58" t="e">
        <f ca="1">LARGE(F4:P15,S5)</f>
        <v>#NAME?</v>
      </c>
      <c r="U8" t="e">
        <f ca="1">FTEXT(S8)</f>
        <v>#NAME?</v>
      </c>
    </row>
    <row r="9" spans="1:21" x14ac:dyDescent="0.35">
      <c r="B9" s="191">
        <v>17</v>
      </c>
      <c r="C9" s="191">
        <v>12</v>
      </c>
      <c r="E9">
        <f t="shared" si="1"/>
        <v>17</v>
      </c>
      <c r="F9" s="59">
        <f t="shared" si="2"/>
        <v>-17</v>
      </c>
      <c r="G9" s="7">
        <f t="shared" si="0"/>
        <v>-14</v>
      </c>
      <c r="H9" s="7">
        <f t="shared" si="0"/>
        <v>-18</v>
      </c>
      <c r="I9" s="7">
        <f t="shared" si="0"/>
        <v>-12</v>
      </c>
      <c r="J9" s="7">
        <f t="shared" si="0"/>
        <v>-11</v>
      </c>
      <c r="K9" s="7">
        <f t="shared" si="0"/>
        <v>5</v>
      </c>
      <c r="L9" s="7">
        <f t="shared" si="0"/>
        <v>-1</v>
      </c>
      <c r="M9" s="7">
        <f t="shared" si="0"/>
        <v>-13</v>
      </c>
      <c r="N9" s="7">
        <f t="shared" si="0"/>
        <v>3</v>
      </c>
      <c r="O9" s="7">
        <f t="shared" si="0"/>
        <v>-5</v>
      </c>
      <c r="P9" s="60">
        <f t="shared" si="0"/>
        <v>7</v>
      </c>
      <c r="R9" t="s">
        <v>106</v>
      </c>
      <c r="S9" s="58">
        <f>MEDIAN(F4:P15)</f>
        <v>4</v>
      </c>
      <c r="U9" t="e">
        <f ca="1">FTEXT(S9)</f>
        <v>#NAME?</v>
      </c>
    </row>
    <row r="10" spans="1:21" x14ac:dyDescent="0.35">
      <c r="B10" s="191">
        <v>18</v>
      </c>
      <c r="C10" s="191">
        <v>18</v>
      </c>
      <c r="E10">
        <f t="shared" si="1"/>
        <v>18</v>
      </c>
      <c r="F10" s="59">
        <f t="shared" si="2"/>
        <v>-16</v>
      </c>
      <c r="G10" s="7">
        <f t="shared" si="0"/>
        <v>-13</v>
      </c>
      <c r="H10" s="7">
        <f t="shared" si="0"/>
        <v>-17</v>
      </c>
      <c r="I10" s="7">
        <f t="shared" si="0"/>
        <v>-11</v>
      </c>
      <c r="J10" s="7">
        <f t="shared" si="0"/>
        <v>-10</v>
      </c>
      <c r="K10" s="7">
        <f t="shared" si="0"/>
        <v>6</v>
      </c>
      <c r="L10" s="7">
        <f t="shared" si="0"/>
        <v>0</v>
      </c>
      <c r="M10" s="7">
        <f t="shared" si="0"/>
        <v>-12</v>
      </c>
      <c r="N10" s="7">
        <f t="shared" si="0"/>
        <v>4</v>
      </c>
      <c r="O10" s="7">
        <f t="shared" si="0"/>
        <v>-4</v>
      </c>
      <c r="P10" s="60">
        <f t="shared" si="0"/>
        <v>8</v>
      </c>
      <c r="R10" t="s">
        <v>259</v>
      </c>
      <c r="S10" s="58" t="e">
        <f ca="1">S5+1</f>
        <v>#NAME?</v>
      </c>
      <c r="U10" t="e">
        <f ca="1">FTEXT(S10)</f>
        <v>#NAME?</v>
      </c>
    </row>
    <row r="11" spans="1:21" x14ac:dyDescent="0.35">
      <c r="B11" s="191">
        <v>14</v>
      </c>
      <c r="C11" s="191">
        <v>30</v>
      </c>
      <c r="E11">
        <f t="shared" si="1"/>
        <v>14</v>
      </c>
      <c r="F11" s="59">
        <f t="shared" si="2"/>
        <v>-20</v>
      </c>
      <c r="G11" s="7">
        <f t="shared" si="0"/>
        <v>-17</v>
      </c>
      <c r="H11" s="7">
        <f t="shared" si="0"/>
        <v>-21</v>
      </c>
      <c r="I11" s="7">
        <f t="shared" si="0"/>
        <v>-15</v>
      </c>
      <c r="J11" s="7">
        <f t="shared" si="0"/>
        <v>-14</v>
      </c>
      <c r="K11" s="7">
        <f t="shared" si="0"/>
        <v>2</v>
      </c>
      <c r="L11" s="7">
        <f t="shared" si="0"/>
        <v>-4</v>
      </c>
      <c r="M11" s="7">
        <f t="shared" si="0"/>
        <v>-16</v>
      </c>
      <c r="N11" s="7">
        <f t="shared" si="0"/>
        <v>0</v>
      </c>
      <c r="O11" s="7">
        <f t="shared" si="0"/>
        <v>-8</v>
      </c>
      <c r="P11" s="60">
        <f t="shared" si="0"/>
        <v>4</v>
      </c>
      <c r="R11" t="s">
        <v>94</v>
      </c>
      <c r="S11" s="58" t="e">
        <f ca="1">MWDIST(S10,B16,C16)</f>
        <v>#NAME?</v>
      </c>
      <c r="U11" t="e">
        <f ca="1">FTEXT(S11)</f>
        <v>#NAME?</v>
      </c>
    </row>
    <row r="12" spans="1:21" x14ac:dyDescent="0.35">
      <c r="B12" s="191">
        <v>12</v>
      </c>
      <c r="C12" s="191">
        <v>14</v>
      </c>
      <c r="E12">
        <f t="shared" si="1"/>
        <v>12</v>
      </c>
      <c r="F12" s="59">
        <f t="shared" si="2"/>
        <v>-22</v>
      </c>
      <c r="G12" s="7">
        <f t="shared" si="0"/>
        <v>-19</v>
      </c>
      <c r="H12" s="7">
        <f t="shared" si="0"/>
        <v>-23</v>
      </c>
      <c r="I12" s="7">
        <f t="shared" si="0"/>
        <v>-17</v>
      </c>
      <c r="J12" s="7">
        <f t="shared" si="0"/>
        <v>-16</v>
      </c>
      <c r="K12" s="7">
        <f t="shared" si="0"/>
        <v>0</v>
      </c>
      <c r="L12" s="7">
        <f t="shared" si="0"/>
        <v>-6</v>
      </c>
      <c r="M12" s="7">
        <f t="shared" si="0"/>
        <v>-18</v>
      </c>
      <c r="N12" s="7">
        <f t="shared" si="0"/>
        <v>-2</v>
      </c>
      <c r="O12" s="7">
        <f t="shared" si="0"/>
        <v>-10</v>
      </c>
      <c r="P12" s="60">
        <f t="shared" si="0"/>
        <v>2</v>
      </c>
      <c r="R12" t="s">
        <v>24</v>
      </c>
      <c r="S12" s="58" t="e">
        <f ca="1">SMALL(F4:P15,S10)</f>
        <v>#NAME?</v>
      </c>
      <c r="U12" t="e">
        <f ca="1">FTEXT(S12)</f>
        <v>#NAME?</v>
      </c>
    </row>
    <row r="13" spans="1:21" x14ac:dyDescent="0.35">
      <c r="B13" s="191">
        <v>13</v>
      </c>
      <c r="C13" s="191">
        <v>22</v>
      </c>
      <c r="E13">
        <f t="shared" si="1"/>
        <v>13</v>
      </c>
      <c r="F13" s="59">
        <f t="shared" si="2"/>
        <v>-21</v>
      </c>
      <c r="G13" s="7">
        <f t="shared" si="0"/>
        <v>-18</v>
      </c>
      <c r="H13" s="7">
        <f t="shared" si="0"/>
        <v>-22</v>
      </c>
      <c r="I13" s="7">
        <f t="shared" si="0"/>
        <v>-16</v>
      </c>
      <c r="J13" s="7">
        <f t="shared" si="0"/>
        <v>-15</v>
      </c>
      <c r="K13" s="7">
        <f t="shared" si="0"/>
        <v>1</v>
      </c>
      <c r="L13" s="7">
        <f t="shared" si="0"/>
        <v>-5</v>
      </c>
      <c r="M13" s="7">
        <f t="shared" si="0"/>
        <v>-17</v>
      </c>
      <c r="N13" s="7">
        <f t="shared" si="0"/>
        <v>-1</v>
      </c>
      <c r="O13" s="7">
        <f t="shared" si="0"/>
        <v>-9</v>
      </c>
      <c r="P13" s="60">
        <f t="shared" si="0"/>
        <v>3</v>
      </c>
      <c r="R13" t="s">
        <v>25</v>
      </c>
      <c r="S13" s="50" t="e">
        <f ca="1">LARGE(F4:P15,S10)</f>
        <v>#NAME?</v>
      </c>
      <c r="U13" t="e">
        <f ca="1">FTEXT(S13)</f>
        <v>#NAME?</v>
      </c>
    </row>
    <row r="14" spans="1:21" x14ac:dyDescent="0.35">
      <c r="B14" s="191">
        <v>26</v>
      </c>
      <c r="C14" s="191">
        <v>10</v>
      </c>
      <c r="E14">
        <f t="shared" si="1"/>
        <v>26</v>
      </c>
      <c r="F14" s="59">
        <f t="shared" si="2"/>
        <v>-8</v>
      </c>
      <c r="G14" s="7">
        <f t="shared" si="0"/>
        <v>-5</v>
      </c>
      <c r="H14" s="7">
        <f t="shared" si="0"/>
        <v>-9</v>
      </c>
      <c r="I14" s="7">
        <f t="shared" si="0"/>
        <v>-3</v>
      </c>
      <c r="J14" s="7">
        <f t="shared" si="0"/>
        <v>-2</v>
      </c>
      <c r="K14" s="7">
        <f t="shared" si="0"/>
        <v>14</v>
      </c>
      <c r="L14" s="7">
        <f t="shared" si="0"/>
        <v>8</v>
      </c>
      <c r="M14" s="7">
        <f t="shared" si="0"/>
        <v>-4</v>
      </c>
      <c r="N14" s="7">
        <f t="shared" si="0"/>
        <v>12</v>
      </c>
      <c r="O14" s="7">
        <f t="shared" si="0"/>
        <v>4</v>
      </c>
      <c r="P14" s="60">
        <f t="shared" si="0"/>
        <v>16</v>
      </c>
    </row>
    <row r="15" spans="1:21" x14ac:dyDescent="0.35">
      <c r="B15" s="190">
        <v>31</v>
      </c>
      <c r="C15" s="190"/>
      <c r="E15">
        <f t="shared" si="1"/>
        <v>31</v>
      </c>
      <c r="F15" s="45">
        <f t="shared" si="2"/>
        <v>-3</v>
      </c>
      <c r="G15" s="106">
        <f t="shared" si="0"/>
        <v>0</v>
      </c>
      <c r="H15" s="106">
        <f t="shared" si="0"/>
        <v>-4</v>
      </c>
      <c r="I15" s="106">
        <f t="shared" si="0"/>
        <v>2</v>
      </c>
      <c r="J15" s="106">
        <f t="shared" si="0"/>
        <v>3</v>
      </c>
      <c r="K15" s="106">
        <f t="shared" si="0"/>
        <v>19</v>
      </c>
      <c r="L15" s="106">
        <f t="shared" si="0"/>
        <v>13</v>
      </c>
      <c r="M15" s="106">
        <f t="shared" si="0"/>
        <v>1</v>
      </c>
      <c r="N15" s="106">
        <f t="shared" si="0"/>
        <v>17</v>
      </c>
      <c r="O15" s="106">
        <f t="shared" si="0"/>
        <v>9</v>
      </c>
      <c r="P15" s="48">
        <f t="shared" si="0"/>
        <v>21</v>
      </c>
    </row>
    <row r="16" spans="1:21" x14ac:dyDescent="0.35">
      <c r="A16" s="191" t="s">
        <v>26</v>
      </c>
      <c r="B16" s="174">
        <f>COUNT(B4:B15)</f>
        <v>12</v>
      </c>
      <c r="C16" s="174">
        <f>COUNT(C4:C15)</f>
        <v>11</v>
      </c>
    </row>
    <row r="17" spans="1:21" x14ac:dyDescent="0.35">
      <c r="A17" s="191"/>
      <c r="B17" s="191"/>
      <c r="C17" s="191"/>
      <c r="R17" t="s">
        <v>94</v>
      </c>
      <c r="S17" s="88">
        <v>0.05</v>
      </c>
    </row>
    <row r="18" spans="1:21" x14ac:dyDescent="0.35">
      <c r="A18" s="191"/>
      <c r="B18" s="191"/>
      <c r="C18" s="191"/>
    </row>
    <row r="19" spans="1:21" x14ac:dyDescent="0.35">
      <c r="A19" s="191"/>
      <c r="B19" s="191"/>
      <c r="C19" s="191"/>
      <c r="R19" t="e">
        <f t="array" aca="1" ref="R19:S27" ca="1">MW_CONF(B4:B15,C4:C14,TRUE,1,S17)</f>
        <v>#NAME?</v>
      </c>
      <c r="S19" s="173" t="e">
        <f ca="1"/>
        <v>#NAME?</v>
      </c>
      <c r="U19" t="e">
        <f ca="1">FTEXT(S19)</f>
        <v>#NAME?</v>
      </c>
    </row>
    <row r="20" spans="1:21" x14ac:dyDescent="0.35">
      <c r="A20" s="191"/>
      <c r="C20" s="191"/>
      <c r="R20" t="e">
        <f ca="1"/>
        <v>#NAME?</v>
      </c>
      <c r="S20" s="58" t="e">
        <f ca="1"/>
        <v>#NAME?</v>
      </c>
    </row>
    <row r="21" spans="1:21" x14ac:dyDescent="0.35">
      <c r="R21" t="e">
        <f ca="1"/>
        <v>#NAME?</v>
      </c>
      <c r="S21" s="58" t="e">
        <f ca="1"/>
        <v>#NAME?</v>
      </c>
    </row>
    <row r="22" spans="1:21" x14ac:dyDescent="0.35">
      <c r="R22" t="e">
        <f ca="1"/>
        <v>#NAME?</v>
      </c>
      <c r="S22" s="58" t="e">
        <f ca="1"/>
        <v>#NAME?</v>
      </c>
    </row>
    <row r="23" spans="1:21" x14ac:dyDescent="0.35">
      <c r="R23" t="e">
        <f ca="1"/>
        <v>#NAME?</v>
      </c>
      <c r="S23" s="58" t="e">
        <f ca="1"/>
        <v>#NAME?</v>
      </c>
    </row>
    <row r="24" spans="1:21" x14ac:dyDescent="0.35">
      <c r="R24" t="e">
        <f ca="1"/>
        <v>#NAME?</v>
      </c>
      <c r="S24" s="58" t="e">
        <f ca="1"/>
        <v>#NAME?</v>
      </c>
    </row>
    <row r="25" spans="1:21" x14ac:dyDescent="0.35">
      <c r="R25" t="e">
        <f ca="1"/>
        <v>#NAME?</v>
      </c>
      <c r="S25" s="58" t="e">
        <f ca="1"/>
        <v>#NAME?</v>
      </c>
    </row>
    <row r="26" spans="1:21" x14ac:dyDescent="0.35">
      <c r="R26" t="e">
        <f ca="1"/>
        <v>#NAME?</v>
      </c>
      <c r="S26" s="58" t="e">
        <f ca="1"/>
        <v>#NAME?</v>
      </c>
    </row>
    <row r="27" spans="1:21" x14ac:dyDescent="0.35">
      <c r="R27" t="e">
        <f ca="1"/>
        <v>#NAME?</v>
      </c>
      <c r="S27" s="50" t="e">
        <f ca="1"/>
        <v>#NAME?</v>
      </c>
    </row>
    <row r="31" spans="1:21" x14ac:dyDescent="0.35">
      <c r="R31" t="s">
        <v>94</v>
      </c>
      <c r="S31" s="88">
        <v>0.05</v>
      </c>
    </row>
    <row r="33" spans="18:21" x14ac:dyDescent="0.35">
      <c r="R33" t="e">
        <f t="array" aca="1" ref="R33:S41" ca="1">MW_CONF(B4:B15,C4:C14,TRUE,0,S31)</f>
        <v>#NAME?</v>
      </c>
      <c r="S33" s="173" t="e">
        <f ca="1"/>
        <v>#NAME?</v>
      </c>
      <c r="U33" t="e">
        <f ca="1">FTEXT(S33)</f>
        <v>#NAME?</v>
      </c>
    </row>
    <row r="34" spans="18:21" x14ac:dyDescent="0.35">
      <c r="R34" t="e">
        <f ca="1"/>
        <v>#NAME?</v>
      </c>
      <c r="S34" s="58" t="e">
        <f ca="1"/>
        <v>#NAME?</v>
      </c>
    </row>
    <row r="35" spans="18:21" x14ac:dyDescent="0.35">
      <c r="R35" t="e">
        <f ca="1"/>
        <v>#NAME?</v>
      </c>
      <c r="S35" s="58" t="e">
        <f ca="1"/>
        <v>#NAME?</v>
      </c>
    </row>
    <row r="36" spans="18:21" x14ac:dyDescent="0.35">
      <c r="R36" t="e">
        <f ca="1"/>
        <v>#NAME?</v>
      </c>
      <c r="S36" s="58" t="e">
        <f ca="1"/>
        <v>#NAME?</v>
      </c>
    </row>
    <row r="37" spans="18:21" x14ac:dyDescent="0.35">
      <c r="R37" t="e">
        <f ca="1"/>
        <v>#NAME?</v>
      </c>
      <c r="S37" s="58" t="e">
        <f ca="1"/>
        <v>#NAME?</v>
      </c>
    </row>
    <row r="38" spans="18:21" x14ac:dyDescent="0.35">
      <c r="R38" t="e">
        <f ca="1"/>
        <v>#NAME?</v>
      </c>
      <c r="S38" s="58" t="e">
        <f ca="1"/>
        <v>#NAME?</v>
      </c>
    </row>
    <row r="39" spans="18:21" x14ac:dyDescent="0.35">
      <c r="R39" t="e">
        <f ca="1"/>
        <v>#NAME?</v>
      </c>
      <c r="S39" s="58" t="e">
        <f ca="1"/>
        <v>#NAME?</v>
      </c>
    </row>
    <row r="40" spans="18:21" x14ac:dyDescent="0.35">
      <c r="R40" t="e">
        <f ca="1"/>
        <v>#NAME?</v>
      </c>
      <c r="S40" s="58" t="e">
        <f ca="1"/>
        <v>#NAME?</v>
      </c>
    </row>
    <row r="41" spans="18:21" x14ac:dyDescent="0.35">
      <c r="R41" t="e">
        <f ca="1"/>
        <v>#NAME?</v>
      </c>
      <c r="S41" s="50" t="e">
        <f ca="1"/>
        <v>#NAME?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00"/>
  <dimension ref="A1:BD43"/>
  <sheetViews>
    <sheetView workbookViewId="0"/>
  </sheetViews>
  <sheetFormatPr defaultRowHeight="14.5" x14ac:dyDescent="0.35"/>
  <cols>
    <col min="1" max="8" width="5.1796875" customWidth="1"/>
    <col min="9" max="10" width="3.54296875" customWidth="1"/>
    <col min="11" max="48" width="4.7265625" customWidth="1"/>
    <col min="50" max="50" width="10.26953125" customWidth="1"/>
    <col min="52" max="52" width="4.1796875" customWidth="1"/>
    <col min="53" max="53" width="64.1796875" customWidth="1"/>
    <col min="57" max="57" width="3.26953125" customWidth="1"/>
  </cols>
  <sheetData>
    <row r="1" spans="1:56" x14ac:dyDescent="0.35">
      <c r="A1" s="35" t="s">
        <v>130</v>
      </c>
    </row>
    <row r="3" spans="1:56" x14ac:dyDescent="0.35">
      <c r="A3" s="226" t="s">
        <v>125</v>
      </c>
      <c r="B3" s="226"/>
      <c r="C3" s="226"/>
      <c r="D3" s="226"/>
      <c r="E3" s="226" t="s">
        <v>126</v>
      </c>
      <c r="F3" s="226"/>
      <c r="G3" s="226"/>
      <c r="H3" s="226"/>
      <c r="K3" t="e">
        <f t="array" aca="1" ref="K3:AX3" ca="1">RESHAPE(E4:H13)</f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  <c r="V3" t="e">
        <f ca="1"/>
        <v>#NAME?</v>
      </c>
      <c r="W3" t="e">
        <f ca="1"/>
        <v>#NAME?</v>
      </c>
      <c r="X3" t="e">
        <f ca="1"/>
        <v>#NAME?</v>
      </c>
      <c r="Y3" t="e">
        <f ca="1"/>
        <v>#NAME?</v>
      </c>
      <c r="Z3" t="e">
        <f ca="1"/>
        <v>#NAME?</v>
      </c>
      <c r="AA3" t="e">
        <f ca="1"/>
        <v>#NAME?</v>
      </c>
      <c r="AB3" t="e">
        <f ca="1"/>
        <v>#NAME?</v>
      </c>
      <c r="AC3" t="e">
        <f ca="1"/>
        <v>#NAME?</v>
      </c>
      <c r="AD3" t="e">
        <f ca="1"/>
        <v>#NAME?</v>
      </c>
      <c r="AE3" t="e">
        <f ca="1"/>
        <v>#NAME?</v>
      </c>
      <c r="AF3" t="e">
        <f ca="1"/>
        <v>#NAME?</v>
      </c>
      <c r="AG3" t="e">
        <f ca="1"/>
        <v>#NAME?</v>
      </c>
      <c r="AH3" t="e">
        <f ca="1"/>
        <v>#NAME?</v>
      </c>
      <c r="AI3" t="e">
        <f ca="1"/>
        <v>#NAME?</v>
      </c>
      <c r="AJ3" t="e">
        <f ca="1"/>
        <v>#NAME?</v>
      </c>
      <c r="AK3" t="e">
        <f ca="1"/>
        <v>#NAME?</v>
      </c>
      <c r="AL3" t="e">
        <f ca="1"/>
        <v>#NAME?</v>
      </c>
      <c r="AM3" t="e">
        <f ca="1"/>
        <v>#NAME?</v>
      </c>
      <c r="AN3" t="e">
        <f ca="1"/>
        <v>#NAME?</v>
      </c>
      <c r="AO3" t="e">
        <f ca="1"/>
        <v>#NAME?</v>
      </c>
      <c r="AP3" t="e">
        <f ca="1"/>
        <v>#NAME?</v>
      </c>
      <c r="AQ3" t="e">
        <f ca="1"/>
        <v>#NAME?</v>
      </c>
      <c r="AR3" t="e">
        <f ca="1"/>
        <v>#NAME?</v>
      </c>
      <c r="AS3" t="e">
        <f ca="1"/>
        <v>#NAME?</v>
      </c>
      <c r="AT3" t="e">
        <f ca="1"/>
        <v>#NAME?</v>
      </c>
      <c r="AU3" t="e">
        <f ca="1"/>
        <v>#NAME?</v>
      </c>
      <c r="AV3" t="e">
        <f ca="1"/>
        <v>#NAME?</v>
      </c>
      <c r="AW3" t="e">
        <f ca="1"/>
        <v>#NAME?</v>
      </c>
      <c r="AX3" t="e">
        <f ca="1"/>
        <v>#NAME?</v>
      </c>
    </row>
    <row r="4" spans="1:56" x14ac:dyDescent="0.35">
      <c r="A4" s="117">
        <v>81</v>
      </c>
      <c r="B4" s="4">
        <v>62</v>
      </c>
      <c r="C4" s="4">
        <v>90</v>
      </c>
      <c r="D4" s="4">
        <v>79</v>
      </c>
      <c r="E4" s="117">
        <v>72</v>
      </c>
      <c r="F4" s="4">
        <v>86</v>
      </c>
      <c r="G4" s="4">
        <v>77</v>
      </c>
      <c r="H4" s="118">
        <v>66</v>
      </c>
      <c r="J4" t="e">
        <f t="array" aca="1" ref="J4:J43" ca="1">RESHAPE(A4:D13)</f>
        <v>#NAME?</v>
      </c>
      <c r="K4" s="117" t="e">
        <f t="shared" ref="K4:Z19" ca="1" si="0">$J4-K$3</f>
        <v>#NAME?</v>
      </c>
      <c r="L4" s="4" t="e">
        <f t="shared" ca="1" si="0"/>
        <v>#NAME?</v>
      </c>
      <c r="M4" s="4" t="e">
        <f t="shared" ca="1" si="0"/>
        <v>#NAME?</v>
      </c>
      <c r="N4" s="4" t="e">
        <f t="shared" ca="1" si="0"/>
        <v>#NAME?</v>
      </c>
      <c r="O4" s="4" t="e">
        <f t="shared" ca="1" si="0"/>
        <v>#NAME?</v>
      </c>
      <c r="P4" s="4" t="e">
        <f t="shared" ca="1" si="0"/>
        <v>#NAME?</v>
      </c>
      <c r="Q4" s="4" t="e">
        <f t="shared" ca="1" si="0"/>
        <v>#NAME?</v>
      </c>
      <c r="R4" s="4" t="e">
        <f t="shared" ca="1" si="0"/>
        <v>#NAME?</v>
      </c>
      <c r="S4" s="4" t="e">
        <f t="shared" ca="1" si="0"/>
        <v>#NAME?</v>
      </c>
      <c r="T4" s="4" t="e">
        <f t="shared" ca="1" si="0"/>
        <v>#NAME?</v>
      </c>
      <c r="U4" s="4" t="e">
        <f t="shared" ca="1" si="0"/>
        <v>#NAME?</v>
      </c>
      <c r="V4" s="4" t="e">
        <f t="shared" ca="1" si="0"/>
        <v>#NAME?</v>
      </c>
      <c r="W4" s="4" t="e">
        <f t="shared" ca="1" si="0"/>
        <v>#NAME?</v>
      </c>
      <c r="X4" s="4" t="e">
        <f t="shared" ca="1" si="0"/>
        <v>#NAME?</v>
      </c>
      <c r="Y4" s="4" t="e">
        <f t="shared" ca="1" si="0"/>
        <v>#NAME?</v>
      </c>
      <c r="Z4" s="4" t="e">
        <f t="shared" ca="1" si="0"/>
        <v>#NAME?</v>
      </c>
      <c r="AA4" s="4" t="e">
        <f t="shared" ref="AA4:AP19" ca="1" si="1">$J4-AA$3</f>
        <v>#NAME?</v>
      </c>
      <c r="AB4" s="4" t="e">
        <f t="shared" ca="1" si="1"/>
        <v>#NAME?</v>
      </c>
      <c r="AC4" s="4" t="e">
        <f t="shared" ca="1" si="1"/>
        <v>#NAME?</v>
      </c>
      <c r="AD4" s="4" t="e">
        <f t="shared" ca="1" si="1"/>
        <v>#NAME?</v>
      </c>
      <c r="AE4" s="4" t="e">
        <f t="shared" ca="1" si="1"/>
        <v>#NAME?</v>
      </c>
      <c r="AF4" s="4" t="e">
        <f t="shared" ca="1" si="1"/>
        <v>#NAME?</v>
      </c>
      <c r="AG4" s="4" t="e">
        <f t="shared" ca="1" si="1"/>
        <v>#NAME?</v>
      </c>
      <c r="AH4" s="4" t="e">
        <f t="shared" ca="1" si="1"/>
        <v>#NAME?</v>
      </c>
      <c r="AI4" s="4" t="e">
        <f t="shared" ca="1" si="1"/>
        <v>#NAME?</v>
      </c>
      <c r="AJ4" s="4" t="e">
        <f t="shared" ca="1" si="1"/>
        <v>#NAME?</v>
      </c>
      <c r="AK4" s="4" t="e">
        <f t="shared" ca="1" si="1"/>
        <v>#NAME?</v>
      </c>
      <c r="AL4" s="4" t="e">
        <f t="shared" ca="1" si="1"/>
        <v>#NAME?</v>
      </c>
      <c r="AM4" s="4" t="e">
        <f t="shared" ca="1" si="1"/>
        <v>#NAME?</v>
      </c>
      <c r="AN4" s="4" t="e">
        <f t="shared" ca="1" si="1"/>
        <v>#NAME?</v>
      </c>
      <c r="AO4" s="4" t="e">
        <f t="shared" ca="1" si="1"/>
        <v>#NAME?</v>
      </c>
      <c r="AP4" s="4" t="e">
        <f t="shared" ca="1" si="1"/>
        <v>#NAME?</v>
      </c>
      <c r="AQ4" s="4" t="e">
        <f t="shared" ref="AO4:AV19" ca="1" si="2">$J4-AQ$3</f>
        <v>#NAME?</v>
      </c>
      <c r="AR4" s="4" t="e">
        <f t="shared" ca="1" si="2"/>
        <v>#NAME?</v>
      </c>
      <c r="AS4" s="4" t="e">
        <f t="shared" ca="1" si="2"/>
        <v>#NAME?</v>
      </c>
      <c r="AT4" s="4" t="e">
        <f t="shared" ca="1" si="2"/>
        <v>#NAME?</v>
      </c>
      <c r="AU4" s="4" t="e">
        <f t="shared" ca="1" si="2"/>
        <v>#NAME?</v>
      </c>
      <c r="AV4" s="118" t="e">
        <f t="shared" ca="1" si="2"/>
        <v>#NAME?</v>
      </c>
      <c r="AX4" t="s">
        <v>94</v>
      </c>
      <c r="AY4" s="156">
        <v>0.05</v>
      </c>
    </row>
    <row r="5" spans="1:56" x14ac:dyDescent="0.35">
      <c r="A5" s="59">
        <v>65</v>
      </c>
      <c r="B5" s="7">
        <v>86</v>
      </c>
      <c r="C5" s="7">
        <v>88</v>
      </c>
      <c r="D5" s="7">
        <v>72</v>
      </c>
      <c r="E5" s="59">
        <v>80</v>
      </c>
      <c r="F5" s="7">
        <v>35</v>
      </c>
      <c r="G5" s="7">
        <v>87</v>
      </c>
      <c r="H5" s="60">
        <v>79</v>
      </c>
      <c r="J5" t="e">
        <f ca="1"/>
        <v>#NAME?</v>
      </c>
      <c r="K5" s="59" t="e">
        <f t="shared" ca="1" si="0"/>
        <v>#NAME?</v>
      </c>
      <c r="L5" s="7" t="e">
        <f t="shared" ca="1" si="0"/>
        <v>#NAME?</v>
      </c>
      <c r="M5" s="7" t="e">
        <f t="shared" ca="1" si="0"/>
        <v>#NAME?</v>
      </c>
      <c r="N5" s="7" t="e">
        <f t="shared" ca="1" si="0"/>
        <v>#NAME?</v>
      </c>
      <c r="O5" s="7" t="e">
        <f t="shared" ca="1" si="0"/>
        <v>#NAME?</v>
      </c>
      <c r="P5" s="7" t="e">
        <f t="shared" ca="1" si="0"/>
        <v>#NAME?</v>
      </c>
      <c r="Q5" s="7" t="e">
        <f t="shared" ca="1" si="0"/>
        <v>#NAME?</v>
      </c>
      <c r="R5" s="7" t="e">
        <f t="shared" ca="1" si="0"/>
        <v>#NAME?</v>
      </c>
      <c r="S5" s="7" t="e">
        <f t="shared" ca="1" si="0"/>
        <v>#NAME?</v>
      </c>
      <c r="T5" s="7" t="e">
        <f t="shared" ca="1" si="0"/>
        <v>#NAME?</v>
      </c>
      <c r="U5" s="7" t="e">
        <f t="shared" ca="1" si="0"/>
        <v>#NAME?</v>
      </c>
      <c r="V5" s="7" t="e">
        <f t="shared" ca="1" si="0"/>
        <v>#NAME?</v>
      </c>
      <c r="W5" s="7" t="e">
        <f t="shared" ca="1" si="0"/>
        <v>#NAME?</v>
      </c>
      <c r="X5" s="7" t="e">
        <f t="shared" ca="1" si="0"/>
        <v>#NAME?</v>
      </c>
      <c r="Y5" s="7" t="e">
        <f t="shared" ca="1" si="0"/>
        <v>#NAME?</v>
      </c>
      <c r="Z5" s="7" t="e">
        <f t="shared" ca="1" si="0"/>
        <v>#NAME?</v>
      </c>
      <c r="AA5" s="7" t="e">
        <f t="shared" ca="1" si="1"/>
        <v>#NAME?</v>
      </c>
      <c r="AB5" s="7" t="e">
        <f t="shared" ca="1" si="1"/>
        <v>#NAME?</v>
      </c>
      <c r="AC5" s="7" t="e">
        <f t="shared" ca="1" si="1"/>
        <v>#NAME?</v>
      </c>
      <c r="AD5" s="7" t="e">
        <f t="shared" ca="1" si="1"/>
        <v>#NAME?</v>
      </c>
      <c r="AE5" s="7" t="e">
        <f t="shared" ca="1" si="1"/>
        <v>#NAME?</v>
      </c>
      <c r="AF5" s="7" t="e">
        <f t="shared" ca="1" si="1"/>
        <v>#NAME?</v>
      </c>
      <c r="AG5" s="7" t="e">
        <f t="shared" ca="1" si="1"/>
        <v>#NAME?</v>
      </c>
      <c r="AH5" s="7" t="e">
        <f t="shared" ca="1" si="1"/>
        <v>#NAME?</v>
      </c>
      <c r="AI5" s="7" t="e">
        <f t="shared" ca="1" si="1"/>
        <v>#NAME?</v>
      </c>
      <c r="AJ5" s="7" t="e">
        <f t="shared" ca="1" si="1"/>
        <v>#NAME?</v>
      </c>
      <c r="AK5" s="7" t="e">
        <f t="shared" ca="1" si="1"/>
        <v>#NAME?</v>
      </c>
      <c r="AL5" s="7" t="e">
        <f t="shared" ca="1" si="1"/>
        <v>#NAME?</v>
      </c>
      <c r="AM5" s="7" t="e">
        <f t="shared" ca="1" si="1"/>
        <v>#NAME?</v>
      </c>
      <c r="AN5" s="7" t="e">
        <f t="shared" ca="1" si="1"/>
        <v>#NAME?</v>
      </c>
      <c r="AO5" s="7" t="e">
        <f t="shared" ca="1" si="2"/>
        <v>#NAME?</v>
      </c>
      <c r="AP5" s="7" t="e">
        <f t="shared" ca="1" si="2"/>
        <v>#NAME?</v>
      </c>
      <c r="AQ5" s="7" t="e">
        <f t="shared" ca="1" si="2"/>
        <v>#NAME?</v>
      </c>
      <c r="AR5" s="7" t="e">
        <f t="shared" ca="1" si="2"/>
        <v>#NAME?</v>
      </c>
      <c r="AS5" s="7" t="e">
        <f t="shared" ca="1" si="2"/>
        <v>#NAME?</v>
      </c>
      <c r="AT5" s="7" t="e">
        <f t="shared" ca="1" si="2"/>
        <v>#NAME?</v>
      </c>
      <c r="AU5" s="7" t="e">
        <f t="shared" ca="1" si="2"/>
        <v>#NAME?</v>
      </c>
      <c r="AV5" s="60" t="e">
        <f t="shared" ca="1" si="2"/>
        <v>#NAME?</v>
      </c>
      <c r="AX5" t="s">
        <v>105</v>
      </c>
      <c r="AY5" s="58">
        <f>COUNT(A4:D13)</f>
        <v>40</v>
      </c>
      <c r="BA5" t="e">
        <f ca="1">FTEXT(AY5)</f>
        <v>#NAME?</v>
      </c>
    </row>
    <row r="6" spans="1:56" x14ac:dyDescent="0.35">
      <c r="A6" s="59">
        <v>89</v>
      </c>
      <c r="B6" s="7">
        <v>89</v>
      </c>
      <c r="C6" s="7">
        <v>74</v>
      </c>
      <c r="D6" s="7">
        <v>92</v>
      </c>
      <c r="E6" s="59">
        <v>63</v>
      </c>
      <c r="F6" s="7">
        <v>78</v>
      </c>
      <c r="G6" s="7">
        <v>77</v>
      </c>
      <c r="H6" s="60">
        <v>67</v>
      </c>
      <c r="J6" t="e">
        <f ca="1"/>
        <v>#NAME?</v>
      </c>
      <c r="K6" s="59" t="e">
        <f t="shared" ca="1" si="0"/>
        <v>#NAME?</v>
      </c>
      <c r="L6" s="7" t="e">
        <f t="shared" ca="1" si="0"/>
        <v>#NAME?</v>
      </c>
      <c r="M6" s="7" t="e">
        <f t="shared" ca="1" si="0"/>
        <v>#NAME?</v>
      </c>
      <c r="N6" s="7" t="e">
        <f t="shared" ca="1" si="0"/>
        <v>#NAME?</v>
      </c>
      <c r="O6" s="7" t="e">
        <f t="shared" ca="1" si="0"/>
        <v>#NAME?</v>
      </c>
      <c r="P6" s="7" t="e">
        <f t="shared" ca="1" si="0"/>
        <v>#NAME?</v>
      </c>
      <c r="Q6" s="7" t="e">
        <f t="shared" ca="1" si="0"/>
        <v>#NAME?</v>
      </c>
      <c r="R6" s="7" t="e">
        <f t="shared" ca="1" si="0"/>
        <v>#NAME?</v>
      </c>
      <c r="S6" s="7" t="e">
        <f t="shared" ca="1" si="0"/>
        <v>#NAME?</v>
      </c>
      <c r="T6" s="7" t="e">
        <f t="shared" ca="1" si="0"/>
        <v>#NAME?</v>
      </c>
      <c r="U6" s="7" t="e">
        <f t="shared" ca="1" si="0"/>
        <v>#NAME?</v>
      </c>
      <c r="V6" s="7" t="e">
        <f t="shared" ca="1" si="0"/>
        <v>#NAME?</v>
      </c>
      <c r="W6" s="7" t="e">
        <f t="shared" ca="1" si="0"/>
        <v>#NAME?</v>
      </c>
      <c r="X6" s="7" t="e">
        <f t="shared" ca="1" si="0"/>
        <v>#NAME?</v>
      </c>
      <c r="Y6" s="7" t="e">
        <f t="shared" ca="1" si="0"/>
        <v>#NAME?</v>
      </c>
      <c r="Z6" s="7" t="e">
        <f t="shared" ca="1" si="0"/>
        <v>#NAME?</v>
      </c>
      <c r="AA6" s="7" t="e">
        <f t="shared" ca="1" si="1"/>
        <v>#NAME?</v>
      </c>
      <c r="AB6" s="7" t="e">
        <f t="shared" ca="1" si="1"/>
        <v>#NAME?</v>
      </c>
      <c r="AC6" s="7" t="e">
        <f t="shared" ca="1" si="1"/>
        <v>#NAME?</v>
      </c>
      <c r="AD6" s="7" t="e">
        <f t="shared" ca="1" si="1"/>
        <v>#NAME?</v>
      </c>
      <c r="AE6" s="7" t="e">
        <f t="shared" ca="1" si="1"/>
        <v>#NAME?</v>
      </c>
      <c r="AF6" s="7" t="e">
        <f t="shared" ca="1" si="1"/>
        <v>#NAME?</v>
      </c>
      <c r="AG6" s="7" t="e">
        <f t="shared" ca="1" si="1"/>
        <v>#NAME?</v>
      </c>
      <c r="AH6" s="7" t="e">
        <f t="shared" ca="1" si="1"/>
        <v>#NAME?</v>
      </c>
      <c r="AI6" s="7" t="e">
        <f t="shared" ca="1" si="1"/>
        <v>#NAME?</v>
      </c>
      <c r="AJ6" s="7" t="e">
        <f t="shared" ca="1" si="1"/>
        <v>#NAME?</v>
      </c>
      <c r="AK6" s="7" t="e">
        <f t="shared" ca="1" si="1"/>
        <v>#NAME?</v>
      </c>
      <c r="AL6" s="7" t="e">
        <f t="shared" ca="1" si="1"/>
        <v>#NAME?</v>
      </c>
      <c r="AM6" s="7" t="e">
        <f t="shared" ca="1" si="1"/>
        <v>#NAME?</v>
      </c>
      <c r="AN6" s="7" t="e">
        <f t="shared" ca="1" si="1"/>
        <v>#NAME?</v>
      </c>
      <c r="AO6" s="7" t="e">
        <f t="shared" ca="1" si="2"/>
        <v>#NAME?</v>
      </c>
      <c r="AP6" s="7" t="e">
        <f t="shared" ca="1" si="2"/>
        <v>#NAME?</v>
      </c>
      <c r="AQ6" s="7" t="e">
        <f t="shared" ca="1" si="2"/>
        <v>#NAME?</v>
      </c>
      <c r="AR6" s="7" t="e">
        <f t="shared" ca="1" si="2"/>
        <v>#NAME?</v>
      </c>
      <c r="AS6" s="7" t="e">
        <f t="shared" ca="1" si="2"/>
        <v>#NAME?</v>
      </c>
      <c r="AT6" s="7" t="e">
        <f t="shared" ca="1" si="2"/>
        <v>#NAME?</v>
      </c>
      <c r="AU6" s="7" t="e">
        <f t="shared" ca="1" si="2"/>
        <v>#NAME?</v>
      </c>
      <c r="AV6" s="60" t="e">
        <f t="shared" ca="1" si="2"/>
        <v>#NAME?</v>
      </c>
      <c r="AX6" t="s">
        <v>26</v>
      </c>
      <c r="AY6" s="58">
        <f>COUNT(E4:H13)</f>
        <v>38</v>
      </c>
      <c r="BA6" t="e">
        <f ca="1">FTEXT(AY6)</f>
        <v>#NAME?</v>
      </c>
    </row>
    <row r="7" spans="1:56" x14ac:dyDescent="0.35">
      <c r="A7" s="59">
        <v>70</v>
      </c>
      <c r="B7" s="7">
        <v>75</v>
      </c>
      <c r="C7" s="7">
        <v>88</v>
      </c>
      <c r="D7" s="7">
        <v>77</v>
      </c>
      <c r="E7" s="59">
        <v>67</v>
      </c>
      <c r="F7" s="7">
        <v>72</v>
      </c>
      <c r="G7" s="7">
        <v>65</v>
      </c>
      <c r="H7" s="60">
        <v>65</v>
      </c>
      <c r="J7" t="e">
        <f ca="1"/>
        <v>#NAME?</v>
      </c>
      <c r="K7" s="59" t="e">
        <f t="shared" ca="1" si="0"/>
        <v>#NAME?</v>
      </c>
      <c r="L7" s="7" t="e">
        <f t="shared" ca="1" si="0"/>
        <v>#NAME?</v>
      </c>
      <c r="M7" s="7" t="e">
        <f t="shared" ca="1" si="0"/>
        <v>#NAME?</v>
      </c>
      <c r="N7" s="7" t="e">
        <f t="shared" ca="1" si="0"/>
        <v>#NAME?</v>
      </c>
      <c r="O7" s="7" t="e">
        <f t="shared" ca="1" si="0"/>
        <v>#NAME?</v>
      </c>
      <c r="P7" s="7" t="e">
        <f t="shared" ca="1" si="0"/>
        <v>#NAME?</v>
      </c>
      <c r="Q7" s="7" t="e">
        <f t="shared" ca="1" si="0"/>
        <v>#NAME?</v>
      </c>
      <c r="R7" s="7" t="e">
        <f t="shared" ca="1" si="0"/>
        <v>#NAME?</v>
      </c>
      <c r="S7" s="7" t="e">
        <f t="shared" ca="1" si="0"/>
        <v>#NAME?</v>
      </c>
      <c r="T7" s="7" t="e">
        <f t="shared" ca="1" si="0"/>
        <v>#NAME?</v>
      </c>
      <c r="U7" s="7" t="e">
        <f t="shared" ca="1" si="0"/>
        <v>#NAME?</v>
      </c>
      <c r="V7" s="7" t="e">
        <f t="shared" ca="1" si="0"/>
        <v>#NAME?</v>
      </c>
      <c r="W7" s="7" t="e">
        <f t="shared" ca="1" si="0"/>
        <v>#NAME?</v>
      </c>
      <c r="X7" s="7" t="e">
        <f t="shared" ca="1" si="0"/>
        <v>#NAME?</v>
      </c>
      <c r="Y7" s="7" t="e">
        <f t="shared" ca="1" si="0"/>
        <v>#NAME?</v>
      </c>
      <c r="Z7" s="7" t="e">
        <f t="shared" ca="1" si="0"/>
        <v>#NAME?</v>
      </c>
      <c r="AA7" s="7" t="e">
        <f t="shared" ca="1" si="1"/>
        <v>#NAME?</v>
      </c>
      <c r="AB7" s="7" t="e">
        <f t="shared" ca="1" si="1"/>
        <v>#NAME?</v>
      </c>
      <c r="AC7" s="7" t="e">
        <f t="shared" ca="1" si="1"/>
        <v>#NAME?</v>
      </c>
      <c r="AD7" s="7" t="e">
        <f t="shared" ca="1" si="1"/>
        <v>#NAME?</v>
      </c>
      <c r="AE7" s="7" t="e">
        <f t="shared" ca="1" si="1"/>
        <v>#NAME?</v>
      </c>
      <c r="AF7" s="7" t="e">
        <f t="shared" ca="1" si="1"/>
        <v>#NAME?</v>
      </c>
      <c r="AG7" s="7" t="e">
        <f t="shared" ca="1" si="1"/>
        <v>#NAME?</v>
      </c>
      <c r="AH7" s="7" t="e">
        <f t="shared" ca="1" si="1"/>
        <v>#NAME?</v>
      </c>
      <c r="AI7" s="7" t="e">
        <f t="shared" ca="1" si="1"/>
        <v>#NAME?</v>
      </c>
      <c r="AJ7" s="7" t="e">
        <f t="shared" ca="1" si="1"/>
        <v>#NAME?</v>
      </c>
      <c r="AK7" s="7" t="e">
        <f t="shared" ca="1" si="1"/>
        <v>#NAME?</v>
      </c>
      <c r="AL7" s="7" t="e">
        <f t="shared" ca="1" si="1"/>
        <v>#NAME?</v>
      </c>
      <c r="AM7" s="7" t="e">
        <f t="shared" ca="1" si="1"/>
        <v>#NAME?</v>
      </c>
      <c r="AN7" s="7" t="e">
        <f t="shared" ca="1" si="1"/>
        <v>#NAME?</v>
      </c>
      <c r="AO7" s="7" t="e">
        <f t="shared" ca="1" si="2"/>
        <v>#NAME?</v>
      </c>
      <c r="AP7" s="7" t="e">
        <f t="shared" ca="1" si="2"/>
        <v>#NAME?</v>
      </c>
      <c r="AQ7" s="7" t="e">
        <f t="shared" ca="1" si="2"/>
        <v>#NAME?</v>
      </c>
      <c r="AR7" s="7" t="e">
        <f t="shared" ca="1" si="2"/>
        <v>#NAME?</v>
      </c>
      <c r="AS7" s="7" t="e">
        <f t="shared" ca="1" si="2"/>
        <v>#NAME?</v>
      </c>
      <c r="AT7" s="7" t="e">
        <f t="shared" ca="1" si="2"/>
        <v>#NAME?</v>
      </c>
      <c r="AU7" s="7" t="e">
        <f t="shared" ca="1" si="2"/>
        <v>#NAME?</v>
      </c>
      <c r="AV7" s="60" t="e">
        <f t="shared" ca="1" si="2"/>
        <v>#NAME?</v>
      </c>
      <c r="AX7" t="s">
        <v>98</v>
      </c>
      <c r="AY7" s="50">
        <f>NORMSINV(1-AY4/2)</f>
        <v>1.9599639845400536</v>
      </c>
      <c r="BA7" s="14" t="s">
        <v>260</v>
      </c>
      <c r="BC7" s="14" t="s">
        <v>261</v>
      </c>
    </row>
    <row r="8" spans="1:56" x14ac:dyDescent="0.35">
      <c r="A8" s="59">
        <v>87</v>
      </c>
      <c r="B8" s="7">
        <v>76</v>
      </c>
      <c r="C8" s="7">
        <v>90</v>
      </c>
      <c r="D8" s="7">
        <v>45</v>
      </c>
      <c r="E8" s="59">
        <v>69</v>
      </c>
      <c r="F8" s="7">
        <v>75</v>
      </c>
      <c r="G8" s="7">
        <v>90</v>
      </c>
      <c r="H8" s="60">
        <v>76</v>
      </c>
      <c r="J8" t="e">
        <f ca="1"/>
        <v>#NAME?</v>
      </c>
      <c r="K8" s="59" t="e">
        <f t="shared" ca="1" si="0"/>
        <v>#NAME?</v>
      </c>
      <c r="L8" s="7" t="e">
        <f t="shared" ca="1" si="0"/>
        <v>#NAME?</v>
      </c>
      <c r="M8" s="7" t="e">
        <f t="shared" ca="1" si="0"/>
        <v>#NAME?</v>
      </c>
      <c r="N8" s="7" t="e">
        <f t="shared" ca="1" si="0"/>
        <v>#NAME?</v>
      </c>
      <c r="O8" s="7" t="e">
        <f t="shared" ca="1" si="0"/>
        <v>#NAME?</v>
      </c>
      <c r="P8" s="7" t="e">
        <f t="shared" ca="1" si="0"/>
        <v>#NAME?</v>
      </c>
      <c r="Q8" s="7" t="e">
        <f t="shared" ca="1" si="0"/>
        <v>#NAME?</v>
      </c>
      <c r="R8" s="7" t="e">
        <f t="shared" ca="1" si="0"/>
        <v>#NAME?</v>
      </c>
      <c r="S8" s="7" t="e">
        <f t="shared" ca="1" si="0"/>
        <v>#NAME?</v>
      </c>
      <c r="T8" s="7" t="e">
        <f t="shared" ca="1" si="0"/>
        <v>#NAME?</v>
      </c>
      <c r="U8" s="7" t="e">
        <f t="shared" ca="1" si="0"/>
        <v>#NAME?</v>
      </c>
      <c r="V8" s="7" t="e">
        <f t="shared" ca="1" si="0"/>
        <v>#NAME?</v>
      </c>
      <c r="W8" s="7" t="e">
        <f t="shared" ca="1" si="0"/>
        <v>#NAME?</v>
      </c>
      <c r="X8" s="7" t="e">
        <f t="shared" ca="1" si="0"/>
        <v>#NAME?</v>
      </c>
      <c r="Y8" s="7" t="e">
        <f t="shared" ca="1" si="0"/>
        <v>#NAME?</v>
      </c>
      <c r="Z8" s="7" t="e">
        <f t="shared" ca="1" si="0"/>
        <v>#NAME?</v>
      </c>
      <c r="AA8" s="7" t="e">
        <f t="shared" ca="1" si="1"/>
        <v>#NAME?</v>
      </c>
      <c r="AB8" s="7" t="e">
        <f t="shared" ca="1" si="1"/>
        <v>#NAME?</v>
      </c>
      <c r="AC8" s="7" t="e">
        <f t="shared" ca="1" si="1"/>
        <v>#NAME?</v>
      </c>
      <c r="AD8" s="7" t="e">
        <f t="shared" ca="1" si="1"/>
        <v>#NAME?</v>
      </c>
      <c r="AE8" s="7" t="e">
        <f t="shared" ca="1" si="1"/>
        <v>#NAME?</v>
      </c>
      <c r="AF8" s="7" t="e">
        <f t="shared" ca="1" si="1"/>
        <v>#NAME?</v>
      </c>
      <c r="AG8" s="7" t="e">
        <f t="shared" ca="1" si="1"/>
        <v>#NAME?</v>
      </c>
      <c r="AH8" s="7" t="e">
        <f t="shared" ca="1" si="1"/>
        <v>#NAME?</v>
      </c>
      <c r="AI8" s="7" t="e">
        <f t="shared" ca="1" si="1"/>
        <v>#NAME?</v>
      </c>
      <c r="AJ8" s="7" t="e">
        <f t="shared" ca="1" si="1"/>
        <v>#NAME?</v>
      </c>
      <c r="AK8" s="7" t="e">
        <f t="shared" ca="1" si="1"/>
        <v>#NAME?</v>
      </c>
      <c r="AL8" s="7" t="e">
        <f t="shared" ca="1" si="1"/>
        <v>#NAME?</v>
      </c>
      <c r="AM8" s="7" t="e">
        <f t="shared" ca="1" si="1"/>
        <v>#NAME?</v>
      </c>
      <c r="AN8" s="7" t="e">
        <f t="shared" ca="1" si="1"/>
        <v>#NAME?</v>
      </c>
      <c r="AO8" s="7" t="e">
        <f t="shared" ca="1" si="2"/>
        <v>#NAME?</v>
      </c>
      <c r="AP8" s="7" t="e">
        <f t="shared" ca="1" si="2"/>
        <v>#NAME?</v>
      </c>
      <c r="AQ8" s="7" t="e">
        <f t="shared" ca="1" si="2"/>
        <v>#NAME?</v>
      </c>
      <c r="AR8" s="7" t="e">
        <f t="shared" ca="1" si="2"/>
        <v>#NAME?</v>
      </c>
      <c r="AS8" s="7" t="e">
        <f t="shared" ca="1" si="2"/>
        <v>#NAME?</v>
      </c>
      <c r="AT8" s="7" t="e">
        <f t="shared" ca="1" si="2"/>
        <v>#NAME?</v>
      </c>
      <c r="AU8" s="7" t="e">
        <f t="shared" ca="1" si="2"/>
        <v>#NAME?</v>
      </c>
      <c r="AV8" s="60" t="e">
        <f t="shared" ca="1" si="2"/>
        <v>#NAME?</v>
      </c>
    </row>
    <row r="9" spans="1:56" x14ac:dyDescent="0.35">
      <c r="A9" s="59">
        <v>61</v>
      </c>
      <c r="B9" s="7">
        <v>69</v>
      </c>
      <c r="C9" s="7">
        <v>87</v>
      </c>
      <c r="D9" s="7">
        <v>75</v>
      </c>
      <c r="E9" s="59">
        <v>62</v>
      </c>
      <c r="F9" s="7">
        <v>73</v>
      </c>
      <c r="G9" s="7">
        <v>55</v>
      </c>
      <c r="H9" s="60">
        <v>70</v>
      </c>
      <c r="J9" t="e">
        <f ca="1"/>
        <v>#NAME?</v>
      </c>
      <c r="K9" s="59" t="e">
        <f t="shared" ca="1" si="0"/>
        <v>#NAME?</v>
      </c>
      <c r="L9" s="7" t="e">
        <f t="shared" ca="1" si="0"/>
        <v>#NAME?</v>
      </c>
      <c r="M9" s="7" t="e">
        <f t="shared" ca="1" si="0"/>
        <v>#NAME?</v>
      </c>
      <c r="N9" s="7" t="e">
        <f t="shared" ca="1" si="0"/>
        <v>#NAME?</v>
      </c>
      <c r="O9" s="7" t="e">
        <f t="shared" ca="1" si="0"/>
        <v>#NAME?</v>
      </c>
      <c r="P9" s="7" t="e">
        <f t="shared" ca="1" si="0"/>
        <v>#NAME?</v>
      </c>
      <c r="Q9" s="7" t="e">
        <f t="shared" ca="1" si="0"/>
        <v>#NAME?</v>
      </c>
      <c r="R9" s="7" t="e">
        <f t="shared" ca="1" si="0"/>
        <v>#NAME?</v>
      </c>
      <c r="S9" s="7" t="e">
        <f t="shared" ca="1" si="0"/>
        <v>#NAME?</v>
      </c>
      <c r="T9" s="7" t="e">
        <f t="shared" ca="1" si="0"/>
        <v>#NAME?</v>
      </c>
      <c r="U9" s="7" t="e">
        <f t="shared" ca="1" si="0"/>
        <v>#NAME?</v>
      </c>
      <c r="V9" s="7" t="e">
        <f t="shared" ca="1" si="0"/>
        <v>#NAME?</v>
      </c>
      <c r="W9" s="7" t="e">
        <f t="shared" ca="1" si="0"/>
        <v>#NAME?</v>
      </c>
      <c r="X9" s="7" t="e">
        <f t="shared" ca="1" si="0"/>
        <v>#NAME?</v>
      </c>
      <c r="Y9" s="7" t="e">
        <f t="shared" ca="1" si="0"/>
        <v>#NAME?</v>
      </c>
      <c r="Z9" s="7" t="e">
        <f t="shared" ca="1" si="0"/>
        <v>#NAME?</v>
      </c>
      <c r="AA9" s="7" t="e">
        <f t="shared" ca="1" si="1"/>
        <v>#NAME?</v>
      </c>
      <c r="AB9" s="7" t="e">
        <f t="shared" ca="1" si="1"/>
        <v>#NAME?</v>
      </c>
      <c r="AC9" s="7" t="e">
        <f t="shared" ca="1" si="1"/>
        <v>#NAME?</v>
      </c>
      <c r="AD9" s="7" t="e">
        <f t="shared" ca="1" si="1"/>
        <v>#NAME?</v>
      </c>
      <c r="AE9" s="7" t="e">
        <f t="shared" ca="1" si="1"/>
        <v>#NAME?</v>
      </c>
      <c r="AF9" s="7" t="e">
        <f t="shared" ca="1" si="1"/>
        <v>#NAME?</v>
      </c>
      <c r="AG9" s="7" t="e">
        <f t="shared" ca="1" si="1"/>
        <v>#NAME?</v>
      </c>
      <c r="AH9" s="7" t="e">
        <f t="shared" ca="1" si="1"/>
        <v>#NAME?</v>
      </c>
      <c r="AI9" s="7" t="e">
        <f t="shared" ca="1" si="1"/>
        <v>#NAME?</v>
      </c>
      <c r="AJ9" s="7" t="e">
        <f t="shared" ca="1" si="1"/>
        <v>#NAME?</v>
      </c>
      <c r="AK9" s="7" t="e">
        <f t="shared" ca="1" si="1"/>
        <v>#NAME?</v>
      </c>
      <c r="AL9" s="7" t="e">
        <f t="shared" ca="1" si="1"/>
        <v>#NAME?</v>
      </c>
      <c r="AM9" s="7" t="e">
        <f t="shared" ca="1" si="1"/>
        <v>#NAME?</v>
      </c>
      <c r="AN9" s="7" t="e">
        <f t="shared" ca="1" si="1"/>
        <v>#NAME?</v>
      </c>
      <c r="AO9" s="7" t="e">
        <f t="shared" ca="1" si="2"/>
        <v>#NAME?</v>
      </c>
      <c r="AP9" s="7" t="e">
        <f t="shared" ca="1" si="2"/>
        <v>#NAME?</v>
      </c>
      <c r="AQ9" s="7" t="e">
        <f t="shared" ca="1" si="2"/>
        <v>#NAME?</v>
      </c>
      <c r="AR9" s="7" t="e">
        <f t="shared" ca="1" si="2"/>
        <v>#NAME?</v>
      </c>
      <c r="AS9" s="7" t="e">
        <f t="shared" ca="1" si="2"/>
        <v>#NAME?</v>
      </c>
      <c r="AT9" s="7" t="e">
        <f t="shared" ca="1" si="2"/>
        <v>#NAME?</v>
      </c>
      <c r="AU9" s="7" t="e">
        <f t="shared" ca="1" si="2"/>
        <v>#NAME?</v>
      </c>
      <c r="AV9" s="60" t="e">
        <f t="shared" ca="1" si="2"/>
        <v>#NAME?</v>
      </c>
      <c r="AX9" t="s">
        <v>132</v>
      </c>
      <c r="AY9" s="156">
        <f>INT(AY5*AY6/2-AY7*SQRT(AY5*AY6*(AY5+AY6+1)/12))</f>
        <v>563</v>
      </c>
      <c r="BA9" t="e">
        <f ca="1">FTEXT(AY9)</f>
        <v>#NAME?</v>
      </c>
      <c r="BC9" t="e">
        <f t="array" aca="1" ref="BC9:BD17" ca="1">MANN_CONF(A4:D13,E4:H13,TRUE)</f>
        <v>#NAME?</v>
      </c>
      <c r="BD9" s="156" t="e">
        <f ca="1"/>
        <v>#NAME?</v>
      </c>
    </row>
    <row r="10" spans="1:56" x14ac:dyDescent="0.35">
      <c r="A10" s="59">
        <v>94</v>
      </c>
      <c r="B10" s="7">
        <v>69</v>
      </c>
      <c r="C10" s="7">
        <v>95</v>
      </c>
      <c r="D10" s="7">
        <v>70</v>
      </c>
      <c r="E10" s="59">
        <v>67</v>
      </c>
      <c r="F10" s="7">
        <v>71</v>
      </c>
      <c r="G10" s="7">
        <v>69</v>
      </c>
      <c r="H10" s="60">
        <v>64</v>
      </c>
      <c r="J10" t="e">
        <f ca="1"/>
        <v>#NAME?</v>
      </c>
      <c r="K10" s="59" t="e">
        <f t="shared" ca="1" si="0"/>
        <v>#NAME?</v>
      </c>
      <c r="L10" s="7" t="e">
        <f t="shared" ca="1" si="0"/>
        <v>#NAME?</v>
      </c>
      <c r="M10" s="7" t="e">
        <f t="shared" ca="1" si="0"/>
        <v>#NAME?</v>
      </c>
      <c r="N10" s="7" t="e">
        <f t="shared" ca="1" si="0"/>
        <v>#NAME?</v>
      </c>
      <c r="O10" s="7" t="e">
        <f t="shared" ca="1" si="0"/>
        <v>#NAME?</v>
      </c>
      <c r="P10" s="7" t="e">
        <f t="shared" ca="1" si="0"/>
        <v>#NAME?</v>
      </c>
      <c r="Q10" s="7" t="e">
        <f t="shared" ca="1" si="0"/>
        <v>#NAME?</v>
      </c>
      <c r="R10" s="7" t="e">
        <f t="shared" ca="1" si="0"/>
        <v>#NAME?</v>
      </c>
      <c r="S10" s="7" t="e">
        <f t="shared" ca="1" si="0"/>
        <v>#NAME?</v>
      </c>
      <c r="T10" s="7" t="e">
        <f t="shared" ca="1" si="0"/>
        <v>#NAME?</v>
      </c>
      <c r="U10" s="7" t="e">
        <f t="shared" ca="1" si="0"/>
        <v>#NAME?</v>
      </c>
      <c r="V10" s="7" t="e">
        <f t="shared" ca="1" si="0"/>
        <v>#NAME?</v>
      </c>
      <c r="W10" s="7" t="e">
        <f t="shared" ca="1" si="0"/>
        <v>#NAME?</v>
      </c>
      <c r="X10" s="7" t="e">
        <f t="shared" ca="1" si="0"/>
        <v>#NAME?</v>
      </c>
      <c r="Y10" s="7" t="e">
        <f t="shared" ca="1" si="0"/>
        <v>#NAME?</v>
      </c>
      <c r="Z10" s="7" t="e">
        <f t="shared" ca="1" si="0"/>
        <v>#NAME?</v>
      </c>
      <c r="AA10" s="7" t="e">
        <f t="shared" ca="1" si="1"/>
        <v>#NAME?</v>
      </c>
      <c r="AB10" s="7" t="e">
        <f t="shared" ca="1" si="1"/>
        <v>#NAME?</v>
      </c>
      <c r="AC10" s="7" t="e">
        <f t="shared" ca="1" si="1"/>
        <v>#NAME?</v>
      </c>
      <c r="AD10" s="7" t="e">
        <f t="shared" ca="1" si="1"/>
        <v>#NAME?</v>
      </c>
      <c r="AE10" s="7" t="e">
        <f t="shared" ca="1" si="1"/>
        <v>#NAME?</v>
      </c>
      <c r="AF10" s="7" t="e">
        <f t="shared" ca="1" si="1"/>
        <v>#NAME?</v>
      </c>
      <c r="AG10" s="7" t="e">
        <f t="shared" ca="1" si="1"/>
        <v>#NAME?</v>
      </c>
      <c r="AH10" s="7" t="e">
        <f t="shared" ca="1" si="1"/>
        <v>#NAME?</v>
      </c>
      <c r="AI10" s="7" t="e">
        <f t="shared" ca="1" si="1"/>
        <v>#NAME?</v>
      </c>
      <c r="AJ10" s="7" t="e">
        <f t="shared" ca="1" si="1"/>
        <v>#NAME?</v>
      </c>
      <c r="AK10" s="7" t="e">
        <f t="shared" ca="1" si="1"/>
        <v>#NAME?</v>
      </c>
      <c r="AL10" s="7" t="e">
        <f t="shared" ca="1" si="1"/>
        <v>#NAME?</v>
      </c>
      <c r="AM10" s="7" t="e">
        <f t="shared" ca="1" si="1"/>
        <v>#NAME?</v>
      </c>
      <c r="AN10" s="7" t="e">
        <f t="shared" ca="1" si="1"/>
        <v>#NAME?</v>
      </c>
      <c r="AO10" s="7" t="e">
        <f t="shared" ca="1" si="2"/>
        <v>#NAME?</v>
      </c>
      <c r="AP10" s="7" t="e">
        <f t="shared" ca="1" si="2"/>
        <v>#NAME?</v>
      </c>
      <c r="AQ10" s="7" t="e">
        <f t="shared" ca="1" si="2"/>
        <v>#NAME?</v>
      </c>
      <c r="AR10" s="7" t="e">
        <f t="shared" ca="1" si="2"/>
        <v>#NAME?</v>
      </c>
      <c r="AS10" s="7" t="e">
        <f t="shared" ca="1" si="2"/>
        <v>#NAME?</v>
      </c>
      <c r="AT10" s="7" t="e">
        <f t="shared" ca="1" si="2"/>
        <v>#NAME?</v>
      </c>
      <c r="AU10" s="7" t="e">
        <f t="shared" ca="1" si="2"/>
        <v>#NAME?</v>
      </c>
      <c r="AV10" s="60" t="e">
        <f t="shared" ca="1" si="2"/>
        <v>#NAME?</v>
      </c>
      <c r="AX10" t="s">
        <v>94</v>
      </c>
      <c r="AY10" s="58">
        <f>2*NORMDIST(AY9,AY5*AY6/2,SQRT(AY5*AY6*(AY5+AY6+1)/12),TRUE)</f>
        <v>4.8913640573644585E-2</v>
      </c>
      <c r="BA10" s="14" t="s">
        <v>262</v>
      </c>
      <c r="BC10" t="e">
        <f ca="1"/>
        <v>#NAME?</v>
      </c>
      <c r="BD10" s="58" t="e">
        <f ca="1"/>
        <v>#NAME?</v>
      </c>
    </row>
    <row r="11" spans="1:56" x14ac:dyDescent="0.35">
      <c r="A11" s="59">
        <v>98</v>
      </c>
      <c r="B11" s="7">
        <v>61</v>
      </c>
      <c r="C11" s="7">
        <v>66</v>
      </c>
      <c r="D11" s="7">
        <v>91</v>
      </c>
      <c r="E11" s="59">
        <v>62</v>
      </c>
      <c r="F11" s="7">
        <v>78</v>
      </c>
      <c r="G11" s="7">
        <v>91</v>
      </c>
      <c r="H11" s="60">
        <v>64</v>
      </c>
      <c r="J11" t="e">
        <f ca="1"/>
        <v>#NAME?</v>
      </c>
      <c r="K11" s="59" t="e">
        <f t="shared" ca="1" si="0"/>
        <v>#NAME?</v>
      </c>
      <c r="L11" s="7" t="e">
        <f t="shared" ca="1" si="0"/>
        <v>#NAME?</v>
      </c>
      <c r="M11" s="7" t="e">
        <f t="shared" ca="1" si="0"/>
        <v>#NAME?</v>
      </c>
      <c r="N11" s="7" t="e">
        <f t="shared" ca="1" si="0"/>
        <v>#NAME?</v>
      </c>
      <c r="O11" s="7" t="e">
        <f t="shared" ca="1" si="0"/>
        <v>#NAME?</v>
      </c>
      <c r="P11" s="7" t="e">
        <f t="shared" ca="1" si="0"/>
        <v>#NAME?</v>
      </c>
      <c r="Q11" s="7" t="e">
        <f t="shared" ca="1" si="0"/>
        <v>#NAME?</v>
      </c>
      <c r="R11" s="7" t="e">
        <f t="shared" ca="1" si="0"/>
        <v>#NAME?</v>
      </c>
      <c r="S11" s="7" t="e">
        <f t="shared" ca="1" si="0"/>
        <v>#NAME?</v>
      </c>
      <c r="T11" s="7" t="e">
        <f t="shared" ca="1" si="0"/>
        <v>#NAME?</v>
      </c>
      <c r="U11" s="7" t="e">
        <f t="shared" ca="1" si="0"/>
        <v>#NAME?</v>
      </c>
      <c r="V11" s="7" t="e">
        <f t="shared" ca="1" si="0"/>
        <v>#NAME?</v>
      </c>
      <c r="W11" s="7" t="e">
        <f t="shared" ca="1" si="0"/>
        <v>#NAME?</v>
      </c>
      <c r="X11" s="7" t="e">
        <f t="shared" ca="1" si="0"/>
        <v>#NAME?</v>
      </c>
      <c r="Y11" s="7" t="e">
        <f t="shared" ca="1" si="0"/>
        <v>#NAME?</v>
      </c>
      <c r="Z11" s="7" t="e">
        <f t="shared" ca="1" si="0"/>
        <v>#NAME?</v>
      </c>
      <c r="AA11" s="7" t="e">
        <f t="shared" ca="1" si="1"/>
        <v>#NAME?</v>
      </c>
      <c r="AB11" s="7" t="e">
        <f t="shared" ca="1" si="1"/>
        <v>#NAME?</v>
      </c>
      <c r="AC11" s="7" t="e">
        <f t="shared" ca="1" si="1"/>
        <v>#NAME?</v>
      </c>
      <c r="AD11" s="7" t="e">
        <f t="shared" ca="1" si="1"/>
        <v>#NAME?</v>
      </c>
      <c r="AE11" s="7" t="e">
        <f t="shared" ca="1" si="1"/>
        <v>#NAME?</v>
      </c>
      <c r="AF11" s="7" t="e">
        <f t="shared" ca="1" si="1"/>
        <v>#NAME?</v>
      </c>
      <c r="AG11" s="7" t="e">
        <f t="shared" ca="1" si="1"/>
        <v>#NAME?</v>
      </c>
      <c r="AH11" s="7" t="e">
        <f t="shared" ca="1" si="1"/>
        <v>#NAME?</v>
      </c>
      <c r="AI11" s="7" t="e">
        <f t="shared" ca="1" si="1"/>
        <v>#NAME?</v>
      </c>
      <c r="AJ11" s="7" t="e">
        <f t="shared" ca="1" si="1"/>
        <v>#NAME?</v>
      </c>
      <c r="AK11" s="7" t="e">
        <f t="shared" ca="1" si="1"/>
        <v>#NAME?</v>
      </c>
      <c r="AL11" s="7" t="e">
        <f t="shared" ca="1" si="1"/>
        <v>#NAME?</v>
      </c>
      <c r="AM11" s="7" t="e">
        <f t="shared" ca="1" si="1"/>
        <v>#NAME?</v>
      </c>
      <c r="AN11" s="7" t="e">
        <f t="shared" ca="1" si="1"/>
        <v>#NAME?</v>
      </c>
      <c r="AO11" s="7" t="e">
        <f t="shared" ca="1" si="2"/>
        <v>#NAME?</v>
      </c>
      <c r="AP11" s="7" t="e">
        <f t="shared" ca="1" si="2"/>
        <v>#NAME?</v>
      </c>
      <c r="AQ11" s="7" t="e">
        <f t="shared" ca="1" si="2"/>
        <v>#NAME?</v>
      </c>
      <c r="AR11" s="7" t="e">
        <f t="shared" ca="1" si="2"/>
        <v>#NAME?</v>
      </c>
      <c r="AS11" s="7" t="e">
        <f t="shared" ca="1" si="2"/>
        <v>#NAME?</v>
      </c>
      <c r="AT11" s="7" t="e">
        <f t="shared" ca="1" si="2"/>
        <v>#NAME?</v>
      </c>
      <c r="AU11" s="7" t="e">
        <f t="shared" ca="1" si="2"/>
        <v>#NAME?</v>
      </c>
      <c r="AV11" s="60" t="e">
        <f t="shared" ca="1" si="2"/>
        <v>#NAME?</v>
      </c>
      <c r="AX11" t="s">
        <v>24</v>
      </c>
      <c r="AY11" s="58" t="e">
        <f ca="1">SMALL(K4:AV43,AY9)</f>
        <v>#NAME?</v>
      </c>
      <c r="BA11" t="e">
        <f ca="1">FTEXT(AY11)</f>
        <v>#NAME?</v>
      </c>
      <c r="BC11" t="e">
        <f ca="1"/>
        <v>#NAME?</v>
      </c>
      <c r="BD11" s="58" t="e">
        <f ca="1"/>
        <v>#NAME?</v>
      </c>
    </row>
    <row r="12" spans="1:56" x14ac:dyDescent="0.35">
      <c r="A12" s="59">
        <v>81</v>
      </c>
      <c r="B12" s="7">
        <v>72</v>
      </c>
      <c r="C12" s="7">
        <v>72</v>
      </c>
      <c r="D12" s="7">
        <v>73</v>
      </c>
      <c r="E12" s="59">
        <v>71</v>
      </c>
      <c r="F12" s="7">
        <v>80</v>
      </c>
      <c r="G12" s="7">
        <v>30</v>
      </c>
      <c r="H12" s="60"/>
      <c r="J12" t="e">
        <f ca="1"/>
        <v>#NAME?</v>
      </c>
      <c r="K12" s="59" t="e">
        <f t="shared" ca="1" si="0"/>
        <v>#NAME?</v>
      </c>
      <c r="L12" s="7" t="e">
        <f t="shared" ca="1" si="0"/>
        <v>#NAME?</v>
      </c>
      <c r="M12" s="7" t="e">
        <f t="shared" ca="1" si="0"/>
        <v>#NAME?</v>
      </c>
      <c r="N12" s="7" t="e">
        <f t="shared" ca="1" si="0"/>
        <v>#NAME?</v>
      </c>
      <c r="O12" s="7" t="e">
        <f t="shared" ca="1" si="0"/>
        <v>#NAME?</v>
      </c>
      <c r="P12" s="7" t="e">
        <f t="shared" ca="1" si="0"/>
        <v>#NAME?</v>
      </c>
      <c r="Q12" s="7" t="e">
        <f t="shared" ca="1" si="0"/>
        <v>#NAME?</v>
      </c>
      <c r="R12" s="7" t="e">
        <f t="shared" ca="1" si="0"/>
        <v>#NAME?</v>
      </c>
      <c r="S12" s="7" t="e">
        <f t="shared" ca="1" si="0"/>
        <v>#NAME?</v>
      </c>
      <c r="T12" s="7" t="e">
        <f t="shared" ca="1" si="0"/>
        <v>#NAME?</v>
      </c>
      <c r="U12" s="7" t="e">
        <f t="shared" ca="1" si="0"/>
        <v>#NAME?</v>
      </c>
      <c r="V12" s="7" t="e">
        <f t="shared" ca="1" si="0"/>
        <v>#NAME?</v>
      </c>
      <c r="W12" s="7" t="e">
        <f t="shared" ca="1" si="0"/>
        <v>#NAME?</v>
      </c>
      <c r="X12" s="7" t="e">
        <f t="shared" ca="1" si="0"/>
        <v>#NAME?</v>
      </c>
      <c r="Y12" s="7" t="e">
        <f t="shared" ca="1" si="0"/>
        <v>#NAME?</v>
      </c>
      <c r="Z12" s="7" t="e">
        <f t="shared" ca="1" si="0"/>
        <v>#NAME?</v>
      </c>
      <c r="AA12" s="7" t="e">
        <f t="shared" ca="1" si="1"/>
        <v>#NAME?</v>
      </c>
      <c r="AB12" s="7" t="e">
        <f t="shared" ca="1" si="1"/>
        <v>#NAME?</v>
      </c>
      <c r="AC12" s="7" t="e">
        <f t="shared" ca="1" si="1"/>
        <v>#NAME?</v>
      </c>
      <c r="AD12" s="7" t="e">
        <f t="shared" ca="1" si="1"/>
        <v>#NAME?</v>
      </c>
      <c r="AE12" s="7" t="e">
        <f t="shared" ca="1" si="1"/>
        <v>#NAME?</v>
      </c>
      <c r="AF12" s="7" t="e">
        <f t="shared" ca="1" si="1"/>
        <v>#NAME?</v>
      </c>
      <c r="AG12" s="7" t="e">
        <f t="shared" ca="1" si="1"/>
        <v>#NAME?</v>
      </c>
      <c r="AH12" s="7" t="e">
        <f t="shared" ca="1" si="1"/>
        <v>#NAME?</v>
      </c>
      <c r="AI12" s="7" t="e">
        <f t="shared" ca="1" si="1"/>
        <v>#NAME?</v>
      </c>
      <c r="AJ12" s="7" t="e">
        <f t="shared" ca="1" si="1"/>
        <v>#NAME?</v>
      </c>
      <c r="AK12" s="7" t="e">
        <f t="shared" ca="1" si="1"/>
        <v>#NAME?</v>
      </c>
      <c r="AL12" s="7" t="e">
        <f t="shared" ca="1" si="1"/>
        <v>#NAME?</v>
      </c>
      <c r="AM12" s="7" t="e">
        <f t="shared" ca="1" si="1"/>
        <v>#NAME?</v>
      </c>
      <c r="AN12" s="7" t="e">
        <f t="shared" ca="1" si="1"/>
        <v>#NAME?</v>
      </c>
      <c r="AO12" s="7" t="e">
        <f t="shared" ca="1" si="2"/>
        <v>#NAME?</v>
      </c>
      <c r="AP12" s="7" t="e">
        <f t="shared" ca="1" si="2"/>
        <v>#NAME?</v>
      </c>
      <c r="AQ12" s="7" t="e">
        <f t="shared" ca="1" si="2"/>
        <v>#NAME?</v>
      </c>
      <c r="AR12" s="7" t="e">
        <f t="shared" ca="1" si="2"/>
        <v>#NAME?</v>
      </c>
      <c r="AS12" s="7" t="e">
        <f t="shared" ca="1" si="2"/>
        <v>#NAME?</v>
      </c>
      <c r="AT12" s="7" t="e">
        <f t="shared" ca="1" si="2"/>
        <v>#NAME?</v>
      </c>
      <c r="AU12" s="7" t="e">
        <f t="shared" ca="1" si="2"/>
        <v>#NAME?</v>
      </c>
      <c r="AV12" s="60" t="e">
        <f t="shared" ca="1" si="2"/>
        <v>#NAME?</v>
      </c>
      <c r="AX12" t="s">
        <v>25</v>
      </c>
      <c r="AY12" s="58" t="e">
        <f ca="1">LARGE(K4:AV43,AY9)</f>
        <v>#NAME?</v>
      </c>
      <c r="BA12" t="e">
        <f ca="1">FTEXT(AY12)</f>
        <v>#NAME?</v>
      </c>
      <c r="BC12" t="e">
        <f ca="1"/>
        <v>#NAME?</v>
      </c>
      <c r="BD12" s="58" t="e">
        <f ca="1"/>
        <v>#NAME?</v>
      </c>
    </row>
    <row r="13" spans="1:56" x14ac:dyDescent="0.35">
      <c r="A13" s="45">
        <v>70</v>
      </c>
      <c r="B13" s="106">
        <v>77</v>
      </c>
      <c r="C13" s="106">
        <v>84</v>
      </c>
      <c r="D13" s="106">
        <v>67</v>
      </c>
      <c r="E13" s="45">
        <v>70</v>
      </c>
      <c r="F13" s="106">
        <v>45</v>
      </c>
      <c r="G13" s="106">
        <v>71</v>
      </c>
      <c r="H13" s="48"/>
      <c r="J13" t="e">
        <f ca="1"/>
        <v>#NAME?</v>
      </c>
      <c r="K13" s="59" t="e">
        <f t="shared" ca="1" si="0"/>
        <v>#NAME?</v>
      </c>
      <c r="L13" s="7" t="e">
        <f t="shared" ca="1" si="0"/>
        <v>#NAME?</v>
      </c>
      <c r="M13" s="7" t="e">
        <f t="shared" ca="1" si="0"/>
        <v>#NAME?</v>
      </c>
      <c r="N13" s="7" t="e">
        <f t="shared" ca="1" si="0"/>
        <v>#NAME?</v>
      </c>
      <c r="O13" s="7" t="e">
        <f t="shared" ca="1" si="0"/>
        <v>#NAME?</v>
      </c>
      <c r="P13" s="7" t="e">
        <f t="shared" ca="1" si="0"/>
        <v>#NAME?</v>
      </c>
      <c r="Q13" s="7" t="e">
        <f t="shared" ca="1" si="0"/>
        <v>#NAME?</v>
      </c>
      <c r="R13" s="7" t="e">
        <f t="shared" ca="1" si="0"/>
        <v>#NAME?</v>
      </c>
      <c r="S13" s="7" t="e">
        <f t="shared" ca="1" si="0"/>
        <v>#NAME?</v>
      </c>
      <c r="T13" s="7" t="e">
        <f t="shared" ca="1" si="0"/>
        <v>#NAME?</v>
      </c>
      <c r="U13" s="7" t="e">
        <f t="shared" ca="1" si="0"/>
        <v>#NAME?</v>
      </c>
      <c r="V13" s="7" t="e">
        <f t="shared" ca="1" si="0"/>
        <v>#NAME?</v>
      </c>
      <c r="W13" s="7" t="e">
        <f t="shared" ca="1" si="0"/>
        <v>#NAME?</v>
      </c>
      <c r="X13" s="7" t="e">
        <f t="shared" ca="1" si="0"/>
        <v>#NAME?</v>
      </c>
      <c r="Y13" s="7" t="e">
        <f t="shared" ca="1" si="0"/>
        <v>#NAME?</v>
      </c>
      <c r="Z13" s="7" t="e">
        <f t="shared" ca="1" si="0"/>
        <v>#NAME?</v>
      </c>
      <c r="AA13" s="7" t="e">
        <f t="shared" ca="1" si="1"/>
        <v>#NAME?</v>
      </c>
      <c r="AB13" s="7" t="e">
        <f t="shared" ca="1" si="1"/>
        <v>#NAME?</v>
      </c>
      <c r="AC13" s="7" t="e">
        <f t="shared" ca="1" si="1"/>
        <v>#NAME?</v>
      </c>
      <c r="AD13" s="7" t="e">
        <f t="shared" ca="1" si="1"/>
        <v>#NAME?</v>
      </c>
      <c r="AE13" s="7" t="e">
        <f t="shared" ca="1" si="1"/>
        <v>#NAME?</v>
      </c>
      <c r="AF13" s="7" t="e">
        <f t="shared" ca="1" si="1"/>
        <v>#NAME?</v>
      </c>
      <c r="AG13" s="7" t="e">
        <f t="shared" ca="1" si="1"/>
        <v>#NAME?</v>
      </c>
      <c r="AH13" s="7" t="e">
        <f t="shared" ca="1" si="1"/>
        <v>#NAME?</v>
      </c>
      <c r="AI13" s="7" t="e">
        <f t="shared" ca="1" si="1"/>
        <v>#NAME?</v>
      </c>
      <c r="AJ13" s="7" t="e">
        <f t="shared" ca="1" si="1"/>
        <v>#NAME?</v>
      </c>
      <c r="AK13" s="7" t="e">
        <f t="shared" ca="1" si="1"/>
        <v>#NAME?</v>
      </c>
      <c r="AL13" s="7" t="e">
        <f t="shared" ca="1" si="1"/>
        <v>#NAME?</v>
      </c>
      <c r="AM13" s="7" t="e">
        <f t="shared" ca="1" si="1"/>
        <v>#NAME?</v>
      </c>
      <c r="AN13" s="7" t="e">
        <f t="shared" ca="1" si="1"/>
        <v>#NAME?</v>
      </c>
      <c r="AO13" s="7" t="e">
        <f t="shared" ca="1" si="2"/>
        <v>#NAME?</v>
      </c>
      <c r="AP13" s="7" t="e">
        <f t="shared" ca="1" si="2"/>
        <v>#NAME?</v>
      </c>
      <c r="AQ13" s="7" t="e">
        <f t="shared" ca="1" si="2"/>
        <v>#NAME?</v>
      </c>
      <c r="AR13" s="7" t="e">
        <f t="shared" ca="1" si="2"/>
        <v>#NAME?</v>
      </c>
      <c r="AS13" s="7" t="e">
        <f t="shared" ca="1" si="2"/>
        <v>#NAME?</v>
      </c>
      <c r="AT13" s="7" t="e">
        <f t="shared" ca="1" si="2"/>
        <v>#NAME?</v>
      </c>
      <c r="AU13" s="7" t="e">
        <f t="shared" ca="1" si="2"/>
        <v>#NAME?</v>
      </c>
      <c r="AV13" s="60" t="e">
        <f t="shared" ca="1" si="2"/>
        <v>#NAME?</v>
      </c>
      <c r="AX13" t="s">
        <v>106</v>
      </c>
      <c r="AY13" s="58" t="e">
        <f ca="1">MEDIAN(K4:AV43)</f>
        <v>#NAME?</v>
      </c>
      <c r="BA13" t="e">
        <f ca="1">FTEXT(AY13)</f>
        <v>#NAME?</v>
      </c>
      <c r="BC13" t="e">
        <f ca="1"/>
        <v>#NAME?</v>
      </c>
      <c r="BD13" s="58" t="e">
        <f ca="1"/>
        <v>#NAME?</v>
      </c>
    </row>
    <row r="14" spans="1:56" x14ac:dyDescent="0.35">
      <c r="J14" t="e">
        <f ca="1"/>
        <v>#NAME?</v>
      </c>
      <c r="K14" s="59" t="e">
        <f t="shared" ca="1" si="0"/>
        <v>#NAME?</v>
      </c>
      <c r="L14" s="7" t="e">
        <f t="shared" ca="1" si="0"/>
        <v>#NAME?</v>
      </c>
      <c r="M14" s="7" t="e">
        <f t="shared" ca="1" si="0"/>
        <v>#NAME?</v>
      </c>
      <c r="N14" s="7" t="e">
        <f t="shared" ca="1" si="0"/>
        <v>#NAME?</v>
      </c>
      <c r="O14" s="7" t="e">
        <f t="shared" ca="1" si="0"/>
        <v>#NAME?</v>
      </c>
      <c r="P14" s="7" t="e">
        <f t="shared" ca="1" si="0"/>
        <v>#NAME?</v>
      </c>
      <c r="Q14" s="7" t="e">
        <f t="shared" ca="1" si="0"/>
        <v>#NAME?</v>
      </c>
      <c r="R14" s="7" t="e">
        <f t="shared" ca="1" si="0"/>
        <v>#NAME?</v>
      </c>
      <c r="S14" s="7" t="e">
        <f t="shared" ca="1" si="0"/>
        <v>#NAME?</v>
      </c>
      <c r="T14" s="7" t="e">
        <f t="shared" ca="1" si="0"/>
        <v>#NAME?</v>
      </c>
      <c r="U14" s="7" t="e">
        <f t="shared" ca="1" si="0"/>
        <v>#NAME?</v>
      </c>
      <c r="V14" s="7" t="e">
        <f t="shared" ca="1" si="0"/>
        <v>#NAME?</v>
      </c>
      <c r="W14" s="7" t="e">
        <f t="shared" ca="1" si="0"/>
        <v>#NAME?</v>
      </c>
      <c r="X14" s="7" t="e">
        <f t="shared" ca="1" si="0"/>
        <v>#NAME?</v>
      </c>
      <c r="Y14" s="7" t="e">
        <f t="shared" ca="1" si="0"/>
        <v>#NAME?</v>
      </c>
      <c r="Z14" s="7" t="e">
        <f t="shared" ca="1" si="0"/>
        <v>#NAME?</v>
      </c>
      <c r="AA14" s="7" t="e">
        <f t="shared" ca="1" si="1"/>
        <v>#NAME?</v>
      </c>
      <c r="AB14" s="7" t="e">
        <f t="shared" ca="1" si="1"/>
        <v>#NAME?</v>
      </c>
      <c r="AC14" s="7" t="e">
        <f t="shared" ca="1" si="1"/>
        <v>#NAME?</v>
      </c>
      <c r="AD14" s="7" t="e">
        <f t="shared" ca="1" si="1"/>
        <v>#NAME?</v>
      </c>
      <c r="AE14" s="7" t="e">
        <f t="shared" ca="1" si="1"/>
        <v>#NAME?</v>
      </c>
      <c r="AF14" s="7" t="e">
        <f t="shared" ca="1" si="1"/>
        <v>#NAME?</v>
      </c>
      <c r="AG14" s="7" t="e">
        <f t="shared" ca="1" si="1"/>
        <v>#NAME?</v>
      </c>
      <c r="AH14" s="7" t="e">
        <f t="shared" ca="1" si="1"/>
        <v>#NAME?</v>
      </c>
      <c r="AI14" s="7" t="e">
        <f t="shared" ca="1" si="1"/>
        <v>#NAME?</v>
      </c>
      <c r="AJ14" s="7" t="e">
        <f t="shared" ca="1" si="1"/>
        <v>#NAME?</v>
      </c>
      <c r="AK14" s="7" t="e">
        <f t="shared" ca="1" si="1"/>
        <v>#NAME?</v>
      </c>
      <c r="AL14" s="7" t="e">
        <f t="shared" ca="1" si="1"/>
        <v>#NAME?</v>
      </c>
      <c r="AM14" s="7" t="e">
        <f t="shared" ca="1" si="1"/>
        <v>#NAME?</v>
      </c>
      <c r="AN14" s="7" t="e">
        <f t="shared" ca="1" si="1"/>
        <v>#NAME?</v>
      </c>
      <c r="AO14" s="7" t="e">
        <f t="shared" ca="1" si="2"/>
        <v>#NAME?</v>
      </c>
      <c r="AP14" s="7" t="e">
        <f t="shared" ca="1" si="2"/>
        <v>#NAME?</v>
      </c>
      <c r="AQ14" s="7" t="e">
        <f t="shared" ca="1" si="2"/>
        <v>#NAME?</v>
      </c>
      <c r="AR14" s="7" t="e">
        <f t="shared" ca="1" si="2"/>
        <v>#NAME?</v>
      </c>
      <c r="AS14" s="7" t="e">
        <f t="shared" ca="1" si="2"/>
        <v>#NAME?</v>
      </c>
      <c r="AT14" s="7" t="e">
        <f t="shared" ca="1" si="2"/>
        <v>#NAME?</v>
      </c>
      <c r="AU14" s="7" t="e">
        <f t="shared" ca="1" si="2"/>
        <v>#NAME?</v>
      </c>
      <c r="AV14" s="60" t="e">
        <f t="shared" ca="1" si="2"/>
        <v>#NAME?</v>
      </c>
      <c r="AX14" t="s">
        <v>259</v>
      </c>
      <c r="AY14" s="58">
        <f>AY9+1</f>
        <v>564</v>
      </c>
      <c r="BA14" t="e">
        <f ca="1">FTEXT(AY14)</f>
        <v>#NAME?</v>
      </c>
      <c r="BC14" t="e">
        <f ca="1"/>
        <v>#NAME?</v>
      </c>
      <c r="BD14" s="58" t="e">
        <f ca="1"/>
        <v>#NAME?</v>
      </c>
    </row>
    <row r="15" spans="1:56" x14ac:dyDescent="0.35">
      <c r="J15" t="e">
        <f ca="1"/>
        <v>#NAME?</v>
      </c>
      <c r="K15" s="59" t="e">
        <f t="shared" ca="1" si="0"/>
        <v>#NAME?</v>
      </c>
      <c r="L15" s="7" t="e">
        <f t="shared" ca="1" si="0"/>
        <v>#NAME?</v>
      </c>
      <c r="M15" s="7" t="e">
        <f t="shared" ca="1" si="0"/>
        <v>#NAME?</v>
      </c>
      <c r="N15" s="7" t="e">
        <f t="shared" ca="1" si="0"/>
        <v>#NAME?</v>
      </c>
      <c r="O15" s="7" t="e">
        <f t="shared" ca="1" si="0"/>
        <v>#NAME?</v>
      </c>
      <c r="P15" s="7" t="e">
        <f t="shared" ca="1" si="0"/>
        <v>#NAME?</v>
      </c>
      <c r="Q15" s="7" t="e">
        <f t="shared" ca="1" si="0"/>
        <v>#NAME?</v>
      </c>
      <c r="R15" s="7" t="e">
        <f t="shared" ca="1" si="0"/>
        <v>#NAME?</v>
      </c>
      <c r="S15" s="7" t="e">
        <f t="shared" ca="1" si="0"/>
        <v>#NAME?</v>
      </c>
      <c r="T15" s="7" t="e">
        <f t="shared" ca="1" si="0"/>
        <v>#NAME?</v>
      </c>
      <c r="U15" s="7" t="e">
        <f t="shared" ca="1" si="0"/>
        <v>#NAME?</v>
      </c>
      <c r="V15" s="7" t="e">
        <f t="shared" ca="1" si="0"/>
        <v>#NAME?</v>
      </c>
      <c r="W15" s="7" t="e">
        <f t="shared" ca="1" si="0"/>
        <v>#NAME?</v>
      </c>
      <c r="X15" s="7" t="e">
        <f t="shared" ca="1" si="0"/>
        <v>#NAME?</v>
      </c>
      <c r="Y15" s="7" t="e">
        <f t="shared" ca="1" si="0"/>
        <v>#NAME?</v>
      </c>
      <c r="Z15" s="7" t="e">
        <f t="shared" ca="1" si="0"/>
        <v>#NAME?</v>
      </c>
      <c r="AA15" s="7" t="e">
        <f t="shared" ca="1" si="1"/>
        <v>#NAME?</v>
      </c>
      <c r="AB15" s="7" t="e">
        <f t="shared" ca="1" si="1"/>
        <v>#NAME?</v>
      </c>
      <c r="AC15" s="7" t="e">
        <f t="shared" ca="1" si="1"/>
        <v>#NAME?</v>
      </c>
      <c r="AD15" s="7" t="e">
        <f t="shared" ca="1" si="1"/>
        <v>#NAME?</v>
      </c>
      <c r="AE15" s="7" t="e">
        <f t="shared" ca="1" si="1"/>
        <v>#NAME?</v>
      </c>
      <c r="AF15" s="7" t="e">
        <f t="shared" ca="1" si="1"/>
        <v>#NAME?</v>
      </c>
      <c r="AG15" s="7" t="e">
        <f t="shared" ca="1" si="1"/>
        <v>#NAME?</v>
      </c>
      <c r="AH15" s="7" t="e">
        <f t="shared" ca="1" si="1"/>
        <v>#NAME?</v>
      </c>
      <c r="AI15" s="7" t="e">
        <f t="shared" ca="1" si="1"/>
        <v>#NAME?</v>
      </c>
      <c r="AJ15" s="7" t="e">
        <f t="shared" ca="1" si="1"/>
        <v>#NAME?</v>
      </c>
      <c r="AK15" s="7" t="e">
        <f t="shared" ca="1" si="1"/>
        <v>#NAME?</v>
      </c>
      <c r="AL15" s="7" t="e">
        <f t="shared" ca="1" si="1"/>
        <v>#NAME?</v>
      </c>
      <c r="AM15" s="7" t="e">
        <f t="shared" ca="1" si="1"/>
        <v>#NAME?</v>
      </c>
      <c r="AN15" s="7" t="e">
        <f t="shared" ca="1" si="1"/>
        <v>#NAME?</v>
      </c>
      <c r="AO15" s="7" t="e">
        <f t="shared" ca="1" si="2"/>
        <v>#NAME?</v>
      </c>
      <c r="AP15" s="7" t="e">
        <f t="shared" ca="1" si="2"/>
        <v>#NAME?</v>
      </c>
      <c r="AQ15" s="7" t="e">
        <f t="shared" ca="1" si="2"/>
        <v>#NAME?</v>
      </c>
      <c r="AR15" s="7" t="e">
        <f t="shared" ca="1" si="2"/>
        <v>#NAME?</v>
      </c>
      <c r="AS15" s="7" t="e">
        <f t="shared" ca="1" si="2"/>
        <v>#NAME?</v>
      </c>
      <c r="AT15" s="7" t="e">
        <f t="shared" ca="1" si="2"/>
        <v>#NAME?</v>
      </c>
      <c r="AU15" s="7" t="e">
        <f t="shared" ca="1" si="2"/>
        <v>#NAME?</v>
      </c>
      <c r="AV15" s="60" t="e">
        <f t="shared" ca="1" si="2"/>
        <v>#NAME?</v>
      </c>
      <c r="AX15" t="s">
        <v>94</v>
      </c>
      <c r="AY15" s="58">
        <f>2*NORMDIST(AY14,AY5*AY6/2,SQRT(AY5*AY6*(AY5+AY6+1)/12),TRUE)</f>
        <v>5.0072163829291694E-2</v>
      </c>
      <c r="BA15" s="14" t="s">
        <v>263</v>
      </c>
      <c r="BC15" t="e">
        <f ca="1"/>
        <v>#NAME?</v>
      </c>
      <c r="BD15" s="58" t="e">
        <f ca="1"/>
        <v>#NAME?</v>
      </c>
    </row>
    <row r="16" spans="1:56" x14ac:dyDescent="0.35">
      <c r="J16" t="e">
        <f ca="1"/>
        <v>#NAME?</v>
      </c>
      <c r="K16" s="59" t="e">
        <f t="shared" ca="1" si="0"/>
        <v>#NAME?</v>
      </c>
      <c r="L16" s="7" t="e">
        <f t="shared" ca="1" si="0"/>
        <v>#NAME?</v>
      </c>
      <c r="M16" s="7" t="e">
        <f t="shared" ca="1" si="0"/>
        <v>#NAME?</v>
      </c>
      <c r="N16" s="7" t="e">
        <f t="shared" ca="1" si="0"/>
        <v>#NAME?</v>
      </c>
      <c r="O16" s="7" t="e">
        <f t="shared" ca="1" si="0"/>
        <v>#NAME?</v>
      </c>
      <c r="P16" s="7" t="e">
        <f t="shared" ca="1" si="0"/>
        <v>#NAME?</v>
      </c>
      <c r="Q16" s="7" t="e">
        <f t="shared" ca="1" si="0"/>
        <v>#NAME?</v>
      </c>
      <c r="R16" s="7" t="e">
        <f t="shared" ca="1" si="0"/>
        <v>#NAME?</v>
      </c>
      <c r="S16" s="7" t="e">
        <f t="shared" ca="1" si="0"/>
        <v>#NAME?</v>
      </c>
      <c r="T16" s="7" t="e">
        <f t="shared" ca="1" si="0"/>
        <v>#NAME?</v>
      </c>
      <c r="U16" s="7" t="e">
        <f t="shared" ca="1" si="0"/>
        <v>#NAME?</v>
      </c>
      <c r="V16" s="7" t="e">
        <f t="shared" ca="1" si="0"/>
        <v>#NAME?</v>
      </c>
      <c r="W16" s="7" t="e">
        <f t="shared" ca="1" si="0"/>
        <v>#NAME?</v>
      </c>
      <c r="X16" s="7" t="e">
        <f t="shared" ca="1" si="0"/>
        <v>#NAME?</v>
      </c>
      <c r="Y16" s="7" t="e">
        <f t="shared" ca="1" si="0"/>
        <v>#NAME?</v>
      </c>
      <c r="Z16" s="7" t="e">
        <f t="shared" ca="1" si="0"/>
        <v>#NAME?</v>
      </c>
      <c r="AA16" s="7" t="e">
        <f t="shared" ca="1" si="1"/>
        <v>#NAME?</v>
      </c>
      <c r="AB16" s="7" t="e">
        <f t="shared" ca="1" si="1"/>
        <v>#NAME?</v>
      </c>
      <c r="AC16" s="7" t="e">
        <f t="shared" ca="1" si="1"/>
        <v>#NAME?</v>
      </c>
      <c r="AD16" s="7" t="e">
        <f t="shared" ca="1" si="1"/>
        <v>#NAME?</v>
      </c>
      <c r="AE16" s="7" t="e">
        <f t="shared" ca="1" si="1"/>
        <v>#NAME?</v>
      </c>
      <c r="AF16" s="7" t="e">
        <f t="shared" ca="1" si="1"/>
        <v>#NAME?</v>
      </c>
      <c r="AG16" s="7" t="e">
        <f t="shared" ca="1" si="1"/>
        <v>#NAME?</v>
      </c>
      <c r="AH16" s="7" t="e">
        <f t="shared" ca="1" si="1"/>
        <v>#NAME?</v>
      </c>
      <c r="AI16" s="7" t="e">
        <f t="shared" ca="1" si="1"/>
        <v>#NAME?</v>
      </c>
      <c r="AJ16" s="7" t="e">
        <f t="shared" ca="1" si="1"/>
        <v>#NAME?</v>
      </c>
      <c r="AK16" s="7" t="e">
        <f t="shared" ca="1" si="1"/>
        <v>#NAME?</v>
      </c>
      <c r="AL16" s="7" t="e">
        <f t="shared" ca="1" si="1"/>
        <v>#NAME?</v>
      </c>
      <c r="AM16" s="7" t="e">
        <f t="shared" ca="1" si="1"/>
        <v>#NAME?</v>
      </c>
      <c r="AN16" s="7" t="e">
        <f t="shared" ca="1" si="1"/>
        <v>#NAME?</v>
      </c>
      <c r="AO16" s="7" t="e">
        <f t="shared" ca="1" si="2"/>
        <v>#NAME?</v>
      </c>
      <c r="AP16" s="7" t="e">
        <f t="shared" ca="1" si="2"/>
        <v>#NAME?</v>
      </c>
      <c r="AQ16" s="7" t="e">
        <f t="shared" ca="1" si="2"/>
        <v>#NAME?</v>
      </c>
      <c r="AR16" s="7" t="e">
        <f t="shared" ca="1" si="2"/>
        <v>#NAME?</v>
      </c>
      <c r="AS16" s="7" t="e">
        <f t="shared" ca="1" si="2"/>
        <v>#NAME?</v>
      </c>
      <c r="AT16" s="7" t="e">
        <f t="shared" ca="1" si="2"/>
        <v>#NAME?</v>
      </c>
      <c r="AU16" s="7" t="e">
        <f t="shared" ca="1" si="2"/>
        <v>#NAME?</v>
      </c>
      <c r="AV16" s="60" t="e">
        <f t="shared" ca="1" si="2"/>
        <v>#NAME?</v>
      </c>
      <c r="AX16" t="s">
        <v>24</v>
      </c>
      <c r="AY16" s="58" t="e">
        <f ca="1">SMALL(K4:AV43,AY9)</f>
        <v>#NAME?</v>
      </c>
      <c r="BA16" t="e">
        <f ca="1">FTEXT(AY16)</f>
        <v>#NAME?</v>
      </c>
      <c r="BC16" t="e">
        <f ca="1"/>
        <v>#NAME?</v>
      </c>
      <c r="BD16" s="58" t="e">
        <f ca="1"/>
        <v>#NAME?</v>
      </c>
    </row>
    <row r="17" spans="10:56" x14ac:dyDescent="0.35">
      <c r="J17" t="e">
        <f ca="1"/>
        <v>#NAME?</v>
      </c>
      <c r="K17" s="59" t="e">
        <f t="shared" ca="1" si="0"/>
        <v>#NAME?</v>
      </c>
      <c r="L17" s="7" t="e">
        <f t="shared" ca="1" si="0"/>
        <v>#NAME?</v>
      </c>
      <c r="M17" s="7" t="e">
        <f t="shared" ca="1" si="0"/>
        <v>#NAME?</v>
      </c>
      <c r="N17" s="7" t="e">
        <f t="shared" ca="1" si="0"/>
        <v>#NAME?</v>
      </c>
      <c r="O17" s="7" t="e">
        <f t="shared" ca="1" si="0"/>
        <v>#NAME?</v>
      </c>
      <c r="P17" s="7" t="e">
        <f t="shared" ca="1" si="0"/>
        <v>#NAME?</v>
      </c>
      <c r="Q17" s="7" t="e">
        <f t="shared" ca="1" si="0"/>
        <v>#NAME?</v>
      </c>
      <c r="R17" s="7" t="e">
        <f t="shared" ca="1" si="0"/>
        <v>#NAME?</v>
      </c>
      <c r="S17" s="7" t="e">
        <f t="shared" ca="1" si="0"/>
        <v>#NAME?</v>
      </c>
      <c r="T17" s="7" t="e">
        <f t="shared" ca="1" si="0"/>
        <v>#NAME?</v>
      </c>
      <c r="U17" s="7" t="e">
        <f t="shared" ca="1" si="0"/>
        <v>#NAME?</v>
      </c>
      <c r="V17" s="7" t="e">
        <f t="shared" ca="1" si="0"/>
        <v>#NAME?</v>
      </c>
      <c r="W17" s="7" t="e">
        <f t="shared" ca="1" si="0"/>
        <v>#NAME?</v>
      </c>
      <c r="X17" s="7" t="e">
        <f t="shared" ca="1" si="0"/>
        <v>#NAME?</v>
      </c>
      <c r="Y17" s="7" t="e">
        <f t="shared" ca="1" si="0"/>
        <v>#NAME?</v>
      </c>
      <c r="Z17" s="7" t="e">
        <f t="shared" ca="1" si="0"/>
        <v>#NAME?</v>
      </c>
      <c r="AA17" s="7" t="e">
        <f t="shared" ca="1" si="1"/>
        <v>#NAME?</v>
      </c>
      <c r="AB17" s="7" t="e">
        <f t="shared" ca="1" si="1"/>
        <v>#NAME?</v>
      </c>
      <c r="AC17" s="7" t="e">
        <f t="shared" ca="1" si="1"/>
        <v>#NAME?</v>
      </c>
      <c r="AD17" s="7" t="e">
        <f t="shared" ca="1" si="1"/>
        <v>#NAME?</v>
      </c>
      <c r="AE17" s="7" t="e">
        <f t="shared" ca="1" si="1"/>
        <v>#NAME?</v>
      </c>
      <c r="AF17" s="7" t="e">
        <f t="shared" ca="1" si="1"/>
        <v>#NAME?</v>
      </c>
      <c r="AG17" s="7" t="e">
        <f t="shared" ca="1" si="1"/>
        <v>#NAME?</v>
      </c>
      <c r="AH17" s="7" t="e">
        <f t="shared" ca="1" si="1"/>
        <v>#NAME?</v>
      </c>
      <c r="AI17" s="7" t="e">
        <f t="shared" ca="1" si="1"/>
        <v>#NAME?</v>
      </c>
      <c r="AJ17" s="7" t="e">
        <f t="shared" ca="1" si="1"/>
        <v>#NAME?</v>
      </c>
      <c r="AK17" s="7" t="e">
        <f t="shared" ca="1" si="1"/>
        <v>#NAME?</v>
      </c>
      <c r="AL17" s="7" t="e">
        <f t="shared" ca="1" si="1"/>
        <v>#NAME?</v>
      </c>
      <c r="AM17" s="7" t="e">
        <f t="shared" ca="1" si="1"/>
        <v>#NAME?</v>
      </c>
      <c r="AN17" s="7" t="e">
        <f t="shared" ca="1" si="1"/>
        <v>#NAME?</v>
      </c>
      <c r="AO17" s="7" t="e">
        <f t="shared" ca="1" si="2"/>
        <v>#NAME?</v>
      </c>
      <c r="AP17" s="7" t="e">
        <f t="shared" ca="1" si="2"/>
        <v>#NAME?</v>
      </c>
      <c r="AQ17" s="7" t="e">
        <f t="shared" ca="1" si="2"/>
        <v>#NAME?</v>
      </c>
      <c r="AR17" s="7" t="e">
        <f t="shared" ca="1" si="2"/>
        <v>#NAME?</v>
      </c>
      <c r="AS17" s="7" t="e">
        <f t="shared" ca="1" si="2"/>
        <v>#NAME?</v>
      </c>
      <c r="AT17" s="7" t="e">
        <f t="shared" ca="1" si="2"/>
        <v>#NAME?</v>
      </c>
      <c r="AU17" s="7" t="e">
        <f t="shared" ca="1" si="2"/>
        <v>#NAME?</v>
      </c>
      <c r="AV17" s="60" t="e">
        <f t="shared" ca="1" si="2"/>
        <v>#NAME?</v>
      </c>
      <c r="AX17" t="s">
        <v>25</v>
      </c>
      <c r="AY17" s="50" t="e">
        <f ca="1">LARGE(K4:AV43,AY9)</f>
        <v>#NAME?</v>
      </c>
      <c r="BA17" t="e">
        <f ca="1">FTEXT(AY17)</f>
        <v>#NAME?</v>
      </c>
      <c r="BC17" t="e">
        <f ca="1"/>
        <v>#NAME?</v>
      </c>
      <c r="BD17" s="50" t="e">
        <f ca="1"/>
        <v>#NAME?</v>
      </c>
    </row>
    <row r="18" spans="10:56" x14ac:dyDescent="0.35">
      <c r="J18" t="e">
        <f ca="1"/>
        <v>#NAME?</v>
      </c>
      <c r="K18" s="59" t="e">
        <f t="shared" ca="1" si="0"/>
        <v>#NAME?</v>
      </c>
      <c r="L18" s="7" t="e">
        <f t="shared" ca="1" si="0"/>
        <v>#NAME?</v>
      </c>
      <c r="M18" s="7" t="e">
        <f t="shared" ca="1" si="0"/>
        <v>#NAME?</v>
      </c>
      <c r="N18" s="7" t="e">
        <f t="shared" ca="1" si="0"/>
        <v>#NAME?</v>
      </c>
      <c r="O18" s="7" t="e">
        <f t="shared" ca="1" si="0"/>
        <v>#NAME?</v>
      </c>
      <c r="P18" s="7" t="e">
        <f t="shared" ca="1" si="0"/>
        <v>#NAME?</v>
      </c>
      <c r="Q18" s="7" t="e">
        <f t="shared" ca="1" si="0"/>
        <v>#NAME?</v>
      </c>
      <c r="R18" s="7" t="e">
        <f t="shared" ca="1" si="0"/>
        <v>#NAME?</v>
      </c>
      <c r="S18" s="7" t="e">
        <f t="shared" ca="1" si="0"/>
        <v>#NAME?</v>
      </c>
      <c r="T18" s="7" t="e">
        <f t="shared" ca="1" si="0"/>
        <v>#NAME?</v>
      </c>
      <c r="U18" s="7" t="e">
        <f t="shared" ca="1" si="0"/>
        <v>#NAME?</v>
      </c>
      <c r="V18" s="7" t="e">
        <f t="shared" ca="1" si="0"/>
        <v>#NAME?</v>
      </c>
      <c r="W18" s="7" t="e">
        <f t="shared" ca="1" si="0"/>
        <v>#NAME?</v>
      </c>
      <c r="X18" s="7" t="e">
        <f t="shared" ca="1" si="0"/>
        <v>#NAME?</v>
      </c>
      <c r="Y18" s="7" t="e">
        <f t="shared" ca="1" si="0"/>
        <v>#NAME?</v>
      </c>
      <c r="Z18" s="7" t="e">
        <f t="shared" ca="1" si="0"/>
        <v>#NAME?</v>
      </c>
      <c r="AA18" s="7" t="e">
        <f t="shared" ca="1" si="1"/>
        <v>#NAME?</v>
      </c>
      <c r="AB18" s="7" t="e">
        <f t="shared" ca="1" si="1"/>
        <v>#NAME?</v>
      </c>
      <c r="AC18" s="7" t="e">
        <f t="shared" ca="1" si="1"/>
        <v>#NAME?</v>
      </c>
      <c r="AD18" s="7" t="e">
        <f t="shared" ca="1" si="1"/>
        <v>#NAME?</v>
      </c>
      <c r="AE18" s="7" t="e">
        <f t="shared" ca="1" si="1"/>
        <v>#NAME?</v>
      </c>
      <c r="AF18" s="7" t="e">
        <f t="shared" ca="1" si="1"/>
        <v>#NAME?</v>
      </c>
      <c r="AG18" s="7" t="e">
        <f t="shared" ca="1" si="1"/>
        <v>#NAME?</v>
      </c>
      <c r="AH18" s="7" t="e">
        <f t="shared" ca="1" si="1"/>
        <v>#NAME?</v>
      </c>
      <c r="AI18" s="7" t="e">
        <f t="shared" ca="1" si="1"/>
        <v>#NAME?</v>
      </c>
      <c r="AJ18" s="7" t="e">
        <f t="shared" ca="1" si="1"/>
        <v>#NAME?</v>
      </c>
      <c r="AK18" s="7" t="e">
        <f t="shared" ca="1" si="1"/>
        <v>#NAME?</v>
      </c>
      <c r="AL18" s="7" t="e">
        <f t="shared" ca="1" si="1"/>
        <v>#NAME?</v>
      </c>
      <c r="AM18" s="7" t="e">
        <f t="shared" ca="1" si="1"/>
        <v>#NAME?</v>
      </c>
      <c r="AN18" s="7" t="e">
        <f t="shared" ca="1" si="1"/>
        <v>#NAME?</v>
      </c>
      <c r="AO18" s="7" t="e">
        <f t="shared" ca="1" si="2"/>
        <v>#NAME?</v>
      </c>
      <c r="AP18" s="7" t="e">
        <f t="shared" ca="1" si="2"/>
        <v>#NAME?</v>
      </c>
      <c r="AQ18" s="7" t="e">
        <f t="shared" ca="1" si="2"/>
        <v>#NAME?</v>
      </c>
      <c r="AR18" s="7" t="e">
        <f t="shared" ca="1" si="2"/>
        <v>#NAME?</v>
      </c>
      <c r="AS18" s="7" t="e">
        <f t="shared" ca="1" si="2"/>
        <v>#NAME?</v>
      </c>
      <c r="AT18" s="7" t="e">
        <f t="shared" ca="1" si="2"/>
        <v>#NAME?</v>
      </c>
      <c r="AU18" s="7" t="e">
        <f t="shared" ca="1" si="2"/>
        <v>#NAME?</v>
      </c>
      <c r="AV18" s="60" t="e">
        <f t="shared" ca="1" si="2"/>
        <v>#NAME?</v>
      </c>
    </row>
    <row r="19" spans="10:56" x14ac:dyDescent="0.35">
      <c r="J19" t="e">
        <f ca="1"/>
        <v>#NAME?</v>
      </c>
      <c r="K19" s="59" t="e">
        <f t="shared" ca="1" si="0"/>
        <v>#NAME?</v>
      </c>
      <c r="L19" s="7" t="e">
        <f t="shared" ca="1" si="0"/>
        <v>#NAME?</v>
      </c>
      <c r="M19" s="7" t="e">
        <f t="shared" ca="1" si="0"/>
        <v>#NAME?</v>
      </c>
      <c r="N19" s="7" t="e">
        <f t="shared" ca="1" si="0"/>
        <v>#NAME?</v>
      </c>
      <c r="O19" s="7" t="e">
        <f t="shared" ca="1" si="0"/>
        <v>#NAME?</v>
      </c>
      <c r="P19" s="7" t="e">
        <f t="shared" ca="1" si="0"/>
        <v>#NAME?</v>
      </c>
      <c r="Q19" s="7" t="e">
        <f t="shared" ca="1" si="0"/>
        <v>#NAME?</v>
      </c>
      <c r="R19" s="7" t="e">
        <f t="shared" ca="1" si="0"/>
        <v>#NAME?</v>
      </c>
      <c r="S19" s="7" t="e">
        <f t="shared" ca="1" si="0"/>
        <v>#NAME?</v>
      </c>
      <c r="T19" s="7" t="e">
        <f t="shared" ca="1" si="0"/>
        <v>#NAME?</v>
      </c>
      <c r="U19" s="7" t="e">
        <f t="shared" ca="1" si="0"/>
        <v>#NAME?</v>
      </c>
      <c r="V19" s="7" t="e">
        <f t="shared" ca="1" si="0"/>
        <v>#NAME?</v>
      </c>
      <c r="W19" s="7" t="e">
        <f t="shared" ca="1" si="0"/>
        <v>#NAME?</v>
      </c>
      <c r="X19" s="7" t="e">
        <f t="shared" ca="1" si="0"/>
        <v>#NAME?</v>
      </c>
      <c r="Y19" s="7" t="e">
        <f t="shared" ca="1" si="0"/>
        <v>#NAME?</v>
      </c>
      <c r="Z19" s="7" t="e">
        <f t="shared" ref="U19:AJ34" ca="1" si="3">$J19-Z$3</f>
        <v>#NAME?</v>
      </c>
      <c r="AA19" s="7" t="e">
        <f t="shared" ca="1" si="3"/>
        <v>#NAME?</v>
      </c>
      <c r="AB19" s="7" t="e">
        <f t="shared" ca="1" si="3"/>
        <v>#NAME?</v>
      </c>
      <c r="AC19" s="7" t="e">
        <f t="shared" ca="1" si="3"/>
        <v>#NAME?</v>
      </c>
      <c r="AD19" s="7" t="e">
        <f t="shared" ca="1" si="3"/>
        <v>#NAME?</v>
      </c>
      <c r="AE19" s="7" t="e">
        <f t="shared" ca="1" si="1"/>
        <v>#NAME?</v>
      </c>
      <c r="AF19" s="7" t="e">
        <f t="shared" ca="1" si="1"/>
        <v>#NAME?</v>
      </c>
      <c r="AG19" s="7" t="e">
        <f t="shared" ca="1" si="1"/>
        <v>#NAME?</v>
      </c>
      <c r="AH19" s="7" t="e">
        <f t="shared" ca="1" si="1"/>
        <v>#NAME?</v>
      </c>
      <c r="AI19" s="7" t="e">
        <f t="shared" ca="1" si="1"/>
        <v>#NAME?</v>
      </c>
      <c r="AJ19" s="7" t="e">
        <f t="shared" ca="1" si="1"/>
        <v>#NAME?</v>
      </c>
      <c r="AK19" s="7" t="e">
        <f t="shared" ca="1" si="1"/>
        <v>#NAME?</v>
      </c>
      <c r="AL19" s="7" t="e">
        <f t="shared" ca="1" si="1"/>
        <v>#NAME?</v>
      </c>
      <c r="AM19" s="7" t="e">
        <f t="shared" ca="1" si="1"/>
        <v>#NAME?</v>
      </c>
      <c r="AN19" s="7" t="e">
        <f t="shared" ca="1" si="1"/>
        <v>#NAME?</v>
      </c>
      <c r="AO19" s="7" t="e">
        <f t="shared" ca="1" si="2"/>
        <v>#NAME?</v>
      </c>
      <c r="AP19" s="7" t="e">
        <f t="shared" ca="1" si="2"/>
        <v>#NAME?</v>
      </c>
      <c r="AQ19" s="7" t="e">
        <f t="shared" ca="1" si="2"/>
        <v>#NAME?</v>
      </c>
      <c r="AR19" s="7" t="e">
        <f t="shared" ca="1" si="2"/>
        <v>#NAME?</v>
      </c>
      <c r="AS19" s="7" t="e">
        <f t="shared" ca="1" si="2"/>
        <v>#NAME?</v>
      </c>
      <c r="AT19" s="7" t="e">
        <f t="shared" ca="1" si="2"/>
        <v>#NAME?</v>
      </c>
      <c r="AU19" s="7" t="e">
        <f t="shared" ca="1" si="2"/>
        <v>#NAME?</v>
      </c>
      <c r="AV19" s="60" t="e">
        <f t="shared" ca="1" si="2"/>
        <v>#NAME?</v>
      </c>
    </row>
    <row r="20" spans="10:56" x14ac:dyDescent="0.35">
      <c r="J20" t="e">
        <f ca="1"/>
        <v>#NAME?</v>
      </c>
      <c r="K20" s="59" t="e">
        <f t="shared" ref="K20:Z35" ca="1" si="4">$J20-K$3</f>
        <v>#NAME?</v>
      </c>
      <c r="L20" s="7" t="e">
        <f t="shared" ca="1" si="4"/>
        <v>#NAME?</v>
      </c>
      <c r="M20" s="7" t="e">
        <f t="shared" ca="1" si="4"/>
        <v>#NAME?</v>
      </c>
      <c r="N20" s="7" t="e">
        <f t="shared" ca="1" si="4"/>
        <v>#NAME?</v>
      </c>
      <c r="O20" s="7" t="e">
        <f t="shared" ca="1" si="4"/>
        <v>#NAME?</v>
      </c>
      <c r="P20" s="7" t="e">
        <f t="shared" ca="1" si="4"/>
        <v>#NAME?</v>
      </c>
      <c r="Q20" s="7" t="e">
        <f t="shared" ca="1" si="4"/>
        <v>#NAME?</v>
      </c>
      <c r="R20" s="7" t="e">
        <f t="shared" ca="1" si="4"/>
        <v>#NAME?</v>
      </c>
      <c r="S20" s="7" t="e">
        <f t="shared" ca="1" si="4"/>
        <v>#NAME?</v>
      </c>
      <c r="T20" s="7" t="e">
        <f t="shared" ca="1" si="4"/>
        <v>#NAME?</v>
      </c>
      <c r="U20" s="7" t="e">
        <f t="shared" ca="1" si="3"/>
        <v>#NAME?</v>
      </c>
      <c r="V20" s="7" t="e">
        <f t="shared" ca="1" si="3"/>
        <v>#NAME?</v>
      </c>
      <c r="W20" s="7" t="e">
        <f t="shared" ca="1" si="3"/>
        <v>#NAME?</v>
      </c>
      <c r="X20" s="7" t="e">
        <f t="shared" ca="1" si="3"/>
        <v>#NAME?</v>
      </c>
      <c r="Y20" s="7" t="e">
        <f t="shared" ca="1" si="3"/>
        <v>#NAME?</v>
      </c>
      <c r="Z20" s="7" t="e">
        <f t="shared" ca="1" si="3"/>
        <v>#NAME?</v>
      </c>
      <c r="AA20" s="7" t="e">
        <f t="shared" ca="1" si="3"/>
        <v>#NAME?</v>
      </c>
      <c r="AB20" s="7" t="e">
        <f t="shared" ca="1" si="3"/>
        <v>#NAME?</v>
      </c>
      <c r="AC20" s="7" t="e">
        <f t="shared" ca="1" si="3"/>
        <v>#NAME?</v>
      </c>
      <c r="AD20" s="7" t="e">
        <f t="shared" ca="1" si="3"/>
        <v>#NAME?</v>
      </c>
      <c r="AE20" s="7" t="e">
        <f t="shared" ca="1" si="3"/>
        <v>#NAME?</v>
      </c>
      <c r="AF20" s="7" t="e">
        <f t="shared" ca="1" si="3"/>
        <v>#NAME?</v>
      </c>
      <c r="AG20" s="7" t="e">
        <f t="shared" ca="1" si="3"/>
        <v>#NAME?</v>
      </c>
      <c r="AH20" s="7" t="e">
        <f t="shared" ca="1" si="3"/>
        <v>#NAME?</v>
      </c>
      <c r="AI20" s="7" t="e">
        <f t="shared" ca="1" si="3"/>
        <v>#NAME?</v>
      </c>
      <c r="AJ20" s="7" t="e">
        <f t="shared" ca="1" si="3"/>
        <v>#NAME?</v>
      </c>
      <c r="AK20" s="7" t="e">
        <f t="shared" ref="AK20:AV35" ca="1" si="5">$J20-AK$3</f>
        <v>#NAME?</v>
      </c>
      <c r="AL20" s="7" t="e">
        <f t="shared" ca="1" si="5"/>
        <v>#NAME?</v>
      </c>
      <c r="AM20" s="7" t="e">
        <f t="shared" ca="1" si="5"/>
        <v>#NAME?</v>
      </c>
      <c r="AN20" s="7" t="e">
        <f t="shared" ca="1" si="5"/>
        <v>#NAME?</v>
      </c>
      <c r="AO20" s="7" t="e">
        <f t="shared" ca="1" si="5"/>
        <v>#NAME?</v>
      </c>
      <c r="AP20" s="7" t="e">
        <f t="shared" ca="1" si="5"/>
        <v>#NAME?</v>
      </c>
      <c r="AQ20" s="7" t="e">
        <f t="shared" ca="1" si="5"/>
        <v>#NAME?</v>
      </c>
      <c r="AR20" s="7" t="e">
        <f t="shared" ca="1" si="5"/>
        <v>#NAME?</v>
      </c>
      <c r="AS20" s="7" t="e">
        <f t="shared" ca="1" si="5"/>
        <v>#NAME?</v>
      </c>
      <c r="AT20" s="7" t="e">
        <f t="shared" ca="1" si="5"/>
        <v>#NAME?</v>
      </c>
      <c r="AU20" s="7" t="e">
        <f t="shared" ca="1" si="5"/>
        <v>#NAME?</v>
      </c>
      <c r="AV20" s="60" t="e">
        <f t="shared" ca="1" si="5"/>
        <v>#NAME?</v>
      </c>
    </row>
    <row r="21" spans="10:56" x14ac:dyDescent="0.35">
      <c r="J21" t="e">
        <f ca="1"/>
        <v>#NAME?</v>
      </c>
      <c r="K21" s="59" t="e">
        <f t="shared" ca="1" si="4"/>
        <v>#NAME?</v>
      </c>
      <c r="L21" s="7" t="e">
        <f t="shared" ca="1" si="4"/>
        <v>#NAME?</v>
      </c>
      <c r="M21" s="7" t="e">
        <f t="shared" ca="1" si="4"/>
        <v>#NAME?</v>
      </c>
      <c r="N21" s="7" t="e">
        <f t="shared" ca="1" si="4"/>
        <v>#NAME?</v>
      </c>
      <c r="O21" s="7" t="e">
        <f t="shared" ca="1" si="4"/>
        <v>#NAME?</v>
      </c>
      <c r="P21" s="7" t="e">
        <f t="shared" ca="1" si="4"/>
        <v>#NAME?</v>
      </c>
      <c r="Q21" s="7" t="e">
        <f t="shared" ca="1" si="4"/>
        <v>#NAME?</v>
      </c>
      <c r="R21" s="7" t="e">
        <f t="shared" ca="1" si="4"/>
        <v>#NAME?</v>
      </c>
      <c r="S21" s="7" t="e">
        <f t="shared" ca="1" si="4"/>
        <v>#NAME?</v>
      </c>
      <c r="T21" s="7" t="e">
        <f t="shared" ca="1" si="4"/>
        <v>#NAME?</v>
      </c>
      <c r="U21" s="7" t="e">
        <f t="shared" ca="1" si="3"/>
        <v>#NAME?</v>
      </c>
      <c r="V21" s="7" t="e">
        <f t="shared" ca="1" si="3"/>
        <v>#NAME?</v>
      </c>
      <c r="W21" s="7" t="e">
        <f t="shared" ca="1" si="3"/>
        <v>#NAME?</v>
      </c>
      <c r="X21" s="7" t="e">
        <f t="shared" ca="1" si="3"/>
        <v>#NAME?</v>
      </c>
      <c r="Y21" s="7" t="e">
        <f t="shared" ca="1" si="3"/>
        <v>#NAME?</v>
      </c>
      <c r="Z21" s="7" t="e">
        <f t="shared" ca="1" si="3"/>
        <v>#NAME?</v>
      </c>
      <c r="AA21" s="7" t="e">
        <f t="shared" ca="1" si="3"/>
        <v>#NAME?</v>
      </c>
      <c r="AB21" s="7" t="e">
        <f t="shared" ca="1" si="3"/>
        <v>#NAME?</v>
      </c>
      <c r="AC21" s="7" t="e">
        <f t="shared" ca="1" si="3"/>
        <v>#NAME?</v>
      </c>
      <c r="AD21" s="7" t="e">
        <f t="shared" ca="1" si="3"/>
        <v>#NAME?</v>
      </c>
      <c r="AE21" s="7" t="e">
        <f t="shared" ca="1" si="3"/>
        <v>#NAME?</v>
      </c>
      <c r="AF21" s="7" t="e">
        <f t="shared" ca="1" si="3"/>
        <v>#NAME?</v>
      </c>
      <c r="AG21" s="7" t="e">
        <f t="shared" ca="1" si="3"/>
        <v>#NAME?</v>
      </c>
      <c r="AH21" s="7" t="e">
        <f t="shared" ca="1" si="3"/>
        <v>#NAME?</v>
      </c>
      <c r="AI21" s="7" t="e">
        <f t="shared" ca="1" si="3"/>
        <v>#NAME?</v>
      </c>
      <c r="AJ21" s="7" t="e">
        <f t="shared" ca="1" si="3"/>
        <v>#NAME?</v>
      </c>
      <c r="AK21" s="7" t="e">
        <f t="shared" ca="1" si="5"/>
        <v>#NAME?</v>
      </c>
      <c r="AL21" s="7" t="e">
        <f t="shared" ca="1" si="5"/>
        <v>#NAME?</v>
      </c>
      <c r="AM21" s="7" t="e">
        <f t="shared" ca="1" si="5"/>
        <v>#NAME?</v>
      </c>
      <c r="AN21" s="7" t="e">
        <f t="shared" ca="1" si="5"/>
        <v>#NAME?</v>
      </c>
      <c r="AO21" s="7" t="e">
        <f t="shared" ca="1" si="5"/>
        <v>#NAME?</v>
      </c>
      <c r="AP21" s="7" t="e">
        <f t="shared" ca="1" si="5"/>
        <v>#NAME?</v>
      </c>
      <c r="AQ21" s="7" t="e">
        <f t="shared" ca="1" si="5"/>
        <v>#NAME?</v>
      </c>
      <c r="AR21" s="7" t="e">
        <f t="shared" ca="1" si="5"/>
        <v>#NAME?</v>
      </c>
      <c r="AS21" s="7" t="e">
        <f t="shared" ca="1" si="5"/>
        <v>#NAME?</v>
      </c>
      <c r="AT21" s="7" t="e">
        <f t="shared" ca="1" si="5"/>
        <v>#NAME?</v>
      </c>
      <c r="AU21" s="7" t="e">
        <f t="shared" ca="1" si="5"/>
        <v>#NAME?</v>
      </c>
      <c r="AV21" s="60" t="e">
        <f t="shared" ca="1" si="5"/>
        <v>#NAME?</v>
      </c>
    </row>
    <row r="22" spans="10:56" x14ac:dyDescent="0.35">
      <c r="J22" t="e">
        <f ca="1"/>
        <v>#NAME?</v>
      </c>
      <c r="K22" s="59" t="e">
        <f t="shared" ca="1" si="4"/>
        <v>#NAME?</v>
      </c>
      <c r="L22" s="7" t="e">
        <f t="shared" ca="1" si="4"/>
        <v>#NAME?</v>
      </c>
      <c r="M22" s="7" t="e">
        <f t="shared" ca="1" si="4"/>
        <v>#NAME?</v>
      </c>
      <c r="N22" s="7" t="e">
        <f t="shared" ca="1" si="4"/>
        <v>#NAME?</v>
      </c>
      <c r="O22" s="7" t="e">
        <f t="shared" ca="1" si="4"/>
        <v>#NAME?</v>
      </c>
      <c r="P22" s="7" t="e">
        <f t="shared" ca="1" si="4"/>
        <v>#NAME?</v>
      </c>
      <c r="Q22" s="7" t="e">
        <f t="shared" ca="1" si="4"/>
        <v>#NAME?</v>
      </c>
      <c r="R22" s="7" t="e">
        <f t="shared" ca="1" si="4"/>
        <v>#NAME?</v>
      </c>
      <c r="S22" s="7" t="e">
        <f t="shared" ca="1" si="4"/>
        <v>#NAME?</v>
      </c>
      <c r="T22" s="7" t="e">
        <f t="shared" ca="1" si="4"/>
        <v>#NAME?</v>
      </c>
      <c r="U22" s="7" t="e">
        <f t="shared" ca="1" si="3"/>
        <v>#NAME?</v>
      </c>
      <c r="V22" s="7" t="e">
        <f t="shared" ca="1" si="3"/>
        <v>#NAME?</v>
      </c>
      <c r="W22" s="7" t="e">
        <f t="shared" ca="1" si="3"/>
        <v>#NAME?</v>
      </c>
      <c r="X22" s="7" t="e">
        <f t="shared" ca="1" si="3"/>
        <v>#NAME?</v>
      </c>
      <c r="Y22" s="7" t="e">
        <f t="shared" ca="1" si="3"/>
        <v>#NAME?</v>
      </c>
      <c r="Z22" s="7" t="e">
        <f t="shared" ca="1" si="3"/>
        <v>#NAME?</v>
      </c>
      <c r="AA22" s="7" t="e">
        <f t="shared" ca="1" si="3"/>
        <v>#NAME?</v>
      </c>
      <c r="AB22" s="7" t="e">
        <f t="shared" ca="1" si="3"/>
        <v>#NAME?</v>
      </c>
      <c r="AC22" s="7" t="e">
        <f t="shared" ca="1" si="3"/>
        <v>#NAME?</v>
      </c>
      <c r="AD22" s="7" t="e">
        <f t="shared" ca="1" si="3"/>
        <v>#NAME?</v>
      </c>
      <c r="AE22" s="7" t="e">
        <f t="shared" ca="1" si="3"/>
        <v>#NAME?</v>
      </c>
      <c r="AF22" s="7" t="e">
        <f t="shared" ca="1" si="3"/>
        <v>#NAME?</v>
      </c>
      <c r="AG22" s="7" t="e">
        <f t="shared" ca="1" si="3"/>
        <v>#NAME?</v>
      </c>
      <c r="AH22" s="7" t="e">
        <f t="shared" ca="1" si="3"/>
        <v>#NAME?</v>
      </c>
      <c r="AI22" s="7" t="e">
        <f t="shared" ca="1" si="3"/>
        <v>#NAME?</v>
      </c>
      <c r="AJ22" s="7" t="e">
        <f t="shared" ca="1" si="3"/>
        <v>#NAME?</v>
      </c>
      <c r="AK22" s="7" t="e">
        <f t="shared" ca="1" si="5"/>
        <v>#NAME?</v>
      </c>
      <c r="AL22" s="7" t="e">
        <f t="shared" ca="1" si="5"/>
        <v>#NAME?</v>
      </c>
      <c r="AM22" s="7" t="e">
        <f t="shared" ca="1" si="5"/>
        <v>#NAME?</v>
      </c>
      <c r="AN22" s="7" t="e">
        <f t="shared" ca="1" si="5"/>
        <v>#NAME?</v>
      </c>
      <c r="AO22" s="7" t="e">
        <f t="shared" ca="1" si="5"/>
        <v>#NAME?</v>
      </c>
      <c r="AP22" s="7" t="e">
        <f t="shared" ca="1" si="5"/>
        <v>#NAME?</v>
      </c>
      <c r="AQ22" s="7" t="e">
        <f t="shared" ca="1" si="5"/>
        <v>#NAME?</v>
      </c>
      <c r="AR22" s="7" t="e">
        <f t="shared" ca="1" si="5"/>
        <v>#NAME?</v>
      </c>
      <c r="AS22" s="7" t="e">
        <f t="shared" ca="1" si="5"/>
        <v>#NAME?</v>
      </c>
      <c r="AT22" s="7" t="e">
        <f t="shared" ca="1" si="5"/>
        <v>#NAME?</v>
      </c>
      <c r="AU22" s="7" t="e">
        <f t="shared" ca="1" si="5"/>
        <v>#NAME?</v>
      </c>
      <c r="AV22" s="60" t="e">
        <f t="shared" ca="1" si="5"/>
        <v>#NAME?</v>
      </c>
    </row>
    <row r="23" spans="10:56" x14ac:dyDescent="0.35">
      <c r="J23" t="e">
        <f ca="1"/>
        <v>#NAME?</v>
      </c>
      <c r="K23" s="59" t="e">
        <f t="shared" ca="1" si="4"/>
        <v>#NAME?</v>
      </c>
      <c r="L23" s="7" t="e">
        <f t="shared" ca="1" si="4"/>
        <v>#NAME?</v>
      </c>
      <c r="M23" s="7" t="e">
        <f t="shared" ca="1" si="4"/>
        <v>#NAME?</v>
      </c>
      <c r="N23" s="7" t="e">
        <f t="shared" ca="1" si="4"/>
        <v>#NAME?</v>
      </c>
      <c r="O23" s="7" t="e">
        <f t="shared" ca="1" si="4"/>
        <v>#NAME?</v>
      </c>
      <c r="P23" s="7" t="e">
        <f t="shared" ca="1" si="4"/>
        <v>#NAME?</v>
      </c>
      <c r="Q23" s="7" t="e">
        <f t="shared" ca="1" si="4"/>
        <v>#NAME?</v>
      </c>
      <c r="R23" s="7" t="e">
        <f t="shared" ca="1" si="4"/>
        <v>#NAME?</v>
      </c>
      <c r="S23" s="7" t="e">
        <f t="shared" ca="1" si="4"/>
        <v>#NAME?</v>
      </c>
      <c r="T23" s="7" t="e">
        <f t="shared" ca="1" si="4"/>
        <v>#NAME?</v>
      </c>
      <c r="U23" s="7" t="e">
        <f t="shared" ca="1" si="3"/>
        <v>#NAME?</v>
      </c>
      <c r="V23" s="7" t="e">
        <f t="shared" ca="1" si="3"/>
        <v>#NAME?</v>
      </c>
      <c r="W23" s="7" t="e">
        <f t="shared" ca="1" si="3"/>
        <v>#NAME?</v>
      </c>
      <c r="X23" s="7" t="e">
        <f t="shared" ca="1" si="3"/>
        <v>#NAME?</v>
      </c>
      <c r="Y23" s="7" t="e">
        <f t="shared" ca="1" si="3"/>
        <v>#NAME?</v>
      </c>
      <c r="Z23" s="7" t="e">
        <f t="shared" ca="1" si="3"/>
        <v>#NAME?</v>
      </c>
      <c r="AA23" s="7" t="e">
        <f t="shared" ca="1" si="3"/>
        <v>#NAME?</v>
      </c>
      <c r="AB23" s="7" t="e">
        <f t="shared" ca="1" si="3"/>
        <v>#NAME?</v>
      </c>
      <c r="AC23" s="7" t="e">
        <f t="shared" ca="1" si="3"/>
        <v>#NAME?</v>
      </c>
      <c r="AD23" s="7" t="e">
        <f t="shared" ca="1" si="3"/>
        <v>#NAME?</v>
      </c>
      <c r="AE23" s="7" t="e">
        <f t="shared" ca="1" si="3"/>
        <v>#NAME?</v>
      </c>
      <c r="AF23" s="7" t="e">
        <f t="shared" ca="1" si="3"/>
        <v>#NAME?</v>
      </c>
      <c r="AG23" s="7" t="e">
        <f t="shared" ca="1" si="3"/>
        <v>#NAME?</v>
      </c>
      <c r="AH23" s="7" t="e">
        <f t="shared" ca="1" si="3"/>
        <v>#NAME?</v>
      </c>
      <c r="AI23" s="7" t="e">
        <f t="shared" ca="1" si="3"/>
        <v>#NAME?</v>
      </c>
      <c r="AJ23" s="7" t="e">
        <f t="shared" ca="1" si="3"/>
        <v>#NAME?</v>
      </c>
      <c r="AK23" s="7" t="e">
        <f t="shared" ca="1" si="5"/>
        <v>#NAME?</v>
      </c>
      <c r="AL23" s="7" t="e">
        <f t="shared" ca="1" si="5"/>
        <v>#NAME?</v>
      </c>
      <c r="AM23" s="7" t="e">
        <f t="shared" ca="1" si="5"/>
        <v>#NAME?</v>
      </c>
      <c r="AN23" s="7" t="e">
        <f t="shared" ca="1" si="5"/>
        <v>#NAME?</v>
      </c>
      <c r="AO23" s="7" t="e">
        <f t="shared" ca="1" si="5"/>
        <v>#NAME?</v>
      </c>
      <c r="AP23" s="7" t="e">
        <f t="shared" ca="1" si="5"/>
        <v>#NAME?</v>
      </c>
      <c r="AQ23" s="7" t="e">
        <f t="shared" ca="1" si="5"/>
        <v>#NAME?</v>
      </c>
      <c r="AR23" s="7" t="e">
        <f t="shared" ca="1" si="5"/>
        <v>#NAME?</v>
      </c>
      <c r="AS23" s="7" t="e">
        <f t="shared" ca="1" si="5"/>
        <v>#NAME?</v>
      </c>
      <c r="AT23" s="7" t="e">
        <f t="shared" ca="1" si="5"/>
        <v>#NAME?</v>
      </c>
      <c r="AU23" s="7" t="e">
        <f t="shared" ca="1" si="5"/>
        <v>#NAME?</v>
      </c>
      <c r="AV23" s="60" t="e">
        <f t="shared" ca="1" si="5"/>
        <v>#NAME?</v>
      </c>
    </row>
    <row r="24" spans="10:56" x14ac:dyDescent="0.35">
      <c r="J24" t="e">
        <f ca="1"/>
        <v>#NAME?</v>
      </c>
      <c r="K24" s="59" t="e">
        <f t="shared" ca="1" si="4"/>
        <v>#NAME?</v>
      </c>
      <c r="L24" s="7" t="e">
        <f t="shared" ca="1" si="4"/>
        <v>#NAME?</v>
      </c>
      <c r="M24" s="7" t="e">
        <f t="shared" ca="1" si="4"/>
        <v>#NAME?</v>
      </c>
      <c r="N24" s="7" t="e">
        <f t="shared" ca="1" si="4"/>
        <v>#NAME?</v>
      </c>
      <c r="O24" s="7" t="e">
        <f t="shared" ca="1" si="4"/>
        <v>#NAME?</v>
      </c>
      <c r="P24" s="7" t="e">
        <f t="shared" ca="1" si="4"/>
        <v>#NAME?</v>
      </c>
      <c r="Q24" s="7" t="e">
        <f t="shared" ca="1" si="4"/>
        <v>#NAME?</v>
      </c>
      <c r="R24" s="7" t="e">
        <f t="shared" ca="1" si="4"/>
        <v>#NAME?</v>
      </c>
      <c r="S24" s="7" t="e">
        <f t="shared" ca="1" si="4"/>
        <v>#NAME?</v>
      </c>
      <c r="T24" s="7" t="e">
        <f t="shared" ca="1" si="4"/>
        <v>#NAME?</v>
      </c>
      <c r="U24" s="7" t="e">
        <f t="shared" ca="1" si="3"/>
        <v>#NAME?</v>
      </c>
      <c r="V24" s="7" t="e">
        <f t="shared" ca="1" si="3"/>
        <v>#NAME?</v>
      </c>
      <c r="W24" s="7" t="e">
        <f t="shared" ca="1" si="3"/>
        <v>#NAME?</v>
      </c>
      <c r="X24" s="7" t="e">
        <f t="shared" ca="1" si="3"/>
        <v>#NAME?</v>
      </c>
      <c r="Y24" s="7" t="e">
        <f t="shared" ca="1" si="3"/>
        <v>#NAME?</v>
      </c>
      <c r="Z24" s="7" t="e">
        <f t="shared" ca="1" si="3"/>
        <v>#NAME?</v>
      </c>
      <c r="AA24" s="7" t="e">
        <f t="shared" ca="1" si="3"/>
        <v>#NAME?</v>
      </c>
      <c r="AB24" s="7" t="e">
        <f t="shared" ca="1" si="3"/>
        <v>#NAME?</v>
      </c>
      <c r="AC24" s="7" t="e">
        <f t="shared" ca="1" si="3"/>
        <v>#NAME?</v>
      </c>
      <c r="AD24" s="7" t="e">
        <f t="shared" ca="1" si="3"/>
        <v>#NAME?</v>
      </c>
      <c r="AE24" s="7" t="e">
        <f t="shared" ca="1" si="3"/>
        <v>#NAME?</v>
      </c>
      <c r="AF24" s="7" t="e">
        <f t="shared" ca="1" si="3"/>
        <v>#NAME?</v>
      </c>
      <c r="AG24" s="7" t="e">
        <f t="shared" ca="1" si="3"/>
        <v>#NAME?</v>
      </c>
      <c r="AH24" s="7" t="e">
        <f t="shared" ca="1" si="3"/>
        <v>#NAME?</v>
      </c>
      <c r="AI24" s="7" t="e">
        <f t="shared" ca="1" si="3"/>
        <v>#NAME?</v>
      </c>
      <c r="AJ24" s="7" t="e">
        <f t="shared" ca="1" si="3"/>
        <v>#NAME?</v>
      </c>
      <c r="AK24" s="7" t="e">
        <f t="shared" ca="1" si="5"/>
        <v>#NAME?</v>
      </c>
      <c r="AL24" s="7" t="e">
        <f t="shared" ca="1" si="5"/>
        <v>#NAME?</v>
      </c>
      <c r="AM24" s="7" t="e">
        <f t="shared" ca="1" si="5"/>
        <v>#NAME?</v>
      </c>
      <c r="AN24" s="7" t="e">
        <f t="shared" ca="1" si="5"/>
        <v>#NAME?</v>
      </c>
      <c r="AO24" s="7" t="e">
        <f t="shared" ca="1" si="5"/>
        <v>#NAME?</v>
      </c>
      <c r="AP24" s="7" t="e">
        <f t="shared" ca="1" si="5"/>
        <v>#NAME?</v>
      </c>
      <c r="AQ24" s="7" t="e">
        <f t="shared" ca="1" si="5"/>
        <v>#NAME?</v>
      </c>
      <c r="AR24" s="7" t="e">
        <f t="shared" ca="1" si="5"/>
        <v>#NAME?</v>
      </c>
      <c r="AS24" s="7" t="e">
        <f t="shared" ca="1" si="5"/>
        <v>#NAME?</v>
      </c>
      <c r="AT24" s="7" t="e">
        <f t="shared" ca="1" si="5"/>
        <v>#NAME?</v>
      </c>
      <c r="AU24" s="7" t="e">
        <f t="shared" ca="1" si="5"/>
        <v>#NAME?</v>
      </c>
      <c r="AV24" s="60" t="e">
        <f t="shared" ca="1" si="5"/>
        <v>#NAME?</v>
      </c>
    </row>
    <row r="25" spans="10:56" x14ac:dyDescent="0.35">
      <c r="J25" t="e">
        <f ca="1"/>
        <v>#NAME?</v>
      </c>
      <c r="K25" s="59" t="e">
        <f t="shared" ca="1" si="4"/>
        <v>#NAME?</v>
      </c>
      <c r="L25" s="7" t="e">
        <f t="shared" ca="1" si="4"/>
        <v>#NAME?</v>
      </c>
      <c r="M25" s="7" t="e">
        <f t="shared" ca="1" si="4"/>
        <v>#NAME?</v>
      </c>
      <c r="N25" s="7" t="e">
        <f t="shared" ca="1" si="4"/>
        <v>#NAME?</v>
      </c>
      <c r="O25" s="7" t="e">
        <f t="shared" ca="1" si="4"/>
        <v>#NAME?</v>
      </c>
      <c r="P25" s="7" t="e">
        <f t="shared" ca="1" si="4"/>
        <v>#NAME?</v>
      </c>
      <c r="Q25" s="7" t="e">
        <f t="shared" ca="1" si="4"/>
        <v>#NAME?</v>
      </c>
      <c r="R25" s="7" t="e">
        <f t="shared" ca="1" si="4"/>
        <v>#NAME?</v>
      </c>
      <c r="S25" s="7" t="e">
        <f t="shared" ca="1" si="4"/>
        <v>#NAME?</v>
      </c>
      <c r="T25" s="7" t="e">
        <f t="shared" ca="1" si="4"/>
        <v>#NAME?</v>
      </c>
      <c r="U25" s="7" t="e">
        <f t="shared" ca="1" si="3"/>
        <v>#NAME?</v>
      </c>
      <c r="V25" s="7" t="e">
        <f t="shared" ca="1" si="3"/>
        <v>#NAME?</v>
      </c>
      <c r="W25" s="7" t="e">
        <f t="shared" ca="1" si="3"/>
        <v>#NAME?</v>
      </c>
      <c r="X25" s="7" t="e">
        <f t="shared" ca="1" si="3"/>
        <v>#NAME?</v>
      </c>
      <c r="Y25" s="7" t="e">
        <f t="shared" ca="1" si="3"/>
        <v>#NAME?</v>
      </c>
      <c r="Z25" s="7" t="e">
        <f t="shared" ca="1" si="3"/>
        <v>#NAME?</v>
      </c>
      <c r="AA25" s="7" t="e">
        <f t="shared" ca="1" si="3"/>
        <v>#NAME?</v>
      </c>
      <c r="AB25" s="7" t="e">
        <f t="shared" ca="1" si="3"/>
        <v>#NAME?</v>
      </c>
      <c r="AC25" s="7" t="e">
        <f t="shared" ca="1" si="3"/>
        <v>#NAME?</v>
      </c>
      <c r="AD25" s="7" t="e">
        <f t="shared" ca="1" si="3"/>
        <v>#NAME?</v>
      </c>
      <c r="AE25" s="7" t="e">
        <f t="shared" ca="1" si="3"/>
        <v>#NAME?</v>
      </c>
      <c r="AF25" s="7" t="e">
        <f t="shared" ca="1" si="3"/>
        <v>#NAME?</v>
      </c>
      <c r="AG25" s="7" t="e">
        <f t="shared" ca="1" si="3"/>
        <v>#NAME?</v>
      </c>
      <c r="AH25" s="7" t="e">
        <f t="shared" ca="1" si="3"/>
        <v>#NAME?</v>
      </c>
      <c r="AI25" s="7" t="e">
        <f t="shared" ca="1" si="3"/>
        <v>#NAME?</v>
      </c>
      <c r="AJ25" s="7" t="e">
        <f t="shared" ca="1" si="3"/>
        <v>#NAME?</v>
      </c>
      <c r="AK25" s="7" t="e">
        <f t="shared" ca="1" si="5"/>
        <v>#NAME?</v>
      </c>
      <c r="AL25" s="7" t="e">
        <f t="shared" ca="1" si="5"/>
        <v>#NAME?</v>
      </c>
      <c r="AM25" s="7" t="e">
        <f t="shared" ca="1" si="5"/>
        <v>#NAME?</v>
      </c>
      <c r="AN25" s="7" t="e">
        <f t="shared" ca="1" si="5"/>
        <v>#NAME?</v>
      </c>
      <c r="AO25" s="7" t="e">
        <f t="shared" ca="1" si="5"/>
        <v>#NAME?</v>
      </c>
      <c r="AP25" s="7" t="e">
        <f t="shared" ca="1" si="5"/>
        <v>#NAME?</v>
      </c>
      <c r="AQ25" s="7" t="e">
        <f t="shared" ca="1" si="5"/>
        <v>#NAME?</v>
      </c>
      <c r="AR25" s="7" t="e">
        <f t="shared" ca="1" si="5"/>
        <v>#NAME?</v>
      </c>
      <c r="AS25" s="7" t="e">
        <f t="shared" ca="1" si="5"/>
        <v>#NAME?</v>
      </c>
      <c r="AT25" s="7" t="e">
        <f t="shared" ca="1" si="5"/>
        <v>#NAME?</v>
      </c>
      <c r="AU25" s="7" t="e">
        <f t="shared" ca="1" si="5"/>
        <v>#NAME?</v>
      </c>
      <c r="AV25" s="60" t="e">
        <f t="shared" ca="1" si="5"/>
        <v>#NAME?</v>
      </c>
    </row>
    <row r="26" spans="10:56" x14ac:dyDescent="0.35">
      <c r="J26" t="e">
        <f ca="1"/>
        <v>#NAME?</v>
      </c>
      <c r="K26" s="59" t="e">
        <f t="shared" ca="1" si="4"/>
        <v>#NAME?</v>
      </c>
      <c r="L26" s="7" t="e">
        <f t="shared" ca="1" si="4"/>
        <v>#NAME?</v>
      </c>
      <c r="M26" s="7" t="e">
        <f t="shared" ca="1" si="4"/>
        <v>#NAME?</v>
      </c>
      <c r="N26" s="7" t="e">
        <f t="shared" ca="1" si="4"/>
        <v>#NAME?</v>
      </c>
      <c r="O26" s="7" t="e">
        <f t="shared" ca="1" si="4"/>
        <v>#NAME?</v>
      </c>
      <c r="P26" s="7" t="e">
        <f t="shared" ca="1" si="4"/>
        <v>#NAME?</v>
      </c>
      <c r="Q26" s="7" t="e">
        <f t="shared" ca="1" si="4"/>
        <v>#NAME?</v>
      </c>
      <c r="R26" s="7" t="e">
        <f t="shared" ca="1" si="4"/>
        <v>#NAME?</v>
      </c>
      <c r="S26" s="7" t="e">
        <f t="shared" ca="1" si="4"/>
        <v>#NAME?</v>
      </c>
      <c r="T26" s="7" t="e">
        <f t="shared" ca="1" si="4"/>
        <v>#NAME?</v>
      </c>
      <c r="U26" s="7" t="e">
        <f t="shared" ca="1" si="3"/>
        <v>#NAME?</v>
      </c>
      <c r="V26" s="7" t="e">
        <f t="shared" ca="1" si="3"/>
        <v>#NAME?</v>
      </c>
      <c r="W26" s="7" t="e">
        <f t="shared" ca="1" si="3"/>
        <v>#NAME?</v>
      </c>
      <c r="X26" s="7" t="e">
        <f t="shared" ca="1" si="3"/>
        <v>#NAME?</v>
      </c>
      <c r="Y26" s="7" t="e">
        <f t="shared" ca="1" si="3"/>
        <v>#NAME?</v>
      </c>
      <c r="Z26" s="7" t="e">
        <f t="shared" ca="1" si="3"/>
        <v>#NAME?</v>
      </c>
      <c r="AA26" s="7" t="e">
        <f t="shared" ca="1" si="3"/>
        <v>#NAME?</v>
      </c>
      <c r="AB26" s="7" t="e">
        <f t="shared" ca="1" si="3"/>
        <v>#NAME?</v>
      </c>
      <c r="AC26" s="7" t="e">
        <f t="shared" ca="1" si="3"/>
        <v>#NAME?</v>
      </c>
      <c r="AD26" s="7" t="e">
        <f t="shared" ca="1" si="3"/>
        <v>#NAME?</v>
      </c>
      <c r="AE26" s="7" t="e">
        <f t="shared" ca="1" si="3"/>
        <v>#NAME?</v>
      </c>
      <c r="AF26" s="7" t="e">
        <f t="shared" ca="1" si="3"/>
        <v>#NAME?</v>
      </c>
      <c r="AG26" s="7" t="e">
        <f t="shared" ca="1" si="3"/>
        <v>#NAME?</v>
      </c>
      <c r="AH26" s="7" t="e">
        <f t="shared" ca="1" si="3"/>
        <v>#NAME?</v>
      </c>
      <c r="AI26" s="7" t="e">
        <f t="shared" ca="1" si="3"/>
        <v>#NAME?</v>
      </c>
      <c r="AJ26" s="7" t="e">
        <f t="shared" ca="1" si="3"/>
        <v>#NAME?</v>
      </c>
      <c r="AK26" s="7" t="e">
        <f t="shared" ca="1" si="5"/>
        <v>#NAME?</v>
      </c>
      <c r="AL26" s="7" t="e">
        <f t="shared" ca="1" si="5"/>
        <v>#NAME?</v>
      </c>
      <c r="AM26" s="7" t="e">
        <f t="shared" ca="1" si="5"/>
        <v>#NAME?</v>
      </c>
      <c r="AN26" s="7" t="e">
        <f t="shared" ca="1" si="5"/>
        <v>#NAME?</v>
      </c>
      <c r="AO26" s="7" t="e">
        <f t="shared" ca="1" si="5"/>
        <v>#NAME?</v>
      </c>
      <c r="AP26" s="7" t="e">
        <f t="shared" ca="1" si="5"/>
        <v>#NAME?</v>
      </c>
      <c r="AQ26" s="7" t="e">
        <f t="shared" ca="1" si="5"/>
        <v>#NAME?</v>
      </c>
      <c r="AR26" s="7" t="e">
        <f t="shared" ca="1" si="5"/>
        <v>#NAME?</v>
      </c>
      <c r="AS26" s="7" t="e">
        <f t="shared" ca="1" si="5"/>
        <v>#NAME?</v>
      </c>
      <c r="AT26" s="7" t="e">
        <f t="shared" ca="1" si="5"/>
        <v>#NAME?</v>
      </c>
      <c r="AU26" s="7" t="e">
        <f t="shared" ca="1" si="5"/>
        <v>#NAME?</v>
      </c>
      <c r="AV26" s="60" t="e">
        <f t="shared" ca="1" si="5"/>
        <v>#NAME?</v>
      </c>
    </row>
    <row r="27" spans="10:56" x14ac:dyDescent="0.35">
      <c r="J27" t="e">
        <f ca="1"/>
        <v>#NAME?</v>
      </c>
      <c r="K27" s="59" t="e">
        <f t="shared" ca="1" si="4"/>
        <v>#NAME?</v>
      </c>
      <c r="L27" s="7" t="e">
        <f t="shared" ca="1" si="4"/>
        <v>#NAME?</v>
      </c>
      <c r="M27" s="7" t="e">
        <f t="shared" ca="1" si="4"/>
        <v>#NAME?</v>
      </c>
      <c r="N27" s="7" t="e">
        <f t="shared" ca="1" si="4"/>
        <v>#NAME?</v>
      </c>
      <c r="O27" s="7" t="e">
        <f t="shared" ca="1" si="4"/>
        <v>#NAME?</v>
      </c>
      <c r="P27" s="7" t="e">
        <f t="shared" ca="1" si="4"/>
        <v>#NAME?</v>
      </c>
      <c r="Q27" s="7" t="e">
        <f t="shared" ca="1" si="4"/>
        <v>#NAME?</v>
      </c>
      <c r="R27" s="7" t="e">
        <f t="shared" ca="1" si="4"/>
        <v>#NAME?</v>
      </c>
      <c r="S27" s="7" t="e">
        <f t="shared" ca="1" si="4"/>
        <v>#NAME?</v>
      </c>
      <c r="T27" s="7" t="e">
        <f t="shared" ca="1" si="4"/>
        <v>#NAME?</v>
      </c>
      <c r="U27" s="7" t="e">
        <f t="shared" ca="1" si="3"/>
        <v>#NAME?</v>
      </c>
      <c r="V27" s="7" t="e">
        <f t="shared" ca="1" si="3"/>
        <v>#NAME?</v>
      </c>
      <c r="W27" s="7" t="e">
        <f t="shared" ca="1" si="3"/>
        <v>#NAME?</v>
      </c>
      <c r="X27" s="7" t="e">
        <f t="shared" ca="1" si="3"/>
        <v>#NAME?</v>
      </c>
      <c r="Y27" s="7" t="e">
        <f t="shared" ca="1" si="3"/>
        <v>#NAME?</v>
      </c>
      <c r="Z27" s="7" t="e">
        <f t="shared" ca="1" si="3"/>
        <v>#NAME?</v>
      </c>
      <c r="AA27" s="7" t="e">
        <f t="shared" ca="1" si="3"/>
        <v>#NAME?</v>
      </c>
      <c r="AB27" s="7" t="e">
        <f t="shared" ca="1" si="3"/>
        <v>#NAME?</v>
      </c>
      <c r="AC27" s="7" t="e">
        <f t="shared" ca="1" si="3"/>
        <v>#NAME?</v>
      </c>
      <c r="AD27" s="7" t="e">
        <f t="shared" ca="1" si="3"/>
        <v>#NAME?</v>
      </c>
      <c r="AE27" s="7" t="e">
        <f t="shared" ca="1" si="3"/>
        <v>#NAME?</v>
      </c>
      <c r="AF27" s="7" t="e">
        <f t="shared" ca="1" si="3"/>
        <v>#NAME?</v>
      </c>
      <c r="AG27" s="7" t="e">
        <f t="shared" ca="1" si="3"/>
        <v>#NAME?</v>
      </c>
      <c r="AH27" s="7" t="e">
        <f t="shared" ca="1" si="3"/>
        <v>#NAME?</v>
      </c>
      <c r="AI27" s="7" t="e">
        <f t="shared" ca="1" si="3"/>
        <v>#NAME?</v>
      </c>
      <c r="AJ27" s="7" t="e">
        <f t="shared" ca="1" si="3"/>
        <v>#NAME?</v>
      </c>
      <c r="AK27" s="7" t="e">
        <f t="shared" ca="1" si="5"/>
        <v>#NAME?</v>
      </c>
      <c r="AL27" s="7" t="e">
        <f t="shared" ca="1" si="5"/>
        <v>#NAME?</v>
      </c>
      <c r="AM27" s="7" t="e">
        <f t="shared" ca="1" si="5"/>
        <v>#NAME?</v>
      </c>
      <c r="AN27" s="7" t="e">
        <f t="shared" ca="1" si="5"/>
        <v>#NAME?</v>
      </c>
      <c r="AO27" s="7" t="e">
        <f t="shared" ca="1" si="5"/>
        <v>#NAME?</v>
      </c>
      <c r="AP27" s="7" t="e">
        <f t="shared" ca="1" si="5"/>
        <v>#NAME?</v>
      </c>
      <c r="AQ27" s="7" t="e">
        <f t="shared" ca="1" si="5"/>
        <v>#NAME?</v>
      </c>
      <c r="AR27" s="7" t="e">
        <f t="shared" ca="1" si="5"/>
        <v>#NAME?</v>
      </c>
      <c r="AS27" s="7" t="e">
        <f t="shared" ca="1" si="5"/>
        <v>#NAME?</v>
      </c>
      <c r="AT27" s="7" t="e">
        <f t="shared" ca="1" si="5"/>
        <v>#NAME?</v>
      </c>
      <c r="AU27" s="7" t="e">
        <f t="shared" ca="1" si="5"/>
        <v>#NAME?</v>
      </c>
      <c r="AV27" s="60" t="e">
        <f t="shared" ca="1" si="5"/>
        <v>#NAME?</v>
      </c>
    </row>
    <row r="28" spans="10:56" x14ac:dyDescent="0.35">
      <c r="J28" t="e">
        <f ca="1"/>
        <v>#NAME?</v>
      </c>
      <c r="K28" s="59" t="e">
        <f t="shared" ca="1" si="4"/>
        <v>#NAME?</v>
      </c>
      <c r="L28" s="7" t="e">
        <f t="shared" ca="1" si="4"/>
        <v>#NAME?</v>
      </c>
      <c r="M28" s="7" t="e">
        <f t="shared" ca="1" si="4"/>
        <v>#NAME?</v>
      </c>
      <c r="N28" s="7" t="e">
        <f t="shared" ca="1" si="4"/>
        <v>#NAME?</v>
      </c>
      <c r="O28" s="7" t="e">
        <f t="shared" ca="1" si="4"/>
        <v>#NAME?</v>
      </c>
      <c r="P28" s="7" t="e">
        <f t="shared" ca="1" si="4"/>
        <v>#NAME?</v>
      </c>
      <c r="Q28" s="7" t="e">
        <f t="shared" ca="1" si="4"/>
        <v>#NAME?</v>
      </c>
      <c r="R28" s="7" t="e">
        <f t="shared" ca="1" si="4"/>
        <v>#NAME?</v>
      </c>
      <c r="S28" s="7" t="e">
        <f t="shared" ca="1" si="4"/>
        <v>#NAME?</v>
      </c>
      <c r="T28" s="7" t="e">
        <f t="shared" ca="1" si="4"/>
        <v>#NAME?</v>
      </c>
      <c r="U28" s="7" t="e">
        <f t="shared" ca="1" si="3"/>
        <v>#NAME?</v>
      </c>
      <c r="V28" s="7" t="e">
        <f t="shared" ca="1" si="3"/>
        <v>#NAME?</v>
      </c>
      <c r="W28" s="7" t="e">
        <f t="shared" ca="1" si="3"/>
        <v>#NAME?</v>
      </c>
      <c r="X28" s="7" t="e">
        <f t="shared" ca="1" si="3"/>
        <v>#NAME?</v>
      </c>
      <c r="Y28" s="7" t="e">
        <f t="shared" ca="1" si="3"/>
        <v>#NAME?</v>
      </c>
      <c r="Z28" s="7" t="e">
        <f t="shared" ca="1" si="3"/>
        <v>#NAME?</v>
      </c>
      <c r="AA28" s="7" t="e">
        <f t="shared" ca="1" si="3"/>
        <v>#NAME?</v>
      </c>
      <c r="AB28" s="7" t="e">
        <f t="shared" ca="1" si="3"/>
        <v>#NAME?</v>
      </c>
      <c r="AC28" s="7" t="e">
        <f t="shared" ca="1" si="3"/>
        <v>#NAME?</v>
      </c>
      <c r="AD28" s="7" t="e">
        <f t="shared" ca="1" si="3"/>
        <v>#NAME?</v>
      </c>
      <c r="AE28" s="7" t="e">
        <f t="shared" ca="1" si="3"/>
        <v>#NAME?</v>
      </c>
      <c r="AF28" s="7" t="e">
        <f t="shared" ca="1" si="3"/>
        <v>#NAME?</v>
      </c>
      <c r="AG28" s="7" t="e">
        <f t="shared" ca="1" si="3"/>
        <v>#NAME?</v>
      </c>
      <c r="AH28" s="7" t="e">
        <f t="shared" ca="1" si="3"/>
        <v>#NAME?</v>
      </c>
      <c r="AI28" s="7" t="e">
        <f t="shared" ca="1" si="3"/>
        <v>#NAME?</v>
      </c>
      <c r="AJ28" s="7" t="e">
        <f t="shared" ca="1" si="3"/>
        <v>#NAME?</v>
      </c>
      <c r="AK28" s="7" t="e">
        <f t="shared" ca="1" si="5"/>
        <v>#NAME?</v>
      </c>
      <c r="AL28" s="7" t="e">
        <f t="shared" ca="1" si="5"/>
        <v>#NAME?</v>
      </c>
      <c r="AM28" s="7" t="e">
        <f t="shared" ca="1" si="5"/>
        <v>#NAME?</v>
      </c>
      <c r="AN28" s="7" t="e">
        <f t="shared" ca="1" si="5"/>
        <v>#NAME?</v>
      </c>
      <c r="AO28" s="7" t="e">
        <f t="shared" ca="1" si="5"/>
        <v>#NAME?</v>
      </c>
      <c r="AP28" s="7" t="e">
        <f t="shared" ca="1" si="5"/>
        <v>#NAME?</v>
      </c>
      <c r="AQ28" s="7" t="e">
        <f t="shared" ca="1" si="5"/>
        <v>#NAME?</v>
      </c>
      <c r="AR28" s="7" t="e">
        <f t="shared" ca="1" si="5"/>
        <v>#NAME?</v>
      </c>
      <c r="AS28" s="7" t="e">
        <f t="shared" ca="1" si="5"/>
        <v>#NAME?</v>
      </c>
      <c r="AT28" s="7" t="e">
        <f t="shared" ca="1" si="5"/>
        <v>#NAME?</v>
      </c>
      <c r="AU28" s="7" t="e">
        <f t="shared" ca="1" si="5"/>
        <v>#NAME?</v>
      </c>
      <c r="AV28" s="60" t="e">
        <f t="shared" ca="1" si="5"/>
        <v>#NAME?</v>
      </c>
    </row>
    <row r="29" spans="10:56" x14ac:dyDescent="0.35">
      <c r="J29" t="e">
        <f ca="1"/>
        <v>#NAME?</v>
      </c>
      <c r="K29" s="59" t="e">
        <f t="shared" ca="1" si="4"/>
        <v>#NAME?</v>
      </c>
      <c r="L29" s="7" t="e">
        <f t="shared" ca="1" si="4"/>
        <v>#NAME?</v>
      </c>
      <c r="M29" s="7" t="e">
        <f t="shared" ca="1" si="4"/>
        <v>#NAME?</v>
      </c>
      <c r="N29" s="7" t="e">
        <f t="shared" ca="1" si="4"/>
        <v>#NAME?</v>
      </c>
      <c r="O29" s="7" t="e">
        <f t="shared" ca="1" si="4"/>
        <v>#NAME?</v>
      </c>
      <c r="P29" s="7" t="e">
        <f t="shared" ca="1" si="4"/>
        <v>#NAME?</v>
      </c>
      <c r="Q29" s="7" t="e">
        <f t="shared" ca="1" si="4"/>
        <v>#NAME?</v>
      </c>
      <c r="R29" s="7" t="e">
        <f t="shared" ca="1" si="4"/>
        <v>#NAME?</v>
      </c>
      <c r="S29" s="7" t="e">
        <f t="shared" ca="1" si="4"/>
        <v>#NAME?</v>
      </c>
      <c r="T29" s="7" t="e">
        <f t="shared" ca="1" si="4"/>
        <v>#NAME?</v>
      </c>
      <c r="U29" s="7" t="e">
        <f t="shared" ca="1" si="3"/>
        <v>#NAME?</v>
      </c>
      <c r="V29" s="7" t="e">
        <f t="shared" ca="1" si="3"/>
        <v>#NAME?</v>
      </c>
      <c r="W29" s="7" t="e">
        <f t="shared" ca="1" si="3"/>
        <v>#NAME?</v>
      </c>
      <c r="X29" s="7" t="e">
        <f t="shared" ca="1" si="3"/>
        <v>#NAME?</v>
      </c>
      <c r="Y29" s="7" t="e">
        <f t="shared" ca="1" si="3"/>
        <v>#NAME?</v>
      </c>
      <c r="Z29" s="7" t="e">
        <f t="shared" ca="1" si="3"/>
        <v>#NAME?</v>
      </c>
      <c r="AA29" s="7" t="e">
        <f t="shared" ca="1" si="3"/>
        <v>#NAME?</v>
      </c>
      <c r="AB29" s="7" t="e">
        <f t="shared" ca="1" si="3"/>
        <v>#NAME?</v>
      </c>
      <c r="AC29" s="7" t="e">
        <f t="shared" ca="1" si="3"/>
        <v>#NAME?</v>
      </c>
      <c r="AD29" s="7" t="e">
        <f t="shared" ca="1" si="3"/>
        <v>#NAME?</v>
      </c>
      <c r="AE29" s="7" t="e">
        <f t="shared" ca="1" si="3"/>
        <v>#NAME?</v>
      </c>
      <c r="AF29" s="7" t="e">
        <f t="shared" ca="1" si="3"/>
        <v>#NAME?</v>
      </c>
      <c r="AG29" s="7" t="e">
        <f t="shared" ca="1" si="3"/>
        <v>#NAME?</v>
      </c>
      <c r="AH29" s="7" t="e">
        <f t="shared" ca="1" si="3"/>
        <v>#NAME?</v>
      </c>
      <c r="AI29" s="7" t="e">
        <f t="shared" ca="1" si="3"/>
        <v>#NAME?</v>
      </c>
      <c r="AJ29" s="7" t="e">
        <f t="shared" ca="1" si="3"/>
        <v>#NAME?</v>
      </c>
      <c r="AK29" s="7" t="e">
        <f t="shared" ca="1" si="5"/>
        <v>#NAME?</v>
      </c>
      <c r="AL29" s="7" t="e">
        <f t="shared" ca="1" si="5"/>
        <v>#NAME?</v>
      </c>
      <c r="AM29" s="7" t="e">
        <f t="shared" ca="1" si="5"/>
        <v>#NAME?</v>
      </c>
      <c r="AN29" s="7" t="e">
        <f t="shared" ca="1" si="5"/>
        <v>#NAME?</v>
      </c>
      <c r="AO29" s="7" t="e">
        <f t="shared" ca="1" si="5"/>
        <v>#NAME?</v>
      </c>
      <c r="AP29" s="7" t="e">
        <f t="shared" ca="1" si="5"/>
        <v>#NAME?</v>
      </c>
      <c r="AQ29" s="7" t="e">
        <f t="shared" ca="1" si="5"/>
        <v>#NAME?</v>
      </c>
      <c r="AR29" s="7" t="e">
        <f t="shared" ca="1" si="5"/>
        <v>#NAME?</v>
      </c>
      <c r="AS29" s="7" t="e">
        <f t="shared" ca="1" si="5"/>
        <v>#NAME?</v>
      </c>
      <c r="AT29" s="7" t="e">
        <f t="shared" ca="1" si="5"/>
        <v>#NAME?</v>
      </c>
      <c r="AU29" s="7" t="e">
        <f t="shared" ca="1" si="5"/>
        <v>#NAME?</v>
      </c>
      <c r="AV29" s="60" t="e">
        <f t="shared" ca="1" si="5"/>
        <v>#NAME?</v>
      </c>
    </row>
    <row r="30" spans="10:56" x14ac:dyDescent="0.35">
      <c r="J30" t="e">
        <f ca="1"/>
        <v>#NAME?</v>
      </c>
      <c r="K30" s="59" t="e">
        <f t="shared" ca="1" si="4"/>
        <v>#NAME?</v>
      </c>
      <c r="L30" s="7" t="e">
        <f t="shared" ca="1" si="4"/>
        <v>#NAME?</v>
      </c>
      <c r="M30" s="7" t="e">
        <f t="shared" ca="1" si="4"/>
        <v>#NAME?</v>
      </c>
      <c r="N30" s="7" t="e">
        <f t="shared" ca="1" si="4"/>
        <v>#NAME?</v>
      </c>
      <c r="O30" s="7" t="e">
        <f t="shared" ca="1" si="4"/>
        <v>#NAME?</v>
      </c>
      <c r="P30" s="7" t="e">
        <f t="shared" ca="1" si="4"/>
        <v>#NAME?</v>
      </c>
      <c r="Q30" s="7" t="e">
        <f t="shared" ca="1" si="4"/>
        <v>#NAME?</v>
      </c>
      <c r="R30" s="7" t="e">
        <f t="shared" ca="1" si="4"/>
        <v>#NAME?</v>
      </c>
      <c r="S30" s="7" t="e">
        <f t="shared" ca="1" si="4"/>
        <v>#NAME?</v>
      </c>
      <c r="T30" s="7" t="e">
        <f t="shared" ca="1" si="4"/>
        <v>#NAME?</v>
      </c>
      <c r="U30" s="7" t="e">
        <f t="shared" ca="1" si="3"/>
        <v>#NAME?</v>
      </c>
      <c r="V30" s="7" t="e">
        <f t="shared" ca="1" si="3"/>
        <v>#NAME?</v>
      </c>
      <c r="W30" s="7" t="e">
        <f t="shared" ca="1" si="3"/>
        <v>#NAME?</v>
      </c>
      <c r="X30" s="7" t="e">
        <f t="shared" ca="1" si="3"/>
        <v>#NAME?</v>
      </c>
      <c r="Y30" s="7" t="e">
        <f t="shared" ca="1" si="3"/>
        <v>#NAME?</v>
      </c>
      <c r="Z30" s="7" t="e">
        <f t="shared" ca="1" si="3"/>
        <v>#NAME?</v>
      </c>
      <c r="AA30" s="7" t="e">
        <f t="shared" ca="1" si="3"/>
        <v>#NAME?</v>
      </c>
      <c r="AB30" s="7" t="e">
        <f t="shared" ca="1" si="3"/>
        <v>#NAME?</v>
      </c>
      <c r="AC30" s="7" t="e">
        <f t="shared" ca="1" si="3"/>
        <v>#NAME?</v>
      </c>
      <c r="AD30" s="7" t="e">
        <f t="shared" ca="1" si="3"/>
        <v>#NAME?</v>
      </c>
      <c r="AE30" s="7" t="e">
        <f t="shared" ca="1" si="3"/>
        <v>#NAME?</v>
      </c>
      <c r="AF30" s="7" t="e">
        <f t="shared" ca="1" si="3"/>
        <v>#NAME?</v>
      </c>
      <c r="AG30" s="7" t="e">
        <f t="shared" ca="1" si="3"/>
        <v>#NAME?</v>
      </c>
      <c r="AH30" s="7" t="e">
        <f t="shared" ca="1" si="3"/>
        <v>#NAME?</v>
      </c>
      <c r="AI30" s="7" t="e">
        <f t="shared" ca="1" si="3"/>
        <v>#NAME?</v>
      </c>
      <c r="AJ30" s="7" t="e">
        <f t="shared" ca="1" si="3"/>
        <v>#NAME?</v>
      </c>
      <c r="AK30" s="7" t="e">
        <f t="shared" ca="1" si="5"/>
        <v>#NAME?</v>
      </c>
      <c r="AL30" s="7" t="e">
        <f t="shared" ca="1" si="5"/>
        <v>#NAME?</v>
      </c>
      <c r="AM30" s="7" t="e">
        <f t="shared" ca="1" si="5"/>
        <v>#NAME?</v>
      </c>
      <c r="AN30" s="7" t="e">
        <f t="shared" ca="1" si="5"/>
        <v>#NAME?</v>
      </c>
      <c r="AO30" s="7" t="e">
        <f t="shared" ca="1" si="5"/>
        <v>#NAME?</v>
      </c>
      <c r="AP30" s="7" t="e">
        <f t="shared" ca="1" si="5"/>
        <v>#NAME?</v>
      </c>
      <c r="AQ30" s="7" t="e">
        <f t="shared" ca="1" si="5"/>
        <v>#NAME?</v>
      </c>
      <c r="AR30" s="7" t="e">
        <f t="shared" ca="1" si="5"/>
        <v>#NAME?</v>
      </c>
      <c r="AS30" s="7" t="e">
        <f t="shared" ca="1" si="5"/>
        <v>#NAME?</v>
      </c>
      <c r="AT30" s="7" t="e">
        <f t="shared" ca="1" si="5"/>
        <v>#NAME?</v>
      </c>
      <c r="AU30" s="7" t="e">
        <f t="shared" ca="1" si="5"/>
        <v>#NAME?</v>
      </c>
      <c r="AV30" s="60" t="e">
        <f t="shared" ca="1" si="5"/>
        <v>#NAME?</v>
      </c>
    </row>
    <row r="31" spans="10:56" x14ac:dyDescent="0.35">
      <c r="J31" t="e">
        <f ca="1"/>
        <v>#NAME?</v>
      </c>
      <c r="K31" s="59" t="e">
        <f t="shared" ca="1" si="4"/>
        <v>#NAME?</v>
      </c>
      <c r="L31" s="7" t="e">
        <f t="shared" ca="1" si="4"/>
        <v>#NAME?</v>
      </c>
      <c r="M31" s="7" t="e">
        <f t="shared" ca="1" si="4"/>
        <v>#NAME?</v>
      </c>
      <c r="N31" s="7" t="e">
        <f t="shared" ca="1" si="4"/>
        <v>#NAME?</v>
      </c>
      <c r="O31" s="7" t="e">
        <f t="shared" ca="1" si="4"/>
        <v>#NAME?</v>
      </c>
      <c r="P31" s="7" t="e">
        <f t="shared" ca="1" si="4"/>
        <v>#NAME?</v>
      </c>
      <c r="Q31" s="7" t="e">
        <f t="shared" ca="1" si="4"/>
        <v>#NAME?</v>
      </c>
      <c r="R31" s="7" t="e">
        <f t="shared" ca="1" si="4"/>
        <v>#NAME?</v>
      </c>
      <c r="S31" s="7" t="e">
        <f t="shared" ca="1" si="4"/>
        <v>#NAME?</v>
      </c>
      <c r="T31" s="7" t="e">
        <f t="shared" ca="1" si="4"/>
        <v>#NAME?</v>
      </c>
      <c r="U31" s="7" t="e">
        <f t="shared" ca="1" si="3"/>
        <v>#NAME?</v>
      </c>
      <c r="V31" s="7" t="e">
        <f t="shared" ca="1" si="3"/>
        <v>#NAME?</v>
      </c>
      <c r="W31" s="7" t="e">
        <f t="shared" ca="1" si="3"/>
        <v>#NAME?</v>
      </c>
      <c r="X31" s="7" t="e">
        <f t="shared" ca="1" si="3"/>
        <v>#NAME?</v>
      </c>
      <c r="Y31" s="7" t="e">
        <f t="shared" ca="1" si="3"/>
        <v>#NAME?</v>
      </c>
      <c r="Z31" s="7" t="e">
        <f t="shared" ca="1" si="3"/>
        <v>#NAME?</v>
      </c>
      <c r="AA31" s="7" t="e">
        <f t="shared" ca="1" si="3"/>
        <v>#NAME?</v>
      </c>
      <c r="AB31" s="7" t="e">
        <f t="shared" ca="1" si="3"/>
        <v>#NAME?</v>
      </c>
      <c r="AC31" s="7" t="e">
        <f t="shared" ca="1" si="3"/>
        <v>#NAME?</v>
      </c>
      <c r="AD31" s="7" t="e">
        <f t="shared" ca="1" si="3"/>
        <v>#NAME?</v>
      </c>
      <c r="AE31" s="7" t="e">
        <f t="shared" ca="1" si="3"/>
        <v>#NAME?</v>
      </c>
      <c r="AF31" s="7" t="e">
        <f t="shared" ca="1" si="3"/>
        <v>#NAME?</v>
      </c>
      <c r="AG31" s="7" t="e">
        <f t="shared" ca="1" si="3"/>
        <v>#NAME?</v>
      </c>
      <c r="AH31" s="7" t="e">
        <f t="shared" ca="1" si="3"/>
        <v>#NAME?</v>
      </c>
      <c r="AI31" s="7" t="e">
        <f t="shared" ca="1" si="3"/>
        <v>#NAME?</v>
      </c>
      <c r="AJ31" s="7" t="e">
        <f t="shared" ca="1" si="3"/>
        <v>#NAME?</v>
      </c>
      <c r="AK31" s="7" t="e">
        <f t="shared" ca="1" si="5"/>
        <v>#NAME?</v>
      </c>
      <c r="AL31" s="7" t="e">
        <f t="shared" ca="1" si="5"/>
        <v>#NAME?</v>
      </c>
      <c r="AM31" s="7" t="e">
        <f t="shared" ca="1" si="5"/>
        <v>#NAME?</v>
      </c>
      <c r="AN31" s="7" t="e">
        <f t="shared" ca="1" si="5"/>
        <v>#NAME?</v>
      </c>
      <c r="AO31" s="7" t="e">
        <f t="shared" ca="1" si="5"/>
        <v>#NAME?</v>
      </c>
      <c r="AP31" s="7" t="e">
        <f t="shared" ca="1" si="5"/>
        <v>#NAME?</v>
      </c>
      <c r="AQ31" s="7" t="e">
        <f t="shared" ca="1" si="5"/>
        <v>#NAME?</v>
      </c>
      <c r="AR31" s="7" t="e">
        <f t="shared" ca="1" si="5"/>
        <v>#NAME?</v>
      </c>
      <c r="AS31" s="7" t="e">
        <f t="shared" ca="1" si="5"/>
        <v>#NAME?</v>
      </c>
      <c r="AT31" s="7" t="e">
        <f t="shared" ca="1" si="5"/>
        <v>#NAME?</v>
      </c>
      <c r="AU31" s="7" t="e">
        <f t="shared" ca="1" si="5"/>
        <v>#NAME?</v>
      </c>
      <c r="AV31" s="60" t="e">
        <f t="shared" ca="1" si="5"/>
        <v>#NAME?</v>
      </c>
    </row>
    <row r="32" spans="10:56" x14ac:dyDescent="0.35">
      <c r="J32" t="e">
        <f ca="1"/>
        <v>#NAME?</v>
      </c>
      <c r="K32" s="59" t="e">
        <f t="shared" ca="1" si="4"/>
        <v>#NAME?</v>
      </c>
      <c r="L32" s="7" t="e">
        <f t="shared" ca="1" si="4"/>
        <v>#NAME?</v>
      </c>
      <c r="M32" s="7" t="e">
        <f t="shared" ca="1" si="4"/>
        <v>#NAME?</v>
      </c>
      <c r="N32" s="7" t="e">
        <f t="shared" ca="1" si="4"/>
        <v>#NAME?</v>
      </c>
      <c r="O32" s="7" t="e">
        <f t="shared" ca="1" si="4"/>
        <v>#NAME?</v>
      </c>
      <c r="P32" s="7" t="e">
        <f t="shared" ca="1" si="4"/>
        <v>#NAME?</v>
      </c>
      <c r="Q32" s="7" t="e">
        <f t="shared" ca="1" si="4"/>
        <v>#NAME?</v>
      </c>
      <c r="R32" s="7" t="e">
        <f t="shared" ca="1" si="4"/>
        <v>#NAME?</v>
      </c>
      <c r="S32" s="7" t="e">
        <f t="shared" ca="1" si="4"/>
        <v>#NAME?</v>
      </c>
      <c r="T32" s="7" t="e">
        <f t="shared" ca="1" si="4"/>
        <v>#NAME?</v>
      </c>
      <c r="U32" s="7" t="e">
        <f t="shared" ca="1" si="3"/>
        <v>#NAME?</v>
      </c>
      <c r="V32" s="7" t="e">
        <f t="shared" ca="1" si="3"/>
        <v>#NAME?</v>
      </c>
      <c r="W32" s="7" t="e">
        <f t="shared" ca="1" si="3"/>
        <v>#NAME?</v>
      </c>
      <c r="X32" s="7" t="e">
        <f t="shared" ca="1" si="3"/>
        <v>#NAME?</v>
      </c>
      <c r="Y32" s="7" t="e">
        <f t="shared" ca="1" si="3"/>
        <v>#NAME?</v>
      </c>
      <c r="Z32" s="7" t="e">
        <f t="shared" ca="1" si="3"/>
        <v>#NAME?</v>
      </c>
      <c r="AA32" s="7" t="e">
        <f t="shared" ca="1" si="3"/>
        <v>#NAME?</v>
      </c>
      <c r="AB32" s="7" t="e">
        <f t="shared" ca="1" si="3"/>
        <v>#NAME?</v>
      </c>
      <c r="AC32" s="7" t="e">
        <f t="shared" ca="1" si="3"/>
        <v>#NAME?</v>
      </c>
      <c r="AD32" s="7" t="e">
        <f t="shared" ca="1" si="3"/>
        <v>#NAME?</v>
      </c>
      <c r="AE32" s="7" t="e">
        <f t="shared" ca="1" si="3"/>
        <v>#NAME?</v>
      </c>
      <c r="AF32" s="7" t="e">
        <f t="shared" ca="1" si="3"/>
        <v>#NAME?</v>
      </c>
      <c r="AG32" s="7" t="e">
        <f t="shared" ca="1" si="3"/>
        <v>#NAME?</v>
      </c>
      <c r="AH32" s="7" t="e">
        <f t="shared" ca="1" si="3"/>
        <v>#NAME?</v>
      </c>
      <c r="AI32" s="7" t="e">
        <f t="shared" ca="1" si="3"/>
        <v>#NAME?</v>
      </c>
      <c r="AJ32" s="7" t="e">
        <f t="shared" ca="1" si="3"/>
        <v>#NAME?</v>
      </c>
      <c r="AK32" s="7" t="e">
        <f t="shared" ca="1" si="5"/>
        <v>#NAME?</v>
      </c>
      <c r="AL32" s="7" t="e">
        <f t="shared" ca="1" si="5"/>
        <v>#NAME?</v>
      </c>
      <c r="AM32" s="7" t="e">
        <f t="shared" ca="1" si="5"/>
        <v>#NAME?</v>
      </c>
      <c r="AN32" s="7" t="e">
        <f t="shared" ca="1" si="5"/>
        <v>#NAME?</v>
      </c>
      <c r="AO32" s="7" t="e">
        <f t="shared" ca="1" si="5"/>
        <v>#NAME?</v>
      </c>
      <c r="AP32" s="7" t="e">
        <f t="shared" ca="1" si="5"/>
        <v>#NAME?</v>
      </c>
      <c r="AQ32" s="7" t="e">
        <f t="shared" ca="1" si="5"/>
        <v>#NAME?</v>
      </c>
      <c r="AR32" s="7" t="e">
        <f t="shared" ca="1" si="5"/>
        <v>#NAME?</v>
      </c>
      <c r="AS32" s="7" t="e">
        <f t="shared" ca="1" si="5"/>
        <v>#NAME?</v>
      </c>
      <c r="AT32" s="7" t="e">
        <f t="shared" ca="1" si="5"/>
        <v>#NAME?</v>
      </c>
      <c r="AU32" s="7" t="e">
        <f t="shared" ca="1" si="5"/>
        <v>#NAME?</v>
      </c>
      <c r="AV32" s="60" t="e">
        <f t="shared" ca="1" si="5"/>
        <v>#NAME?</v>
      </c>
    </row>
    <row r="33" spans="10:48" x14ac:dyDescent="0.35">
      <c r="J33" t="e">
        <f ca="1"/>
        <v>#NAME?</v>
      </c>
      <c r="K33" s="59" t="e">
        <f t="shared" ca="1" si="4"/>
        <v>#NAME?</v>
      </c>
      <c r="L33" s="7" t="e">
        <f t="shared" ca="1" si="4"/>
        <v>#NAME?</v>
      </c>
      <c r="M33" s="7" t="e">
        <f t="shared" ca="1" si="4"/>
        <v>#NAME?</v>
      </c>
      <c r="N33" s="7" t="e">
        <f t="shared" ca="1" si="4"/>
        <v>#NAME?</v>
      </c>
      <c r="O33" s="7" t="e">
        <f t="shared" ca="1" si="4"/>
        <v>#NAME?</v>
      </c>
      <c r="P33" s="7" t="e">
        <f t="shared" ca="1" si="4"/>
        <v>#NAME?</v>
      </c>
      <c r="Q33" s="7" t="e">
        <f t="shared" ca="1" si="4"/>
        <v>#NAME?</v>
      </c>
      <c r="R33" s="7" t="e">
        <f t="shared" ca="1" si="4"/>
        <v>#NAME?</v>
      </c>
      <c r="S33" s="7" t="e">
        <f t="shared" ca="1" si="4"/>
        <v>#NAME?</v>
      </c>
      <c r="T33" s="7" t="e">
        <f t="shared" ca="1" si="4"/>
        <v>#NAME?</v>
      </c>
      <c r="U33" s="7" t="e">
        <f t="shared" ca="1" si="3"/>
        <v>#NAME?</v>
      </c>
      <c r="V33" s="7" t="e">
        <f t="shared" ca="1" si="3"/>
        <v>#NAME?</v>
      </c>
      <c r="W33" s="7" t="e">
        <f t="shared" ca="1" si="3"/>
        <v>#NAME?</v>
      </c>
      <c r="X33" s="7" t="e">
        <f t="shared" ca="1" si="3"/>
        <v>#NAME?</v>
      </c>
      <c r="Y33" s="7" t="e">
        <f t="shared" ca="1" si="3"/>
        <v>#NAME?</v>
      </c>
      <c r="Z33" s="7" t="e">
        <f t="shared" ca="1" si="3"/>
        <v>#NAME?</v>
      </c>
      <c r="AA33" s="7" t="e">
        <f t="shared" ca="1" si="3"/>
        <v>#NAME?</v>
      </c>
      <c r="AB33" s="7" t="e">
        <f t="shared" ca="1" si="3"/>
        <v>#NAME?</v>
      </c>
      <c r="AC33" s="7" t="e">
        <f t="shared" ca="1" si="3"/>
        <v>#NAME?</v>
      </c>
      <c r="AD33" s="7" t="e">
        <f t="shared" ca="1" si="3"/>
        <v>#NAME?</v>
      </c>
      <c r="AE33" s="7" t="e">
        <f t="shared" ca="1" si="3"/>
        <v>#NAME?</v>
      </c>
      <c r="AF33" s="7" t="e">
        <f t="shared" ca="1" si="3"/>
        <v>#NAME?</v>
      </c>
      <c r="AG33" s="7" t="e">
        <f t="shared" ca="1" si="3"/>
        <v>#NAME?</v>
      </c>
      <c r="AH33" s="7" t="e">
        <f t="shared" ca="1" si="3"/>
        <v>#NAME?</v>
      </c>
      <c r="AI33" s="7" t="e">
        <f t="shared" ca="1" si="3"/>
        <v>#NAME?</v>
      </c>
      <c r="AJ33" s="7" t="e">
        <f t="shared" ca="1" si="3"/>
        <v>#NAME?</v>
      </c>
      <c r="AK33" s="7" t="e">
        <f t="shared" ca="1" si="5"/>
        <v>#NAME?</v>
      </c>
      <c r="AL33" s="7" t="e">
        <f t="shared" ca="1" si="5"/>
        <v>#NAME?</v>
      </c>
      <c r="AM33" s="7" t="e">
        <f t="shared" ca="1" si="5"/>
        <v>#NAME?</v>
      </c>
      <c r="AN33" s="7" t="e">
        <f t="shared" ca="1" si="5"/>
        <v>#NAME?</v>
      </c>
      <c r="AO33" s="7" t="e">
        <f t="shared" ca="1" si="5"/>
        <v>#NAME?</v>
      </c>
      <c r="AP33" s="7" t="e">
        <f t="shared" ca="1" si="5"/>
        <v>#NAME?</v>
      </c>
      <c r="AQ33" s="7" t="e">
        <f t="shared" ca="1" si="5"/>
        <v>#NAME?</v>
      </c>
      <c r="AR33" s="7" t="e">
        <f t="shared" ca="1" si="5"/>
        <v>#NAME?</v>
      </c>
      <c r="AS33" s="7" t="e">
        <f t="shared" ca="1" si="5"/>
        <v>#NAME?</v>
      </c>
      <c r="AT33" s="7" t="e">
        <f t="shared" ca="1" si="5"/>
        <v>#NAME?</v>
      </c>
      <c r="AU33" s="7" t="e">
        <f t="shared" ca="1" si="5"/>
        <v>#NAME?</v>
      </c>
      <c r="AV33" s="60" t="e">
        <f t="shared" ca="1" si="5"/>
        <v>#NAME?</v>
      </c>
    </row>
    <row r="34" spans="10:48" x14ac:dyDescent="0.35">
      <c r="J34" t="e">
        <f ca="1"/>
        <v>#NAME?</v>
      </c>
      <c r="K34" s="59" t="e">
        <f t="shared" ca="1" si="4"/>
        <v>#NAME?</v>
      </c>
      <c r="L34" s="7" t="e">
        <f t="shared" ca="1" si="4"/>
        <v>#NAME?</v>
      </c>
      <c r="M34" s="7" t="e">
        <f t="shared" ca="1" si="4"/>
        <v>#NAME?</v>
      </c>
      <c r="N34" s="7" t="e">
        <f t="shared" ca="1" si="4"/>
        <v>#NAME?</v>
      </c>
      <c r="O34" s="7" t="e">
        <f t="shared" ca="1" si="4"/>
        <v>#NAME?</v>
      </c>
      <c r="P34" s="7" t="e">
        <f t="shared" ca="1" si="4"/>
        <v>#NAME?</v>
      </c>
      <c r="Q34" s="7" t="e">
        <f t="shared" ca="1" si="4"/>
        <v>#NAME?</v>
      </c>
      <c r="R34" s="7" t="e">
        <f t="shared" ca="1" si="4"/>
        <v>#NAME?</v>
      </c>
      <c r="S34" s="7" t="e">
        <f t="shared" ca="1" si="4"/>
        <v>#NAME?</v>
      </c>
      <c r="T34" s="7" t="e">
        <f t="shared" ca="1" si="4"/>
        <v>#NAME?</v>
      </c>
      <c r="U34" s="7" t="e">
        <f t="shared" ca="1" si="3"/>
        <v>#NAME?</v>
      </c>
      <c r="V34" s="7" t="e">
        <f t="shared" ca="1" si="3"/>
        <v>#NAME?</v>
      </c>
      <c r="W34" s="7" t="e">
        <f t="shared" ca="1" si="3"/>
        <v>#NAME?</v>
      </c>
      <c r="X34" s="7" t="e">
        <f t="shared" ca="1" si="3"/>
        <v>#NAME?</v>
      </c>
      <c r="Y34" s="7" t="e">
        <f t="shared" ca="1" si="3"/>
        <v>#NAME?</v>
      </c>
      <c r="Z34" s="7" t="e">
        <f t="shared" ca="1" si="3"/>
        <v>#NAME?</v>
      </c>
      <c r="AA34" s="7" t="e">
        <f t="shared" ca="1" si="3"/>
        <v>#NAME?</v>
      </c>
      <c r="AB34" s="7" t="e">
        <f t="shared" ca="1" si="3"/>
        <v>#NAME?</v>
      </c>
      <c r="AC34" s="7" t="e">
        <f t="shared" ca="1" si="3"/>
        <v>#NAME?</v>
      </c>
      <c r="AD34" s="7" t="e">
        <f t="shared" ca="1" si="3"/>
        <v>#NAME?</v>
      </c>
      <c r="AE34" s="7" t="e">
        <f t="shared" ca="1" si="3"/>
        <v>#NAME?</v>
      </c>
      <c r="AF34" s="7" t="e">
        <f t="shared" ca="1" si="3"/>
        <v>#NAME?</v>
      </c>
      <c r="AG34" s="7" t="e">
        <f t="shared" ca="1" si="3"/>
        <v>#NAME?</v>
      </c>
      <c r="AH34" s="7" t="e">
        <f t="shared" ca="1" si="3"/>
        <v>#NAME?</v>
      </c>
      <c r="AI34" s="7" t="e">
        <f t="shared" ca="1" si="3"/>
        <v>#NAME?</v>
      </c>
      <c r="AJ34" s="7" t="e">
        <f t="shared" ca="1" si="3"/>
        <v>#NAME?</v>
      </c>
      <c r="AK34" s="7" t="e">
        <f t="shared" ca="1" si="5"/>
        <v>#NAME?</v>
      </c>
      <c r="AL34" s="7" t="e">
        <f t="shared" ca="1" si="5"/>
        <v>#NAME?</v>
      </c>
      <c r="AM34" s="7" t="e">
        <f t="shared" ca="1" si="5"/>
        <v>#NAME?</v>
      </c>
      <c r="AN34" s="7" t="e">
        <f t="shared" ca="1" si="5"/>
        <v>#NAME?</v>
      </c>
      <c r="AO34" s="7" t="e">
        <f t="shared" ca="1" si="5"/>
        <v>#NAME?</v>
      </c>
      <c r="AP34" s="7" t="e">
        <f t="shared" ca="1" si="5"/>
        <v>#NAME?</v>
      </c>
      <c r="AQ34" s="7" t="e">
        <f t="shared" ca="1" si="5"/>
        <v>#NAME?</v>
      </c>
      <c r="AR34" s="7" t="e">
        <f t="shared" ca="1" si="5"/>
        <v>#NAME?</v>
      </c>
      <c r="AS34" s="7" t="e">
        <f t="shared" ca="1" si="5"/>
        <v>#NAME?</v>
      </c>
      <c r="AT34" s="7" t="e">
        <f t="shared" ca="1" si="5"/>
        <v>#NAME?</v>
      </c>
      <c r="AU34" s="7" t="e">
        <f t="shared" ca="1" si="5"/>
        <v>#NAME?</v>
      </c>
      <c r="AV34" s="60" t="e">
        <f t="shared" ca="1" si="5"/>
        <v>#NAME?</v>
      </c>
    </row>
    <row r="35" spans="10:48" x14ac:dyDescent="0.35">
      <c r="J35" t="e">
        <f ca="1"/>
        <v>#NAME?</v>
      </c>
      <c r="K35" s="59" t="e">
        <f t="shared" ca="1" si="4"/>
        <v>#NAME?</v>
      </c>
      <c r="L35" s="7" t="e">
        <f t="shared" ca="1" si="4"/>
        <v>#NAME?</v>
      </c>
      <c r="M35" s="7" t="e">
        <f t="shared" ca="1" si="4"/>
        <v>#NAME?</v>
      </c>
      <c r="N35" s="7" t="e">
        <f t="shared" ca="1" si="4"/>
        <v>#NAME?</v>
      </c>
      <c r="O35" s="7" t="e">
        <f t="shared" ca="1" si="4"/>
        <v>#NAME?</v>
      </c>
      <c r="P35" s="7" t="e">
        <f t="shared" ca="1" si="4"/>
        <v>#NAME?</v>
      </c>
      <c r="Q35" s="7" t="e">
        <f t="shared" ca="1" si="4"/>
        <v>#NAME?</v>
      </c>
      <c r="R35" s="7" t="e">
        <f t="shared" ca="1" si="4"/>
        <v>#NAME?</v>
      </c>
      <c r="S35" s="7" t="e">
        <f t="shared" ca="1" si="4"/>
        <v>#NAME?</v>
      </c>
      <c r="T35" s="7" t="e">
        <f t="shared" ca="1" si="4"/>
        <v>#NAME?</v>
      </c>
      <c r="U35" s="7" t="e">
        <f t="shared" ca="1" si="4"/>
        <v>#NAME?</v>
      </c>
      <c r="V35" s="7" t="e">
        <f t="shared" ca="1" si="4"/>
        <v>#NAME?</v>
      </c>
      <c r="W35" s="7" t="e">
        <f t="shared" ca="1" si="4"/>
        <v>#NAME?</v>
      </c>
      <c r="X35" s="7" t="e">
        <f t="shared" ca="1" si="4"/>
        <v>#NAME?</v>
      </c>
      <c r="Y35" s="7" t="e">
        <f t="shared" ca="1" si="4"/>
        <v>#NAME?</v>
      </c>
      <c r="Z35" s="7" t="e">
        <f t="shared" ca="1" si="4"/>
        <v>#NAME?</v>
      </c>
      <c r="AA35" s="7" t="e">
        <f t="shared" ref="AA35:AP43" ca="1" si="6">$J35-AA$3</f>
        <v>#NAME?</v>
      </c>
      <c r="AB35" s="7" t="e">
        <f t="shared" ca="1" si="6"/>
        <v>#NAME?</v>
      </c>
      <c r="AC35" s="7" t="e">
        <f t="shared" ca="1" si="6"/>
        <v>#NAME?</v>
      </c>
      <c r="AD35" s="7" t="e">
        <f t="shared" ca="1" si="6"/>
        <v>#NAME?</v>
      </c>
      <c r="AE35" s="7" t="e">
        <f t="shared" ca="1" si="6"/>
        <v>#NAME?</v>
      </c>
      <c r="AF35" s="7" t="e">
        <f t="shared" ca="1" si="6"/>
        <v>#NAME?</v>
      </c>
      <c r="AG35" s="7" t="e">
        <f t="shared" ca="1" si="6"/>
        <v>#NAME?</v>
      </c>
      <c r="AH35" s="7" t="e">
        <f t="shared" ca="1" si="6"/>
        <v>#NAME?</v>
      </c>
      <c r="AI35" s="7" t="e">
        <f t="shared" ca="1" si="6"/>
        <v>#NAME?</v>
      </c>
      <c r="AJ35" s="7" t="e">
        <f t="shared" ca="1" si="6"/>
        <v>#NAME?</v>
      </c>
      <c r="AK35" s="7" t="e">
        <f t="shared" ca="1" si="6"/>
        <v>#NAME?</v>
      </c>
      <c r="AL35" s="7" t="e">
        <f t="shared" ca="1" si="6"/>
        <v>#NAME?</v>
      </c>
      <c r="AM35" s="7" t="e">
        <f t="shared" ca="1" si="6"/>
        <v>#NAME?</v>
      </c>
      <c r="AN35" s="7" t="e">
        <f t="shared" ca="1" si="6"/>
        <v>#NAME?</v>
      </c>
      <c r="AO35" s="7" t="e">
        <f t="shared" ca="1" si="5"/>
        <v>#NAME?</v>
      </c>
      <c r="AP35" s="7" t="e">
        <f t="shared" ca="1" si="5"/>
        <v>#NAME?</v>
      </c>
      <c r="AQ35" s="7" t="e">
        <f t="shared" ca="1" si="5"/>
        <v>#NAME?</v>
      </c>
      <c r="AR35" s="7" t="e">
        <f t="shared" ca="1" si="5"/>
        <v>#NAME?</v>
      </c>
      <c r="AS35" s="7" t="e">
        <f t="shared" ca="1" si="5"/>
        <v>#NAME?</v>
      </c>
      <c r="AT35" s="7" t="e">
        <f t="shared" ca="1" si="5"/>
        <v>#NAME?</v>
      </c>
      <c r="AU35" s="7" t="e">
        <f t="shared" ca="1" si="5"/>
        <v>#NAME?</v>
      </c>
      <c r="AV35" s="60" t="e">
        <f t="shared" ca="1" si="5"/>
        <v>#NAME?</v>
      </c>
    </row>
    <row r="36" spans="10:48" x14ac:dyDescent="0.35">
      <c r="J36" t="e">
        <f ca="1"/>
        <v>#NAME?</v>
      </c>
      <c r="K36" s="59" t="e">
        <f t="shared" ref="K36:Z43" ca="1" si="7">$J36-K$3</f>
        <v>#NAME?</v>
      </c>
      <c r="L36" s="7" t="e">
        <f t="shared" ca="1" si="7"/>
        <v>#NAME?</v>
      </c>
      <c r="M36" s="7" t="e">
        <f t="shared" ca="1" si="7"/>
        <v>#NAME?</v>
      </c>
      <c r="N36" s="7" t="e">
        <f t="shared" ca="1" si="7"/>
        <v>#NAME?</v>
      </c>
      <c r="O36" s="7" t="e">
        <f t="shared" ca="1" si="7"/>
        <v>#NAME?</v>
      </c>
      <c r="P36" s="7" t="e">
        <f t="shared" ca="1" si="7"/>
        <v>#NAME?</v>
      </c>
      <c r="Q36" s="7" t="e">
        <f t="shared" ca="1" si="7"/>
        <v>#NAME?</v>
      </c>
      <c r="R36" s="7" t="e">
        <f t="shared" ca="1" si="7"/>
        <v>#NAME?</v>
      </c>
      <c r="S36" s="7" t="e">
        <f t="shared" ca="1" si="7"/>
        <v>#NAME?</v>
      </c>
      <c r="T36" s="7" t="e">
        <f t="shared" ca="1" si="7"/>
        <v>#NAME?</v>
      </c>
      <c r="U36" s="7" t="e">
        <f t="shared" ca="1" si="7"/>
        <v>#NAME?</v>
      </c>
      <c r="V36" s="7" t="e">
        <f t="shared" ca="1" si="7"/>
        <v>#NAME?</v>
      </c>
      <c r="W36" s="7" t="e">
        <f t="shared" ca="1" si="7"/>
        <v>#NAME?</v>
      </c>
      <c r="X36" s="7" t="e">
        <f t="shared" ca="1" si="7"/>
        <v>#NAME?</v>
      </c>
      <c r="Y36" s="7" t="e">
        <f t="shared" ca="1" si="7"/>
        <v>#NAME?</v>
      </c>
      <c r="Z36" s="7" t="e">
        <f t="shared" ca="1" si="7"/>
        <v>#NAME?</v>
      </c>
      <c r="AA36" s="7" t="e">
        <f t="shared" ca="1" si="6"/>
        <v>#NAME?</v>
      </c>
      <c r="AB36" s="7" t="e">
        <f t="shared" ca="1" si="6"/>
        <v>#NAME?</v>
      </c>
      <c r="AC36" s="7" t="e">
        <f t="shared" ca="1" si="6"/>
        <v>#NAME?</v>
      </c>
      <c r="AD36" s="7" t="e">
        <f t="shared" ca="1" si="6"/>
        <v>#NAME?</v>
      </c>
      <c r="AE36" s="7" t="e">
        <f t="shared" ca="1" si="6"/>
        <v>#NAME?</v>
      </c>
      <c r="AF36" s="7" t="e">
        <f t="shared" ca="1" si="6"/>
        <v>#NAME?</v>
      </c>
      <c r="AG36" s="7" t="e">
        <f t="shared" ca="1" si="6"/>
        <v>#NAME?</v>
      </c>
      <c r="AH36" s="7" t="e">
        <f t="shared" ca="1" si="6"/>
        <v>#NAME?</v>
      </c>
      <c r="AI36" s="7" t="e">
        <f t="shared" ca="1" si="6"/>
        <v>#NAME?</v>
      </c>
      <c r="AJ36" s="7" t="e">
        <f t="shared" ca="1" si="6"/>
        <v>#NAME?</v>
      </c>
      <c r="AK36" s="7" t="e">
        <f t="shared" ca="1" si="6"/>
        <v>#NAME?</v>
      </c>
      <c r="AL36" s="7" t="e">
        <f t="shared" ca="1" si="6"/>
        <v>#NAME?</v>
      </c>
      <c r="AM36" s="7" t="e">
        <f t="shared" ca="1" si="6"/>
        <v>#NAME?</v>
      </c>
      <c r="AN36" s="7" t="e">
        <f t="shared" ca="1" si="6"/>
        <v>#NAME?</v>
      </c>
      <c r="AO36" s="7" t="e">
        <f t="shared" ca="1" si="6"/>
        <v>#NAME?</v>
      </c>
      <c r="AP36" s="7" t="e">
        <f t="shared" ca="1" si="6"/>
        <v>#NAME?</v>
      </c>
      <c r="AQ36" s="7" t="e">
        <f t="shared" ref="AO36:AV43" ca="1" si="8">$J36-AQ$3</f>
        <v>#NAME?</v>
      </c>
      <c r="AR36" s="7" t="e">
        <f t="shared" ca="1" si="8"/>
        <v>#NAME?</v>
      </c>
      <c r="AS36" s="7" t="e">
        <f t="shared" ca="1" si="8"/>
        <v>#NAME?</v>
      </c>
      <c r="AT36" s="7" t="e">
        <f t="shared" ca="1" si="8"/>
        <v>#NAME?</v>
      </c>
      <c r="AU36" s="7" t="e">
        <f t="shared" ca="1" si="8"/>
        <v>#NAME?</v>
      </c>
      <c r="AV36" s="60" t="e">
        <f t="shared" ca="1" si="8"/>
        <v>#NAME?</v>
      </c>
    </row>
    <row r="37" spans="10:48" x14ac:dyDescent="0.35">
      <c r="J37" t="e">
        <f ca="1"/>
        <v>#NAME?</v>
      </c>
      <c r="K37" s="59" t="e">
        <f t="shared" ca="1" si="7"/>
        <v>#NAME?</v>
      </c>
      <c r="L37" s="7" t="e">
        <f t="shared" ca="1" si="7"/>
        <v>#NAME?</v>
      </c>
      <c r="M37" s="7" t="e">
        <f t="shared" ca="1" si="7"/>
        <v>#NAME?</v>
      </c>
      <c r="N37" s="7" t="e">
        <f t="shared" ca="1" si="7"/>
        <v>#NAME?</v>
      </c>
      <c r="O37" s="7" t="e">
        <f t="shared" ca="1" si="7"/>
        <v>#NAME?</v>
      </c>
      <c r="P37" s="7" t="e">
        <f t="shared" ca="1" si="7"/>
        <v>#NAME?</v>
      </c>
      <c r="Q37" s="7" t="e">
        <f t="shared" ca="1" si="7"/>
        <v>#NAME?</v>
      </c>
      <c r="R37" s="7" t="e">
        <f t="shared" ca="1" si="7"/>
        <v>#NAME?</v>
      </c>
      <c r="S37" s="7" t="e">
        <f t="shared" ca="1" si="7"/>
        <v>#NAME?</v>
      </c>
      <c r="T37" s="7" t="e">
        <f t="shared" ca="1" si="7"/>
        <v>#NAME?</v>
      </c>
      <c r="U37" s="7" t="e">
        <f t="shared" ca="1" si="7"/>
        <v>#NAME?</v>
      </c>
      <c r="V37" s="7" t="e">
        <f t="shared" ca="1" si="7"/>
        <v>#NAME?</v>
      </c>
      <c r="W37" s="7" t="e">
        <f t="shared" ca="1" si="7"/>
        <v>#NAME?</v>
      </c>
      <c r="X37" s="7" t="e">
        <f t="shared" ca="1" si="7"/>
        <v>#NAME?</v>
      </c>
      <c r="Y37" s="7" t="e">
        <f t="shared" ca="1" si="7"/>
        <v>#NAME?</v>
      </c>
      <c r="Z37" s="7" t="e">
        <f t="shared" ca="1" si="7"/>
        <v>#NAME?</v>
      </c>
      <c r="AA37" s="7" t="e">
        <f t="shared" ca="1" si="6"/>
        <v>#NAME?</v>
      </c>
      <c r="AB37" s="7" t="e">
        <f t="shared" ca="1" si="6"/>
        <v>#NAME?</v>
      </c>
      <c r="AC37" s="7" t="e">
        <f t="shared" ca="1" si="6"/>
        <v>#NAME?</v>
      </c>
      <c r="AD37" s="7" t="e">
        <f t="shared" ca="1" si="6"/>
        <v>#NAME?</v>
      </c>
      <c r="AE37" s="7" t="e">
        <f t="shared" ca="1" si="6"/>
        <v>#NAME?</v>
      </c>
      <c r="AF37" s="7" t="e">
        <f t="shared" ca="1" si="6"/>
        <v>#NAME?</v>
      </c>
      <c r="AG37" s="7" t="e">
        <f t="shared" ca="1" si="6"/>
        <v>#NAME?</v>
      </c>
      <c r="AH37" s="7" t="e">
        <f t="shared" ca="1" si="6"/>
        <v>#NAME?</v>
      </c>
      <c r="AI37" s="7" t="e">
        <f t="shared" ca="1" si="6"/>
        <v>#NAME?</v>
      </c>
      <c r="AJ37" s="7" t="e">
        <f t="shared" ca="1" si="6"/>
        <v>#NAME?</v>
      </c>
      <c r="AK37" s="7" t="e">
        <f t="shared" ca="1" si="6"/>
        <v>#NAME?</v>
      </c>
      <c r="AL37" s="7" t="e">
        <f t="shared" ca="1" si="6"/>
        <v>#NAME?</v>
      </c>
      <c r="AM37" s="7" t="e">
        <f t="shared" ca="1" si="6"/>
        <v>#NAME?</v>
      </c>
      <c r="AN37" s="7" t="e">
        <f t="shared" ca="1" si="6"/>
        <v>#NAME?</v>
      </c>
      <c r="AO37" s="7" t="e">
        <f t="shared" ca="1" si="8"/>
        <v>#NAME?</v>
      </c>
      <c r="AP37" s="7" t="e">
        <f t="shared" ca="1" si="8"/>
        <v>#NAME?</v>
      </c>
      <c r="AQ37" s="7" t="e">
        <f t="shared" ca="1" si="8"/>
        <v>#NAME?</v>
      </c>
      <c r="AR37" s="7" t="e">
        <f t="shared" ca="1" si="8"/>
        <v>#NAME?</v>
      </c>
      <c r="AS37" s="7" t="e">
        <f t="shared" ca="1" si="8"/>
        <v>#NAME?</v>
      </c>
      <c r="AT37" s="7" t="e">
        <f t="shared" ca="1" si="8"/>
        <v>#NAME?</v>
      </c>
      <c r="AU37" s="7" t="e">
        <f t="shared" ca="1" si="8"/>
        <v>#NAME?</v>
      </c>
      <c r="AV37" s="60" t="e">
        <f t="shared" ca="1" si="8"/>
        <v>#NAME?</v>
      </c>
    </row>
    <row r="38" spans="10:48" x14ac:dyDescent="0.35">
      <c r="J38" t="e">
        <f ca="1"/>
        <v>#NAME?</v>
      </c>
      <c r="K38" s="59" t="e">
        <f t="shared" ca="1" si="7"/>
        <v>#NAME?</v>
      </c>
      <c r="L38" s="7" t="e">
        <f t="shared" ca="1" si="7"/>
        <v>#NAME?</v>
      </c>
      <c r="M38" s="7" t="e">
        <f t="shared" ca="1" si="7"/>
        <v>#NAME?</v>
      </c>
      <c r="N38" s="7" t="e">
        <f t="shared" ca="1" si="7"/>
        <v>#NAME?</v>
      </c>
      <c r="O38" s="7" t="e">
        <f t="shared" ca="1" si="7"/>
        <v>#NAME?</v>
      </c>
      <c r="P38" s="7" t="e">
        <f t="shared" ca="1" si="7"/>
        <v>#NAME?</v>
      </c>
      <c r="Q38" s="7" t="e">
        <f t="shared" ca="1" si="7"/>
        <v>#NAME?</v>
      </c>
      <c r="R38" s="7" t="e">
        <f t="shared" ca="1" si="7"/>
        <v>#NAME?</v>
      </c>
      <c r="S38" s="7" t="e">
        <f t="shared" ca="1" si="7"/>
        <v>#NAME?</v>
      </c>
      <c r="T38" s="7" t="e">
        <f t="shared" ca="1" si="7"/>
        <v>#NAME?</v>
      </c>
      <c r="U38" s="7" t="e">
        <f t="shared" ca="1" si="7"/>
        <v>#NAME?</v>
      </c>
      <c r="V38" s="7" t="e">
        <f t="shared" ca="1" si="7"/>
        <v>#NAME?</v>
      </c>
      <c r="W38" s="7" t="e">
        <f t="shared" ca="1" si="7"/>
        <v>#NAME?</v>
      </c>
      <c r="X38" s="7" t="e">
        <f t="shared" ca="1" si="7"/>
        <v>#NAME?</v>
      </c>
      <c r="Y38" s="7" t="e">
        <f t="shared" ca="1" si="7"/>
        <v>#NAME?</v>
      </c>
      <c r="Z38" s="7" t="e">
        <f t="shared" ca="1" si="7"/>
        <v>#NAME?</v>
      </c>
      <c r="AA38" s="7" t="e">
        <f t="shared" ca="1" si="6"/>
        <v>#NAME?</v>
      </c>
      <c r="AB38" s="7" t="e">
        <f t="shared" ca="1" si="6"/>
        <v>#NAME?</v>
      </c>
      <c r="AC38" s="7" t="e">
        <f t="shared" ca="1" si="6"/>
        <v>#NAME?</v>
      </c>
      <c r="AD38" s="7" t="e">
        <f t="shared" ca="1" si="6"/>
        <v>#NAME?</v>
      </c>
      <c r="AE38" s="7" t="e">
        <f t="shared" ca="1" si="6"/>
        <v>#NAME?</v>
      </c>
      <c r="AF38" s="7" t="e">
        <f t="shared" ca="1" si="6"/>
        <v>#NAME?</v>
      </c>
      <c r="AG38" s="7" t="e">
        <f t="shared" ca="1" si="6"/>
        <v>#NAME?</v>
      </c>
      <c r="AH38" s="7" t="e">
        <f t="shared" ca="1" si="6"/>
        <v>#NAME?</v>
      </c>
      <c r="AI38" s="7" t="e">
        <f t="shared" ca="1" si="6"/>
        <v>#NAME?</v>
      </c>
      <c r="AJ38" s="7" t="e">
        <f t="shared" ca="1" si="6"/>
        <v>#NAME?</v>
      </c>
      <c r="AK38" s="7" t="e">
        <f t="shared" ca="1" si="6"/>
        <v>#NAME?</v>
      </c>
      <c r="AL38" s="7" t="e">
        <f t="shared" ca="1" si="6"/>
        <v>#NAME?</v>
      </c>
      <c r="AM38" s="7" t="e">
        <f t="shared" ca="1" si="6"/>
        <v>#NAME?</v>
      </c>
      <c r="AN38" s="7" t="e">
        <f t="shared" ca="1" si="6"/>
        <v>#NAME?</v>
      </c>
      <c r="AO38" s="7" t="e">
        <f t="shared" ca="1" si="8"/>
        <v>#NAME?</v>
      </c>
      <c r="AP38" s="7" t="e">
        <f t="shared" ca="1" si="8"/>
        <v>#NAME?</v>
      </c>
      <c r="AQ38" s="7" t="e">
        <f t="shared" ca="1" si="8"/>
        <v>#NAME?</v>
      </c>
      <c r="AR38" s="7" t="e">
        <f t="shared" ca="1" si="8"/>
        <v>#NAME?</v>
      </c>
      <c r="AS38" s="7" t="e">
        <f t="shared" ca="1" si="8"/>
        <v>#NAME?</v>
      </c>
      <c r="AT38" s="7" t="e">
        <f t="shared" ca="1" si="8"/>
        <v>#NAME?</v>
      </c>
      <c r="AU38" s="7" t="e">
        <f t="shared" ca="1" si="8"/>
        <v>#NAME?</v>
      </c>
      <c r="AV38" s="60" t="e">
        <f t="shared" ca="1" si="8"/>
        <v>#NAME?</v>
      </c>
    </row>
    <row r="39" spans="10:48" x14ac:dyDescent="0.35">
      <c r="J39" t="e">
        <f ca="1"/>
        <v>#NAME?</v>
      </c>
      <c r="K39" s="59" t="e">
        <f t="shared" ca="1" si="7"/>
        <v>#NAME?</v>
      </c>
      <c r="L39" s="7" t="e">
        <f t="shared" ca="1" si="7"/>
        <v>#NAME?</v>
      </c>
      <c r="M39" s="7" t="e">
        <f t="shared" ca="1" si="7"/>
        <v>#NAME?</v>
      </c>
      <c r="N39" s="7" t="e">
        <f t="shared" ca="1" si="7"/>
        <v>#NAME?</v>
      </c>
      <c r="O39" s="7" t="e">
        <f t="shared" ca="1" si="7"/>
        <v>#NAME?</v>
      </c>
      <c r="P39" s="7" t="e">
        <f t="shared" ca="1" si="7"/>
        <v>#NAME?</v>
      </c>
      <c r="Q39" s="7" t="e">
        <f t="shared" ca="1" si="7"/>
        <v>#NAME?</v>
      </c>
      <c r="R39" s="7" t="e">
        <f t="shared" ca="1" si="7"/>
        <v>#NAME?</v>
      </c>
      <c r="S39" s="7" t="e">
        <f t="shared" ca="1" si="7"/>
        <v>#NAME?</v>
      </c>
      <c r="T39" s="7" t="e">
        <f t="shared" ca="1" si="7"/>
        <v>#NAME?</v>
      </c>
      <c r="U39" s="7" t="e">
        <f t="shared" ca="1" si="7"/>
        <v>#NAME?</v>
      </c>
      <c r="V39" s="7" t="e">
        <f t="shared" ca="1" si="7"/>
        <v>#NAME?</v>
      </c>
      <c r="W39" s="7" t="e">
        <f t="shared" ca="1" si="7"/>
        <v>#NAME?</v>
      </c>
      <c r="X39" s="7" t="e">
        <f t="shared" ca="1" si="7"/>
        <v>#NAME?</v>
      </c>
      <c r="Y39" s="7" t="e">
        <f t="shared" ca="1" si="7"/>
        <v>#NAME?</v>
      </c>
      <c r="Z39" s="7" t="e">
        <f t="shared" ca="1" si="7"/>
        <v>#NAME?</v>
      </c>
      <c r="AA39" s="7" t="e">
        <f t="shared" ca="1" si="6"/>
        <v>#NAME?</v>
      </c>
      <c r="AB39" s="7" t="e">
        <f t="shared" ca="1" si="6"/>
        <v>#NAME?</v>
      </c>
      <c r="AC39" s="7" t="e">
        <f t="shared" ca="1" si="6"/>
        <v>#NAME?</v>
      </c>
      <c r="AD39" s="7" t="e">
        <f t="shared" ca="1" si="6"/>
        <v>#NAME?</v>
      </c>
      <c r="AE39" s="7" t="e">
        <f t="shared" ca="1" si="6"/>
        <v>#NAME?</v>
      </c>
      <c r="AF39" s="7" t="e">
        <f t="shared" ca="1" si="6"/>
        <v>#NAME?</v>
      </c>
      <c r="AG39" s="7" t="e">
        <f t="shared" ca="1" si="6"/>
        <v>#NAME?</v>
      </c>
      <c r="AH39" s="7" t="e">
        <f t="shared" ca="1" si="6"/>
        <v>#NAME?</v>
      </c>
      <c r="AI39" s="7" t="e">
        <f t="shared" ca="1" si="6"/>
        <v>#NAME?</v>
      </c>
      <c r="AJ39" s="7" t="e">
        <f t="shared" ca="1" si="6"/>
        <v>#NAME?</v>
      </c>
      <c r="AK39" s="7" t="e">
        <f t="shared" ca="1" si="6"/>
        <v>#NAME?</v>
      </c>
      <c r="AL39" s="7" t="e">
        <f t="shared" ca="1" si="6"/>
        <v>#NAME?</v>
      </c>
      <c r="AM39" s="7" t="e">
        <f t="shared" ca="1" si="6"/>
        <v>#NAME?</v>
      </c>
      <c r="AN39" s="7" t="e">
        <f t="shared" ca="1" si="6"/>
        <v>#NAME?</v>
      </c>
      <c r="AO39" s="7" t="e">
        <f t="shared" ca="1" si="8"/>
        <v>#NAME?</v>
      </c>
      <c r="AP39" s="7" t="e">
        <f t="shared" ca="1" si="8"/>
        <v>#NAME?</v>
      </c>
      <c r="AQ39" s="7" t="e">
        <f t="shared" ca="1" si="8"/>
        <v>#NAME?</v>
      </c>
      <c r="AR39" s="7" t="e">
        <f t="shared" ca="1" si="8"/>
        <v>#NAME?</v>
      </c>
      <c r="AS39" s="7" t="e">
        <f t="shared" ca="1" si="8"/>
        <v>#NAME?</v>
      </c>
      <c r="AT39" s="7" t="e">
        <f t="shared" ca="1" si="8"/>
        <v>#NAME?</v>
      </c>
      <c r="AU39" s="7" t="e">
        <f t="shared" ca="1" si="8"/>
        <v>#NAME?</v>
      </c>
      <c r="AV39" s="60" t="e">
        <f t="shared" ca="1" si="8"/>
        <v>#NAME?</v>
      </c>
    </row>
    <row r="40" spans="10:48" x14ac:dyDescent="0.35">
      <c r="J40" t="e">
        <f ca="1"/>
        <v>#NAME?</v>
      </c>
      <c r="K40" s="59" t="e">
        <f t="shared" ca="1" si="7"/>
        <v>#NAME?</v>
      </c>
      <c r="L40" s="7" t="e">
        <f t="shared" ca="1" si="7"/>
        <v>#NAME?</v>
      </c>
      <c r="M40" s="7" t="e">
        <f t="shared" ca="1" si="7"/>
        <v>#NAME?</v>
      </c>
      <c r="N40" s="7" t="e">
        <f t="shared" ca="1" si="7"/>
        <v>#NAME?</v>
      </c>
      <c r="O40" s="7" t="e">
        <f t="shared" ca="1" si="7"/>
        <v>#NAME?</v>
      </c>
      <c r="P40" s="7" t="e">
        <f t="shared" ca="1" si="7"/>
        <v>#NAME?</v>
      </c>
      <c r="Q40" s="7" t="e">
        <f t="shared" ca="1" si="7"/>
        <v>#NAME?</v>
      </c>
      <c r="R40" s="7" t="e">
        <f t="shared" ca="1" si="7"/>
        <v>#NAME?</v>
      </c>
      <c r="S40" s="7" t="e">
        <f t="shared" ca="1" si="7"/>
        <v>#NAME?</v>
      </c>
      <c r="T40" s="7" t="e">
        <f t="shared" ca="1" si="7"/>
        <v>#NAME?</v>
      </c>
      <c r="U40" s="7" t="e">
        <f t="shared" ca="1" si="7"/>
        <v>#NAME?</v>
      </c>
      <c r="V40" s="7" t="e">
        <f t="shared" ca="1" si="7"/>
        <v>#NAME?</v>
      </c>
      <c r="W40" s="7" t="e">
        <f t="shared" ca="1" si="7"/>
        <v>#NAME?</v>
      </c>
      <c r="X40" s="7" t="e">
        <f t="shared" ca="1" si="7"/>
        <v>#NAME?</v>
      </c>
      <c r="Y40" s="7" t="e">
        <f t="shared" ca="1" si="7"/>
        <v>#NAME?</v>
      </c>
      <c r="Z40" s="7" t="e">
        <f t="shared" ca="1" si="7"/>
        <v>#NAME?</v>
      </c>
      <c r="AA40" s="7" t="e">
        <f t="shared" ca="1" si="6"/>
        <v>#NAME?</v>
      </c>
      <c r="AB40" s="7" t="e">
        <f t="shared" ca="1" si="6"/>
        <v>#NAME?</v>
      </c>
      <c r="AC40" s="7" t="e">
        <f t="shared" ca="1" si="6"/>
        <v>#NAME?</v>
      </c>
      <c r="AD40" s="7" t="e">
        <f t="shared" ca="1" si="6"/>
        <v>#NAME?</v>
      </c>
      <c r="AE40" s="7" t="e">
        <f t="shared" ca="1" si="6"/>
        <v>#NAME?</v>
      </c>
      <c r="AF40" s="7" t="e">
        <f t="shared" ca="1" si="6"/>
        <v>#NAME?</v>
      </c>
      <c r="AG40" s="7" t="e">
        <f t="shared" ca="1" si="6"/>
        <v>#NAME?</v>
      </c>
      <c r="AH40" s="7" t="e">
        <f t="shared" ca="1" si="6"/>
        <v>#NAME?</v>
      </c>
      <c r="AI40" s="7" t="e">
        <f t="shared" ca="1" si="6"/>
        <v>#NAME?</v>
      </c>
      <c r="AJ40" s="7" t="e">
        <f t="shared" ca="1" si="6"/>
        <v>#NAME?</v>
      </c>
      <c r="AK40" s="7" t="e">
        <f t="shared" ca="1" si="6"/>
        <v>#NAME?</v>
      </c>
      <c r="AL40" s="7" t="e">
        <f t="shared" ca="1" si="6"/>
        <v>#NAME?</v>
      </c>
      <c r="AM40" s="7" t="e">
        <f t="shared" ca="1" si="6"/>
        <v>#NAME?</v>
      </c>
      <c r="AN40" s="7" t="e">
        <f t="shared" ca="1" si="6"/>
        <v>#NAME?</v>
      </c>
      <c r="AO40" s="7" t="e">
        <f t="shared" ca="1" si="8"/>
        <v>#NAME?</v>
      </c>
      <c r="AP40" s="7" t="e">
        <f t="shared" ca="1" si="8"/>
        <v>#NAME?</v>
      </c>
      <c r="AQ40" s="7" t="e">
        <f t="shared" ca="1" si="8"/>
        <v>#NAME?</v>
      </c>
      <c r="AR40" s="7" t="e">
        <f t="shared" ca="1" si="8"/>
        <v>#NAME?</v>
      </c>
      <c r="AS40" s="7" t="e">
        <f t="shared" ca="1" si="8"/>
        <v>#NAME?</v>
      </c>
      <c r="AT40" s="7" t="e">
        <f t="shared" ca="1" si="8"/>
        <v>#NAME?</v>
      </c>
      <c r="AU40" s="7" t="e">
        <f t="shared" ca="1" si="8"/>
        <v>#NAME?</v>
      </c>
      <c r="AV40" s="60" t="e">
        <f t="shared" ca="1" si="8"/>
        <v>#NAME?</v>
      </c>
    </row>
    <row r="41" spans="10:48" x14ac:dyDescent="0.35">
      <c r="J41" t="e">
        <f ca="1"/>
        <v>#NAME?</v>
      </c>
      <c r="K41" s="59" t="e">
        <f t="shared" ca="1" si="7"/>
        <v>#NAME?</v>
      </c>
      <c r="L41" s="7" t="e">
        <f t="shared" ca="1" si="7"/>
        <v>#NAME?</v>
      </c>
      <c r="M41" s="7" t="e">
        <f t="shared" ca="1" si="7"/>
        <v>#NAME?</v>
      </c>
      <c r="N41" s="7" t="e">
        <f t="shared" ca="1" si="7"/>
        <v>#NAME?</v>
      </c>
      <c r="O41" s="7" t="e">
        <f t="shared" ca="1" si="7"/>
        <v>#NAME?</v>
      </c>
      <c r="P41" s="7" t="e">
        <f t="shared" ca="1" si="7"/>
        <v>#NAME?</v>
      </c>
      <c r="Q41" s="7" t="e">
        <f t="shared" ca="1" si="7"/>
        <v>#NAME?</v>
      </c>
      <c r="R41" s="7" t="e">
        <f t="shared" ca="1" si="7"/>
        <v>#NAME?</v>
      </c>
      <c r="S41" s="7" t="e">
        <f t="shared" ca="1" si="7"/>
        <v>#NAME?</v>
      </c>
      <c r="T41" s="7" t="e">
        <f t="shared" ca="1" si="7"/>
        <v>#NAME?</v>
      </c>
      <c r="U41" s="7" t="e">
        <f t="shared" ca="1" si="7"/>
        <v>#NAME?</v>
      </c>
      <c r="V41" s="7" t="e">
        <f t="shared" ca="1" si="7"/>
        <v>#NAME?</v>
      </c>
      <c r="W41" s="7" t="e">
        <f t="shared" ca="1" si="7"/>
        <v>#NAME?</v>
      </c>
      <c r="X41" s="7" t="e">
        <f t="shared" ca="1" si="7"/>
        <v>#NAME?</v>
      </c>
      <c r="Y41" s="7" t="e">
        <f t="shared" ca="1" si="7"/>
        <v>#NAME?</v>
      </c>
      <c r="Z41" s="7" t="e">
        <f t="shared" ca="1" si="7"/>
        <v>#NAME?</v>
      </c>
      <c r="AA41" s="7" t="e">
        <f t="shared" ca="1" si="6"/>
        <v>#NAME?</v>
      </c>
      <c r="AB41" s="7" t="e">
        <f t="shared" ca="1" si="6"/>
        <v>#NAME?</v>
      </c>
      <c r="AC41" s="7" t="e">
        <f t="shared" ca="1" si="6"/>
        <v>#NAME?</v>
      </c>
      <c r="AD41" s="7" t="e">
        <f t="shared" ca="1" si="6"/>
        <v>#NAME?</v>
      </c>
      <c r="AE41" s="7" t="e">
        <f t="shared" ca="1" si="6"/>
        <v>#NAME?</v>
      </c>
      <c r="AF41" s="7" t="e">
        <f t="shared" ca="1" si="6"/>
        <v>#NAME?</v>
      </c>
      <c r="AG41" s="7" t="e">
        <f t="shared" ca="1" si="6"/>
        <v>#NAME?</v>
      </c>
      <c r="AH41" s="7" t="e">
        <f t="shared" ca="1" si="6"/>
        <v>#NAME?</v>
      </c>
      <c r="AI41" s="7" t="e">
        <f t="shared" ca="1" si="6"/>
        <v>#NAME?</v>
      </c>
      <c r="AJ41" s="7" t="e">
        <f t="shared" ca="1" si="6"/>
        <v>#NAME?</v>
      </c>
      <c r="AK41" s="7" t="e">
        <f t="shared" ca="1" si="6"/>
        <v>#NAME?</v>
      </c>
      <c r="AL41" s="7" t="e">
        <f t="shared" ca="1" si="6"/>
        <v>#NAME?</v>
      </c>
      <c r="AM41" s="7" t="e">
        <f t="shared" ca="1" si="6"/>
        <v>#NAME?</v>
      </c>
      <c r="AN41" s="7" t="e">
        <f t="shared" ca="1" si="6"/>
        <v>#NAME?</v>
      </c>
      <c r="AO41" s="7" t="e">
        <f t="shared" ca="1" si="8"/>
        <v>#NAME?</v>
      </c>
      <c r="AP41" s="7" t="e">
        <f t="shared" ca="1" si="8"/>
        <v>#NAME?</v>
      </c>
      <c r="AQ41" s="7" t="e">
        <f t="shared" ca="1" si="8"/>
        <v>#NAME?</v>
      </c>
      <c r="AR41" s="7" t="e">
        <f t="shared" ca="1" si="8"/>
        <v>#NAME?</v>
      </c>
      <c r="AS41" s="7" t="e">
        <f t="shared" ca="1" si="8"/>
        <v>#NAME?</v>
      </c>
      <c r="AT41" s="7" t="e">
        <f t="shared" ca="1" si="8"/>
        <v>#NAME?</v>
      </c>
      <c r="AU41" s="7" t="e">
        <f t="shared" ca="1" si="8"/>
        <v>#NAME?</v>
      </c>
      <c r="AV41" s="60" t="e">
        <f t="shared" ca="1" si="8"/>
        <v>#NAME?</v>
      </c>
    </row>
    <row r="42" spans="10:48" x14ac:dyDescent="0.35">
      <c r="J42" t="e">
        <f ca="1"/>
        <v>#NAME?</v>
      </c>
      <c r="K42" s="59" t="e">
        <f t="shared" ca="1" si="7"/>
        <v>#NAME?</v>
      </c>
      <c r="L42" s="7" t="e">
        <f t="shared" ca="1" si="7"/>
        <v>#NAME?</v>
      </c>
      <c r="M42" s="7" t="e">
        <f t="shared" ca="1" si="7"/>
        <v>#NAME?</v>
      </c>
      <c r="N42" s="7" t="e">
        <f t="shared" ca="1" si="7"/>
        <v>#NAME?</v>
      </c>
      <c r="O42" s="7" t="e">
        <f t="shared" ca="1" si="7"/>
        <v>#NAME?</v>
      </c>
      <c r="P42" s="7" t="e">
        <f t="shared" ca="1" si="7"/>
        <v>#NAME?</v>
      </c>
      <c r="Q42" s="7" t="e">
        <f t="shared" ca="1" si="7"/>
        <v>#NAME?</v>
      </c>
      <c r="R42" s="7" t="e">
        <f t="shared" ca="1" si="7"/>
        <v>#NAME?</v>
      </c>
      <c r="S42" s="7" t="e">
        <f t="shared" ca="1" si="7"/>
        <v>#NAME?</v>
      </c>
      <c r="T42" s="7" t="e">
        <f t="shared" ca="1" si="7"/>
        <v>#NAME?</v>
      </c>
      <c r="U42" s="7" t="e">
        <f t="shared" ca="1" si="7"/>
        <v>#NAME?</v>
      </c>
      <c r="V42" s="7" t="e">
        <f t="shared" ca="1" si="7"/>
        <v>#NAME?</v>
      </c>
      <c r="W42" s="7" t="e">
        <f t="shared" ca="1" si="7"/>
        <v>#NAME?</v>
      </c>
      <c r="X42" s="7" t="e">
        <f t="shared" ca="1" si="7"/>
        <v>#NAME?</v>
      </c>
      <c r="Y42" s="7" t="e">
        <f t="shared" ca="1" si="7"/>
        <v>#NAME?</v>
      </c>
      <c r="Z42" s="7" t="e">
        <f t="shared" ca="1" si="7"/>
        <v>#NAME?</v>
      </c>
      <c r="AA42" s="7" t="e">
        <f t="shared" ca="1" si="6"/>
        <v>#NAME?</v>
      </c>
      <c r="AB42" s="7" t="e">
        <f t="shared" ca="1" si="6"/>
        <v>#NAME?</v>
      </c>
      <c r="AC42" s="7" t="e">
        <f t="shared" ca="1" si="6"/>
        <v>#NAME?</v>
      </c>
      <c r="AD42" s="7" t="e">
        <f t="shared" ca="1" si="6"/>
        <v>#NAME?</v>
      </c>
      <c r="AE42" s="7" t="e">
        <f t="shared" ca="1" si="6"/>
        <v>#NAME?</v>
      </c>
      <c r="AF42" s="7" t="e">
        <f t="shared" ca="1" si="6"/>
        <v>#NAME?</v>
      </c>
      <c r="AG42" s="7" t="e">
        <f t="shared" ca="1" si="6"/>
        <v>#NAME?</v>
      </c>
      <c r="AH42" s="7" t="e">
        <f t="shared" ca="1" si="6"/>
        <v>#NAME?</v>
      </c>
      <c r="AI42" s="7" t="e">
        <f t="shared" ca="1" si="6"/>
        <v>#NAME?</v>
      </c>
      <c r="AJ42" s="7" t="e">
        <f t="shared" ca="1" si="6"/>
        <v>#NAME?</v>
      </c>
      <c r="AK42" s="7" t="e">
        <f t="shared" ca="1" si="6"/>
        <v>#NAME?</v>
      </c>
      <c r="AL42" s="7" t="e">
        <f t="shared" ca="1" si="6"/>
        <v>#NAME?</v>
      </c>
      <c r="AM42" s="7" t="e">
        <f t="shared" ca="1" si="6"/>
        <v>#NAME?</v>
      </c>
      <c r="AN42" s="7" t="e">
        <f t="shared" ca="1" si="6"/>
        <v>#NAME?</v>
      </c>
      <c r="AO42" s="7" t="e">
        <f t="shared" ca="1" si="8"/>
        <v>#NAME?</v>
      </c>
      <c r="AP42" s="7" t="e">
        <f t="shared" ca="1" si="8"/>
        <v>#NAME?</v>
      </c>
      <c r="AQ42" s="7" t="e">
        <f t="shared" ca="1" si="8"/>
        <v>#NAME?</v>
      </c>
      <c r="AR42" s="7" t="e">
        <f t="shared" ca="1" si="8"/>
        <v>#NAME?</v>
      </c>
      <c r="AS42" s="7" t="e">
        <f t="shared" ca="1" si="8"/>
        <v>#NAME?</v>
      </c>
      <c r="AT42" s="7" t="e">
        <f t="shared" ca="1" si="8"/>
        <v>#NAME?</v>
      </c>
      <c r="AU42" s="7" t="e">
        <f t="shared" ca="1" si="8"/>
        <v>#NAME?</v>
      </c>
      <c r="AV42" s="60" t="e">
        <f t="shared" ca="1" si="8"/>
        <v>#NAME?</v>
      </c>
    </row>
    <row r="43" spans="10:48" x14ac:dyDescent="0.35">
      <c r="J43" t="e">
        <f ca="1"/>
        <v>#NAME?</v>
      </c>
      <c r="K43" s="45" t="e">
        <f t="shared" ca="1" si="7"/>
        <v>#NAME?</v>
      </c>
      <c r="L43" s="106" t="e">
        <f t="shared" ca="1" si="7"/>
        <v>#NAME?</v>
      </c>
      <c r="M43" s="106" t="e">
        <f t="shared" ca="1" si="7"/>
        <v>#NAME?</v>
      </c>
      <c r="N43" s="106" t="e">
        <f t="shared" ca="1" si="7"/>
        <v>#NAME?</v>
      </c>
      <c r="O43" s="106" t="e">
        <f t="shared" ca="1" si="7"/>
        <v>#NAME?</v>
      </c>
      <c r="P43" s="106" t="e">
        <f t="shared" ca="1" si="7"/>
        <v>#NAME?</v>
      </c>
      <c r="Q43" s="106" t="e">
        <f t="shared" ca="1" si="7"/>
        <v>#NAME?</v>
      </c>
      <c r="R43" s="106" t="e">
        <f t="shared" ca="1" si="7"/>
        <v>#NAME?</v>
      </c>
      <c r="S43" s="106" t="e">
        <f t="shared" ca="1" si="7"/>
        <v>#NAME?</v>
      </c>
      <c r="T43" s="106" t="e">
        <f t="shared" ca="1" si="7"/>
        <v>#NAME?</v>
      </c>
      <c r="U43" s="106" t="e">
        <f t="shared" ca="1" si="7"/>
        <v>#NAME?</v>
      </c>
      <c r="V43" s="106" t="e">
        <f t="shared" ca="1" si="7"/>
        <v>#NAME?</v>
      </c>
      <c r="W43" s="106" t="e">
        <f t="shared" ca="1" si="7"/>
        <v>#NAME?</v>
      </c>
      <c r="X43" s="106" t="e">
        <f t="shared" ca="1" si="7"/>
        <v>#NAME?</v>
      </c>
      <c r="Y43" s="106" t="e">
        <f t="shared" ca="1" si="7"/>
        <v>#NAME?</v>
      </c>
      <c r="Z43" s="106" t="e">
        <f t="shared" ca="1" si="7"/>
        <v>#NAME?</v>
      </c>
      <c r="AA43" s="106" t="e">
        <f t="shared" ca="1" si="6"/>
        <v>#NAME?</v>
      </c>
      <c r="AB43" s="106" t="e">
        <f t="shared" ca="1" si="6"/>
        <v>#NAME?</v>
      </c>
      <c r="AC43" s="106" t="e">
        <f t="shared" ca="1" si="6"/>
        <v>#NAME?</v>
      </c>
      <c r="AD43" s="106" t="e">
        <f t="shared" ca="1" si="6"/>
        <v>#NAME?</v>
      </c>
      <c r="AE43" s="106" t="e">
        <f t="shared" ca="1" si="6"/>
        <v>#NAME?</v>
      </c>
      <c r="AF43" s="106" t="e">
        <f t="shared" ca="1" si="6"/>
        <v>#NAME?</v>
      </c>
      <c r="AG43" s="106" t="e">
        <f t="shared" ca="1" si="6"/>
        <v>#NAME?</v>
      </c>
      <c r="AH43" s="106" t="e">
        <f t="shared" ca="1" si="6"/>
        <v>#NAME?</v>
      </c>
      <c r="AI43" s="106" t="e">
        <f t="shared" ca="1" si="6"/>
        <v>#NAME?</v>
      </c>
      <c r="AJ43" s="106" t="e">
        <f t="shared" ca="1" si="6"/>
        <v>#NAME?</v>
      </c>
      <c r="AK43" s="106" t="e">
        <f t="shared" ca="1" si="6"/>
        <v>#NAME?</v>
      </c>
      <c r="AL43" s="106" t="e">
        <f t="shared" ca="1" si="6"/>
        <v>#NAME?</v>
      </c>
      <c r="AM43" s="106" t="e">
        <f t="shared" ca="1" si="6"/>
        <v>#NAME?</v>
      </c>
      <c r="AN43" s="106" t="e">
        <f t="shared" ca="1" si="6"/>
        <v>#NAME?</v>
      </c>
      <c r="AO43" s="106" t="e">
        <f t="shared" ca="1" si="8"/>
        <v>#NAME?</v>
      </c>
      <c r="AP43" s="106" t="e">
        <f t="shared" ca="1" si="8"/>
        <v>#NAME?</v>
      </c>
      <c r="AQ43" s="106" t="e">
        <f t="shared" ca="1" si="8"/>
        <v>#NAME?</v>
      </c>
      <c r="AR43" s="106" t="e">
        <f t="shared" ca="1" si="8"/>
        <v>#NAME?</v>
      </c>
      <c r="AS43" s="106" t="e">
        <f t="shared" ca="1" si="8"/>
        <v>#NAME?</v>
      </c>
      <c r="AT43" s="106" t="e">
        <f t="shared" ca="1" si="8"/>
        <v>#NAME?</v>
      </c>
      <c r="AU43" s="106" t="e">
        <f t="shared" ca="1" si="8"/>
        <v>#NAME?</v>
      </c>
      <c r="AV43" s="48" t="e">
        <f t="shared" ca="1" si="8"/>
        <v>#NAME?</v>
      </c>
    </row>
  </sheetData>
  <mergeCells count="2">
    <mergeCell ref="A3:D3"/>
    <mergeCell ref="E3:H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86"/>
  <dimension ref="A1:CK97"/>
  <sheetViews>
    <sheetView workbookViewId="0"/>
  </sheetViews>
  <sheetFormatPr defaultRowHeight="14.5" x14ac:dyDescent="0.35"/>
  <cols>
    <col min="1" max="1" width="4.81640625" customWidth="1"/>
    <col min="2" max="95" width="5.7265625" customWidth="1"/>
  </cols>
  <sheetData>
    <row r="1" spans="1:89" x14ac:dyDescent="0.35">
      <c r="A1" s="1" t="s">
        <v>229</v>
      </c>
    </row>
    <row r="2" spans="1:89" x14ac:dyDescent="0.35">
      <c r="A2" s="1"/>
    </row>
    <row r="3" spans="1:89" x14ac:dyDescent="0.35">
      <c r="A3" s="15" t="s">
        <v>92</v>
      </c>
      <c r="B3" s="88">
        <v>4</v>
      </c>
      <c r="D3" t="s">
        <v>93</v>
      </c>
      <c r="E3" s="88">
        <v>4</v>
      </c>
      <c r="G3" t="s">
        <v>26</v>
      </c>
      <c r="H3" s="88">
        <f>B3+E3</f>
        <v>8</v>
      </c>
    </row>
    <row r="4" spans="1:89" x14ac:dyDescent="0.35">
      <c r="A4" s="1"/>
    </row>
    <row r="5" spans="1:89" x14ac:dyDescent="0.35">
      <c r="A5" s="15" t="s">
        <v>188</v>
      </c>
      <c r="B5" s="88">
        <f>B3*(B3+1)/2</f>
        <v>10</v>
      </c>
      <c r="D5" t="s">
        <v>32</v>
      </c>
      <c r="E5" s="88">
        <f>E3*(E3+1)/2</f>
        <v>10</v>
      </c>
      <c r="G5" t="s">
        <v>33</v>
      </c>
      <c r="H5" s="88">
        <f>H3*(H3+1)/2</f>
        <v>36</v>
      </c>
      <c r="J5" t="s">
        <v>189</v>
      </c>
      <c r="K5" s="88">
        <f>H5-E5</f>
        <v>26</v>
      </c>
      <c r="M5" t="s">
        <v>185</v>
      </c>
      <c r="N5" s="88">
        <f>COMBIN(H3,E3)</f>
        <v>70</v>
      </c>
    </row>
    <row r="6" spans="1:89" x14ac:dyDescent="0.35">
      <c r="A6" s="1"/>
    </row>
    <row r="7" spans="1:89" x14ac:dyDescent="0.35">
      <c r="A7" s="1"/>
      <c r="B7">
        <v>1</v>
      </c>
      <c r="C7">
        <f>B7+1</f>
        <v>2</v>
      </c>
      <c r="D7">
        <f t="shared" ref="D7:BO7" si="0">C7+1</f>
        <v>3</v>
      </c>
      <c r="E7">
        <f t="shared" si="0"/>
        <v>4</v>
      </c>
      <c r="F7">
        <f t="shared" si="0"/>
        <v>5</v>
      </c>
      <c r="G7">
        <f t="shared" si="0"/>
        <v>6</v>
      </c>
      <c r="H7">
        <f t="shared" si="0"/>
        <v>7</v>
      </c>
      <c r="I7">
        <f t="shared" si="0"/>
        <v>8</v>
      </c>
      <c r="J7">
        <f t="shared" si="0"/>
        <v>9</v>
      </c>
      <c r="K7">
        <f t="shared" si="0"/>
        <v>10</v>
      </c>
      <c r="L7">
        <f t="shared" si="0"/>
        <v>11</v>
      </c>
      <c r="M7">
        <f t="shared" si="0"/>
        <v>12</v>
      </c>
      <c r="N7">
        <f t="shared" si="0"/>
        <v>13</v>
      </c>
      <c r="O7">
        <f t="shared" si="0"/>
        <v>14</v>
      </c>
      <c r="P7">
        <f t="shared" si="0"/>
        <v>15</v>
      </c>
      <c r="Q7">
        <f t="shared" si="0"/>
        <v>16</v>
      </c>
      <c r="R7">
        <f t="shared" si="0"/>
        <v>17</v>
      </c>
      <c r="S7">
        <f t="shared" si="0"/>
        <v>18</v>
      </c>
      <c r="T7">
        <f t="shared" si="0"/>
        <v>19</v>
      </c>
      <c r="U7">
        <f t="shared" si="0"/>
        <v>20</v>
      </c>
      <c r="V7">
        <f t="shared" si="0"/>
        <v>21</v>
      </c>
      <c r="W7">
        <f t="shared" si="0"/>
        <v>22</v>
      </c>
      <c r="X7">
        <f t="shared" si="0"/>
        <v>23</v>
      </c>
      <c r="Y7">
        <f t="shared" si="0"/>
        <v>24</v>
      </c>
      <c r="Z7">
        <f t="shared" si="0"/>
        <v>25</v>
      </c>
      <c r="AA7">
        <f t="shared" si="0"/>
        <v>26</v>
      </c>
      <c r="AB7">
        <f t="shared" si="0"/>
        <v>27</v>
      </c>
      <c r="AC7">
        <f t="shared" si="0"/>
        <v>28</v>
      </c>
      <c r="AD7">
        <f t="shared" si="0"/>
        <v>29</v>
      </c>
      <c r="AE7">
        <f t="shared" si="0"/>
        <v>30</v>
      </c>
      <c r="AF7">
        <f t="shared" si="0"/>
        <v>31</v>
      </c>
      <c r="AG7">
        <f t="shared" si="0"/>
        <v>32</v>
      </c>
      <c r="AH7">
        <f t="shared" si="0"/>
        <v>33</v>
      </c>
      <c r="AI7">
        <f t="shared" si="0"/>
        <v>34</v>
      </c>
      <c r="AJ7">
        <f t="shared" si="0"/>
        <v>35</v>
      </c>
      <c r="AK7">
        <f t="shared" si="0"/>
        <v>36</v>
      </c>
      <c r="AL7">
        <f t="shared" si="0"/>
        <v>37</v>
      </c>
      <c r="AM7">
        <f t="shared" si="0"/>
        <v>38</v>
      </c>
      <c r="AN7">
        <f t="shared" si="0"/>
        <v>39</v>
      </c>
      <c r="AO7">
        <f t="shared" si="0"/>
        <v>40</v>
      </c>
      <c r="AP7">
        <f t="shared" si="0"/>
        <v>41</v>
      </c>
      <c r="AQ7">
        <f t="shared" si="0"/>
        <v>42</v>
      </c>
      <c r="AR7">
        <f t="shared" si="0"/>
        <v>43</v>
      </c>
      <c r="AS7">
        <f t="shared" si="0"/>
        <v>44</v>
      </c>
      <c r="AT7">
        <f t="shared" si="0"/>
        <v>45</v>
      </c>
      <c r="AU7">
        <f t="shared" si="0"/>
        <v>46</v>
      </c>
      <c r="AV7">
        <f t="shared" si="0"/>
        <v>47</v>
      </c>
      <c r="AW7">
        <f t="shared" si="0"/>
        <v>48</v>
      </c>
      <c r="AX7">
        <f t="shared" si="0"/>
        <v>49</v>
      </c>
      <c r="AY7">
        <f t="shared" si="0"/>
        <v>50</v>
      </c>
      <c r="AZ7">
        <f t="shared" si="0"/>
        <v>51</v>
      </c>
      <c r="BA7">
        <f t="shared" si="0"/>
        <v>52</v>
      </c>
      <c r="BB7">
        <f t="shared" si="0"/>
        <v>53</v>
      </c>
      <c r="BC7">
        <f t="shared" si="0"/>
        <v>54</v>
      </c>
      <c r="BD7">
        <f t="shared" si="0"/>
        <v>55</v>
      </c>
      <c r="BE7">
        <f t="shared" si="0"/>
        <v>56</v>
      </c>
      <c r="BF7">
        <f t="shared" si="0"/>
        <v>57</v>
      </c>
      <c r="BG7">
        <f t="shared" si="0"/>
        <v>58</v>
      </c>
      <c r="BH7">
        <f t="shared" si="0"/>
        <v>59</v>
      </c>
      <c r="BI7">
        <f t="shared" si="0"/>
        <v>60</v>
      </c>
      <c r="BJ7">
        <f t="shared" si="0"/>
        <v>61</v>
      </c>
      <c r="BK7">
        <f t="shared" si="0"/>
        <v>62</v>
      </c>
      <c r="BL7">
        <f t="shared" si="0"/>
        <v>63</v>
      </c>
      <c r="BM7">
        <f t="shared" si="0"/>
        <v>64</v>
      </c>
      <c r="BN7">
        <f t="shared" si="0"/>
        <v>65</v>
      </c>
      <c r="BO7">
        <f t="shared" si="0"/>
        <v>66</v>
      </c>
      <c r="BP7">
        <f>BO7+1</f>
        <v>67</v>
      </c>
      <c r="BQ7">
        <f>BP7+1</f>
        <v>68</v>
      </c>
      <c r="BR7">
        <f>BQ7+1</f>
        <v>69</v>
      </c>
      <c r="BS7">
        <f>BR7+1</f>
        <v>70</v>
      </c>
    </row>
    <row r="8" spans="1:89" s="146" customFormat="1" x14ac:dyDescent="0.35">
      <c r="A8" s="141">
        <f>A7+1</f>
        <v>1</v>
      </c>
      <c r="B8" s="142">
        <v>0</v>
      </c>
      <c r="C8" s="143">
        <v>0</v>
      </c>
      <c r="D8" s="143">
        <v>0</v>
      </c>
      <c r="E8" s="143">
        <v>0</v>
      </c>
      <c r="F8" s="143">
        <v>0</v>
      </c>
      <c r="G8" s="143">
        <v>0</v>
      </c>
      <c r="H8" s="143">
        <v>0</v>
      </c>
      <c r="I8" s="143">
        <v>0</v>
      </c>
      <c r="J8" s="143">
        <v>0</v>
      </c>
      <c r="K8" s="143">
        <v>0</v>
      </c>
      <c r="L8" s="143">
        <v>0</v>
      </c>
      <c r="M8" s="143">
        <v>0</v>
      </c>
      <c r="N8" s="143">
        <v>0</v>
      </c>
      <c r="O8" s="143">
        <v>0</v>
      </c>
      <c r="P8" s="143">
        <v>0</v>
      </c>
      <c r="Q8" s="143">
        <v>0</v>
      </c>
      <c r="R8" s="143">
        <v>0</v>
      </c>
      <c r="S8" s="143">
        <v>0</v>
      </c>
      <c r="T8" s="143">
        <v>0</v>
      </c>
      <c r="U8" s="143">
        <v>0</v>
      </c>
      <c r="V8" s="143">
        <v>0</v>
      </c>
      <c r="W8" s="143">
        <v>0</v>
      </c>
      <c r="X8" s="143">
        <v>0</v>
      </c>
      <c r="Y8" s="143">
        <v>0</v>
      </c>
      <c r="Z8" s="143">
        <v>0</v>
      </c>
      <c r="AA8" s="143">
        <v>0</v>
      </c>
      <c r="AB8" s="143">
        <v>0</v>
      </c>
      <c r="AC8" s="143">
        <v>0</v>
      </c>
      <c r="AD8" s="143">
        <v>0</v>
      </c>
      <c r="AE8" s="143">
        <v>0</v>
      </c>
      <c r="AF8" s="143">
        <v>0</v>
      </c>
      <c r="AG8" s="143">
        <v>0</v>
      </c>
      <c r="AH8" s="143">
        <v>0</v>
      </c>
      <c r="AI8" s="143">
        <v>0</v>
      </c>
      <c r="AJ8" s="143">
        <v>0</v>
      </c>
      <c r="AK8" s="143">
        <v>1</v>
      </c>
      <c r="AL8" s="143">
        <v>1</v>
      </c>
      <c r="AM8" s="143">
        <v>1</v>
      </c>
      <c r="AN8" s="143">
        <v>1</v>
      </c>
      <c r="AO8" s="143">
        <v>1</v>
      </c>
      <c r="AP8" s="143">
        <v>1</v>
      </c>
      <c r="AQ8" s="143">
        <v>1</v>
      </c>
      <c r="AR8" s="143">
        <v>1</v>
      </c>
      <c r="AS8" s="143">
        <v>1</v>
      </c>
      <c r="AT8" s="143">
        <v>1</v>
      </c>
      <c r="AU8" s="143">
        <v>1</v>
      </c>
      <c r="AV8" s="143">
        <v>1</v>
      </c>
      <c r="AW8" s="143">
        <v>1</v>
      </c>
      <c r="AX8" s="143">
        <v>1</v>
      </c>
      <c r="AY8" s="143">
        <v>1</v>
      </c>
      <c r="AZ8" s="143">
        <v>1</v>
      </c>
      <c r="BA8" s="143">
        <v>1</v>
      </c>
      <c r="BB8" s="143">
        <v>1</v>
      </c>
      <c r="BC8" s="143">
        <v>1</v>
      </c>
      <c r="BD8" s="143">
        <v>1</v>
      </c>
      <c r="BE8" s="143">
        <v>1</v>
      </c>
      <c r="BF8" s="143">
        <v>1</v>
      </c>
      <c r="BG8" s="143">
        <v>1</v>
      </c>
      <c r="BH8" s="143">
        <v>1</v>
      </c>
      <c r="BI8" s="143">
        <v>1</v>
      </c>
      <c r="BJ8" s="143">
        <v>1</v>
      </c>
      <c r="BK8" s="143">
        <v>1</v>
      </c>
      <c r="BL8" s="143">
        <v>1</v>
      </c>
      <c r="BM8" s="143">
        <v>1</v>
      </c>
      <c r="BN8" s="143">
        <v>1</v>
      </c>
      <c r="BO8" s="143">
        <v>1</v>
      </c>
      <c r="BP8" s="143">
        <v>1</v>
      </c>
      <c r="BQ8" s="143">
        <v>1</v>
      </c>
      <c r="BR8" s="143">
        <v>1</v>
      </c>
      <c r="BS8" s="145">
        <v>1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</row>
    <row r="9" spans="1:89" s="146" customFormat="1" x14ac:dyDescent="0.35">
      <c r="A9" s="141">
        <f t="shared" ref="A9:A15" si="1">A8+1</f>
        <v>2</v>
      </c>
      <c r="B9" s="107">
        <v>0</v>
      </c>
      <c r="C9" s="120">
        <v>0</v>
      </c>
      <c r="D9" s="120">
        <v>0</v>
      </c>
      <c r="E9" s="120">
        <v>0</v>
      </c>
      <c r="F9" s="120">
        <v>0</v>
      </c>
      <c r="G9" s="120">
        <v>0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0</v>
      </c>
      <c r="O9" s="120">
        <v>0</v>
      </c>
      <c r="P9" s="120">
        <v>0</v>
      </c>
      <c r="Q9" s="120">
        <v>1</v>
      </c>
      <c r="R9" s="120">
        <v>1</v>
      </c>
      <c r="S9" s="120">
        <v>1</v>
      </c>
      <c r="T9" s="120">
        <v>1</v>
      </c>
      <c r="U9" s="120">
        <v>1</v>
      </c>
      <c r="V9" s="120">
        <v>1</v>
      </c>
      <c r="W9" s="120">
        <v>1</v>
      </c>
      <c r="X9" s="120">
        <v>1</v>
      </c>
      <c r="Y9" s="120">
        <v>1</v>
      </c>
      <c r="Z9" s="120">
        <v>1</v>
      </c>
      <c r="AA9" s="120">
        <v>1</v>
      </c>
      <c r="AB9" s="120">
        <v>1</v>
      </c>
      <c r="AC9" s="120">
        <v>1</v>
      </c>
      <c r="AD9" s="120">
        <v>1</v>
      </c>
      <c r="AE9" s="120">
        <v>1</v>
      </c>
      <c r="AF9" s="120">
        <v>1</v>
      </c>
      <c r="AG9" s="120">
        <v>1</v>
      </c>
      <c r="AH9" s="120">
        <v>1</v>
      </c>
      <c r="AI9" s="120">
        <v>1</v>
      </c>
      <c r="AJ9" s="120">
        <v>1</v>
      </c>
      <c r="AK9" s="120">
        <v>0</v>
      </c>
      <c r="AL9" s="120">
        <v>0</v>
      </c>
      <c r="AM9" s="120">
        <v>0</v>
      </c>
      <c r="AN9" s="120">
        <v>0</v>
      </c>
      <c r="AO9" s="120">
        <v>0</v>
      </c>
      <c r="AP9" s="120">
        <v>0</v>
      </c>
      <c r="AQ9" s="120">
        <v>0</v>
      </c>
      <c r="AR9" s="120">
        <v>0</v>
      </c>
      <c r="AS9" s="120">
        <v>0</v>
      </c>
      <c r="AT9" s="120">
        <v>0</v>
      </c>
      <c r="AU9" s="120">
        <v>0</v>
      </c>
      <c r="AV9" s="120">
        <v>0</v>
      </c>
      <c r="AW9" s="120">
        <v>0</v>
      </c>
      <c r="AX9" s="120">
        <v>0</v>
      </c>
      <c r="AY9" s="120">
        <v>0</v>
      </c>
      <c r="AZ9" s="120">
        <v>0</v>
      </c>
      <c r="BA9" s="120">
        <v>0</v>
      </c>
      <c r="BB9" s="120">
        <v>0</v>
      </c>
      <c r="BC9" s="120">
        <v>0</v>
      </c>
      <c r="BD9" s="120">
        <v>0</v>
      </c>
      <c r="BE9" s="120">
        <v>1</v>
      </c>
      <c r="BF9" s="120">
        <v>1</v>
      </c>
      <c r="BG9" s="120">
        <v>1</v>
      </c>
      <c r="BH9" s="120">
        <v>1</v>
      </c>
      <c r="BI9" s="120">
        <v>1</v>
      </c>
      <c r="BJ9" s="120">
        <v>1</v>
      </c>
      <c r="BK9" s="120">
        <v>1</v>
      </c>
      <c r="BL9" s="120">
        <v>1</v>
      </c>
      <c r="BM9" s="120">
        <v>1</v>
      </c>
      <c r="BN9" s="120">
        <v>1</v>
      </c>
      <c r="BO9" s="120">
        <v>1</v>
      </c>
      <c r="BP9" s="120">
        <v>1</v>
      </c>
      <c r="BQ9" s="120">
        <v>1</v>
      </c>
      <c r="BR9" s="120">
        <v>1</v>
      </c>
      <c r="BS9" s="108">
        <v>1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</row>
    <row r="10" spans="1:89" s="146" customFormat="1" x14ac:dyDescent="0.35">
      <c r="A10" s="141">
        <f t="shared" si="1"/>
        <v>3</v>
      </c>
      <c r="B10" s="107">
        <v>0</v>
      </c>
      <c r="C10" s="120">
        <v>0</v>
      </c>
      <c r="D10" s="120">
        <v>0</v>
      </c>
      <c r="E10" s="120">
        <v>0</v>
      </c>
      <c r="F10" s="120">
        <v>0</v>
      </c>
      <c r="G10" s="120">
        <v>1</v>
      </c>
      <c r="H10" s="120">
        <v>1</v>
      </c>
      <c r="I10" s="120">
        <v>1</v>
      </c>
      <c r="J10" s="120">
        <v>1</v>
      </c>
      <c r="K10" s="120">
        <v>1</v>
      </c>
      <c r="L10" s="120">
        <v>1</v>
      </c>
      <c r="M10" s="120">
        <v>1</v>
      </c>
      <c r="N10" s="120">
        <v>1</v>
      </c>
      <c r="O10" s="120">
        <v>1</v>
      </c>
      <c r="P10" s="120">
        <v>1</v>
      </c>
      <c r="Q10" s="120">
        <v>0</v>
      </c>
      <c r="R10" s="120">
        <v>0</v>
      </c>
      <c r="S10" s="120">
        <v>0</v>
      </c>
      <c r="T10" s="120">
        <v>0</v>
      </c>
      <c r="U10" s="120">
        <v>0</v>
      </c>
      <c r="V10" s="120">
        <v>0</v>
      </c>
      <c r="W10" s="120">
        <v>0</v>
      </c>
      <c r="X10" s="120">
        <v>0</v>
      </c>
      <c r="Y10" s="120">
        <v>0</v>
      </c>
      <c r="Z10" s="120">
        <v>0</v>
      </c>
      <c r="AA10" s="120">
        <v>1</v>
      </c>
      <c r="AB10" s="120">
        <v>1</v>
      </c>
      <c r="AC10" s="120">
        <v>1</v>
      </c>
      <c r="AD10" s="120">
        <v>1</v>
      </c>
      <c r="AE10" s="120">
        <v>1</v>
      </c>
      <c r="AF10" s="120">
        <v>1</v>
      </c>
      <c r="AG10" s="120">
        <v>1</v>
      </c>
      <c r="AH10" s="120">
        <v>1</v>
      </c>
      <c r="AI10" s="120">
        <v>1</v>
      </c>
      <c r="AJ10" s="120">
        <v>1</v>
      </c>
      <c r="AK10" s="120">
        <v>0</v>
      </c>
      <c r="AL10" s="120">
        <v>0</v>
      </c>
      <c r="AM10" s="120">
        <v>0</v>
      </c>
      <c r="AN10" s="120">
        <v>0</v>
      </c>
      <c r="AO10" s="120">
        <v>0</v>
      </c>
      <c r="AP10" s="120">
        <v>0</v>
      </c>
      <c r="AQ10" s="120">
        <v>0</v>
      </c>
      <c r="AR10" s="120">
        <v>0</v>
      </c>
      <c r="AS10" s="120">
        <v>0</v>
      </c>
      <c r="AT10" s="120">
        <v>0</v>
      </c>
      <c r="AU10" s="120">
        <v>1</v>
      </c>
      <c r="AV10" s="120">
        <v>1</v>
      </c>
      <c r="AW10" s="120">
        <v>1</v>
      </c>
      <c r="AX10" s="120">
        <v>1</v>
      </c>
      <c r="AY10" s="120">
        <v>1</v>
      </c>
      <c r="AZ10" s="120">
        <v>1</v>
      </c>
      <c r="BA10" s="120">
        <v>1</v>
      </c>
      <c r="BB10" s="120">
        <v>1</v>
      </c>
      <c r="BC10" s="120">
        <v>1</v>
      </c>
      <c r="BD10" s="120">
        <v>1</v>
      </c>
      <c r="BE10" s="120">
        <v>0</v>
      </c>
      <c r="BF10" s="120">
        <v>0</v>
      </c>
      <c r="BG10" s="120">
        <v>0</v>
      </c>
      <c r="BH10" s="120">
        <v>0</v>
      </c>
      <c r="BI10" s="120">
        <v>0</v>
      </c>
      <c r="BJ10" s="120">
        <v>0</v>
      </c>
      <c r="BK10" s="120">
        <v>0</v>
      </c>
      <c r="BL10" s="120">
        <v>0</v>
      </c>
      <c r="BM10" s="120">
        <v>0</v>
      </c>
      <c r="BN10" s="120">
        <v>0</v>
      </c>
      <c r="BO10" s="120">
        <v>1</v>
      </c>
      <c r="BP10" s="120">
        <v>1</v>
      </c>
      <c r="BQ10" s="120">
        <v>1</v>
      </c>
      <c r="BR10" s="120">
        <v>1</v>
      </c>
      <c r="BS10" s="108">
        <v>1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</row>
    <row r="11" spans="1:89" s="146" customFormat="1" x14ac:dyDescent="0.35">
      <c r="A11" s="141">
        <f t="shared" si="1"/>
        <v>4</v>
      </c>
      <c r="B11" s="107">
        <v>0</v>
      </c>
      <c r="C11" s="120">
        <v>1</v>
      </c>
      <c r="D11" s="120">
        <v>1</v>
      </c>
      <c r="E11" s="120">
        <v>1</v>
      </c>
      <c r="F11" s="120">
        <v>1</v>
      </c>
      <c r="G11" s="120">
        <v>0</v>
      </c>
      <c r="H11" s="120">
        <v>0</v>
      </c>
      <c r="I11" s="120">
        <v>0</v>
      </c>
      <c r="J11" s="120">
        <v>0</v>
      </c>
      <c r="K11" s="120">
        <v>1</v>
      </c>
      <c r="L11" s="120">
        <v>1</v>
      </c>
      <c r="M11" s="120">
        <v>1</v>
      </c>
      <c r="N11" s="120">
        <v>1</v>
      </c>
      <c r="O11" s="120">
        <v>1</v>
      </c>
      <c r="P11" s="120">
        <v>1</v>
      </c>
      <c r="Q11" s="120">
        <v>0</v>
      </c>
      <c r="R11" s="120">
        <v>0</v>
      </c>
      <c r="S11" s="120">
        <v>0</v>
      </c>
      <c r="T11" s="120">
        <v>0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0">
        <v>0</v>
      </c>
      <c r="AB11" s="120">
        <v>0</v>
      </c>
      <c r="AC11" s="120">
        <v>0</v>
      </c>
      <c r="AD11" s="120">
        <v>0</v>
      </c>
      <c r="AE11" s="120">
        <v>0</v>
      </c>
      <c r="AF11" s="120">
        <v>0</v>
      </c>
      <c r="AG11" s="120">
        <v>1</v>
      </c>
      <c r="AH11" s="120">
        <v>1</v>
      </c>
      <c r="AI11" s="120">
        <v>1</v>
      </c>
      <c r="AJ11" s="120">
        <v>1</v>
      </c>
      <c r="AK11" s="120">
        <v>0</v>
      </c>
      <c r="AL11" s="120">
        <v>0</v>
      </c>
      <c r="AM11" s="120">
        <v>0</v>
      </c>
      <c r="AN11" s="120">
        <v>0</v>
      </c>
      <c r="AO11" s="120">
        <v>1</v>
      </c>
      <c r="AP11" s="120">
        <v>1</v>
      </c>
      <c r="AQ11" s="120">
        <v>1</v>
      </c>
      <c r="AR11" s="120">
        <v>1</v>
      </c>
      <c r="AS11" s="120">
        <v>1</v>
      </c>
      <c r="AT11" s="120">
        <v>1</v>
      </c>
      <c r="AU11" s="120">
        <v>0</v>
      </c>
      <c r="AV11" s="120">
        <v>0</v>
      </c>
      <c r="AW11" s="120">
        <v>0</v>
      </c>
      <c r="AX11" s="120">
        <v>0</v>
      </c>
      <c r="AY11" s="120">
        <v>0</v>
      </c>
      <c r="AZ11" s="120">
        <v>0</v>
      </c>
      <c r="BA11" s="120">
        <v>1</v>
      </c>
      <c r="BB11" s="120">
        <v>1</v>
      </c>
      <c r="BC11" s="120">
        <v>1</v>
      </c>
      <c r="BD11" s="120">
        <v>1</v>
      </c>
      <c r="BE11" s="120">
        <v>0</v>
      </c>
      <c r="BF11" s="120">
        <v>0</v>
      </c>
      <c r="BG11" s="120">
        <v>0</v>
      </c>
      <c r="BH11" s="120">
        <v>0</v>
      </c>
      <c r="BI11" s="120">
        <v>0</v>
      </c>
      <c r="BJ11" s="120">
        <v>0</v>
      </c>
      <c r="BK11" s="120">
        <v>1</v>
      </c>
      <c r="BL11" s="120">
        <v>1</v>
      </c>
      <c r="BM11" s="120">
        <v>1</v>
      </c>
      <c r="BN11" s="120">
        <v>1</v>
      </c>
      <c r="BO11" s="120">
        <v>0</v>
      </c>
      <c r="BP11" s="120">
        <v>0</v>
      </c>
      <c r="BQ11" s="120">
        <v>0</v>
      </c>
      <c r="BR11" s="120">
        <v>0</v>
      </c>
      <c r="BS11" s="108">
        <v>1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</row>
    <row r="12" spans="1:89" s="146" customFormat="1" x14ac:dyDescent="0.35">
      <c r="A12" s="141">
        <f t="shared" si="1"/>
        <v>5</v>
      </c>
      <c r="B12" s="107">
        <v>1</v>
      </c>
      <c r="C12" s="120">
        <v>0</v>
      </c>
      <c r="D12" s="120">
        <v>1</v>
      </c>
      <c r="E12" s="120">
        <v>1</v>
      </c>
      <c r="F12" s="120">
        <v>1</v>
      </c>
      <c r="G12" s="120">
        <v>0</v>
      </c>
      <c r="H12" s="120">
        <v>1</v>
      </c>
      <c r="I12" s="120">
        <v>1</v>
      </c>
      <c r="J12" s="120">
        <v>1</v>
      </c>
      <c r="K12" s="120">
        <v>0</v>
      </c>
      <c r="L12" s="120">
        <v>0</v>
      </c>
      <c r="M12" s="120">
        <v>0</v>
      </c>
      <c r="N12" s="120">
        <v>1</v>
      </c>
      <c r="O12" s="120">
        <v>1</v>
      </c>
      <c r="P12" s="120">
        <v>1</v>
      </c>
      <c r="Q12" s="120">
        <v>0</v>
      </c>
      <c r="R12" s="120">
        <v>1</v>
      </c>
      <c r="S12" s="120">
        <v>1</v>
      </c>
      <c r="T12" s="120">
        <v>1</v>
      </c>
      <c r="U12" s="120">
        <v>0</v>
      </c>
      <c r="V12" s="120">
        <v>0</v>
      </c>
      <c r="W12" s="120">
        <v>0</v>
      </c>
      <c r="X12" s="120">
        <v>1</v>
      </c>
      <c r="Y12" s="120">
        <v>1</v>
      </c>
      <c r="Z12" s="120">
        <v>1</v>
      </c>
      <c r="AA12" s="120">
        <v>0</v>
      </c>
      <c r="AB12" s="120">
        <v>0</v>
      </c>
      <c r="AC12" s="120">
        <v>0</v>
      </c>
      <c r="AD12" s="120">
        <v>1</v>
      </c>
      <c r="AE12" s="120">
        <v>1</v>
      </c>
      <c r="AF12" s="120">
        <v>1</v>
      </c>
      <c r="AG12" s="120">
        <v>0</v>
      </c>
      <c r="AH12" s="120">
        <v>0</v>
      </c>
      <c r="AI12" s="120">
        <v>0</v>
      </c>
      <c r="AJ12" s="120">
        <v>1</v>
      </c>
      <c r="AK12" s="120">
        <v>0</v>
      </c>
      <c r="AL12" s="120">
        <v>1</v>
      </c>
      <c r="AM12" s="120">
        <v>1</v>
      </c>
      <c r="AN12" s="120">
        <v>1</v>
      </c>
      <c r="AO12" s="120">
        <v>0</v>
      </c>
      <c r="AP12" s="120">
        <v>0</v>
      </c>
      <c r="AQ12" s="120">
        <v>0</v>
      </c>
      <c r="AR12" s="120">
        <v>1</v>
      </c>
      <c r="AS12" s="120">
        <v>1</v>
      </c>
      <c r="AT12" s="120">
        <v>1</v>
      </c>
      <c r="AU12" s="120">
        <v>0</v>
      </c>
      <c r="AV12" s="120">
        <v>0</v>
      </c>
      <c r="AW12" s="120">
        <v>0</v>
      </c>
      <c r="AX12" s="120">
        <v>1</v>
      </c>
      <c r="AY12" s="120">
        <v>1</v>
      </c>
      <c r="AZ12" s="120">
        <v>1</v>
      </c>
      <c r="BA12" s="120">
        <v>0</v>
      </c>
      <c r="BB12" s="120">
        <v>0</v>
      </c>
      <c r="BC12" s="120">
        <v>0</v>
      </c>
      <c r="BD12" s="120">
        <v>1</v>
      </c>
      <c r="BE12" s="120">
        <v>0</v>
      </c>
      <c r="BF12" s="120">
        <v>0</v>
      </c>
      <c r="BG12" s="120">
        <v>0</v>
      </c>
      <c r="BH12" s="120">
        <v>1</v>
      </c>
      <c r="BI12" s="120">
        <v>1</v>
      </c>
      <c r="BJ12" s="120">
        <v>1</v>
      </c>
      <c r="BK12" s="120">
        <v>0</v>
      </c>
      <c r="BL12" s="120">
        <v>0</v>
      </c>
      <c r="BM12" s="120">
        <v>0</v>
      </c>
      <c r="BN12" s="120">
        <v>1</v>
      </c>
      <c r="BO12" s="120">
        <v>0</v>
      </c>
      <c r="BP12" s="120">
        <v>0</v>
      </c>
      <c r="BQ12" s="120">
        <v>0</v>
      </c>
      <c r="BR12" s="120">
        <v>1</v>
      </c>
      <c r="BS12" s="108">
        <v>0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</row>
    <row r="13" spans="1:89" s="146" customFormat="1" x14ac:dyDescent="0.35">
      <c r="A13" s="141">
        <f t="shared" si="1"/>
        <v>6</v>
      </c>
      <c r="B13" s="107">
        <v>1</v>
      </c>
      <c r="C13" s="120">
        <v>1</v>
      </c>
      <c r="D13" s="120">
        <v>0</v>
      </c>
      <c r="E13" s="120">
        <v>1</v>
      </c>
      <c r="F13" s="120">
        <v>1</v>
      </c>
      <c r="G13" s="120">
        <v>1</v>
      </c>
      <c r="H13" s="120">
        <v>0</v>
      </c>
      <c r="I13" s="120">
        <v>1</v>
      </c>
      <c r="J13" s="120">
        <v>1</v>
      </c>
      <c r="K13" s="120">
        <v>0</v>
      </c>
      <c r="L13" s="120">
        <v>1</v>
      </c>
      <c r="M13" s="120">
        <v>1</v>
      </c>
      <c r="N13" s="120">
        <v>0</v>
      </c>
      <c r="O13" s="120">
        <v>0</v>
      </c>
      <c r="P13" s="120">
        <v>1</v>
      </c>
      <c r="Q13" s="120">
        <v>1</v>
      </c>
      <c r="R13" s="120">
        <v>0</v>
      </c>
      <c r="S13" s="120">
        <v>1</v>
      </c>
      <c r="T13" s="120">
        <v>1</v>
      </c>
      <c r="U13" s="120">
        <v>0</v>
      </c>
      <c r="V13" s="120">
        <v>1</v>
      </c>
      <c r="W13" s="120">
        <v>1</v>
      </c>
      <c r="X13" s="120">
        <v>0</v>
      </c>
      <c r="Y13" s="120">
        <v>0</v>
      </c>
      <c r="Z13" s="120">
        <v>1</v>
      </c>
      <c r="AA13" s="120">
        <v>0</v>
      </c>
      <c r="AB13" s="120">
        <v>1</v>
      </c>
      <c r="AC13" s="120">
        <v>1</v>
      </c>
      <c r="AD13" s="120">
        <v>0</v>
      </c>
      <c r="AE13" s="120">
        <v>0</v>
      </c>
      <c r="AF13" s="120">
        <v>1</v>
      </c>
      <c r="AG13" s="120">
        <v>0</v>
      </c>
      <c r="AH13" s="120">
        <v>0</v>
      </c>
      <c r="AI13" s="120">
        <v>1</v>
      </c>
      <c r="AJ13" s="120">
        <v>0</v>
      </c>
      <c r="AK13" s="120">
        <v>1</v>
      </c>
      <c r="AL13" s="120">
        <v>0</v>
      </c>
      <c r="AM13" s="120">
        <v>1</v>
      </c>
      <c r="AN13" s="120">
        <v>1</v>
      </c>
      <c r="AO13" s="120">
        <v>0</v>
      </c>
      <c r="AP13" s="120">
        <v>1</v>
      </c>
      <c r="AQ13" s="120">
        <v>1</v>
      </c>
      <c r="AR13" s="120">
        <v>0</v>
      </c>
      <c r="AS13" s="120">
        <v>0</v>
      </c>
      <c r="AT13" s="120">
        <v>1</v>
      </c>
      <c r="AU13" s="120">
        <v>0</v>
      </c>
      <c r="AV13" s="120">
        <v>1</v>
      </c>
      <c r="AW13" s="120">
        <v>1</v>
      </c>
      <c r="AX13" s="120">
        <v>0</v>
      </c>
      <c r="AY13" s="120">
        <v>0</v>
      </c>
      <c r="AZ13" s="120">
        <v>1</v>
      </c>
      <c r="BA13" s="120">
        <v>0</v>
      </c>
      <c r="BB13" s="120">
        <v>0</v>
      </c>
      <c r="BC13" s="120">
        <v>1</v>
      </c>
      <c r="BD13" s="120">
        <v>0</v>
      </c>
      <c r="BE13" s="120">
        <v>0</v>
      </c>
      <c r="BF13" s="120">
        <v>1</v>
      </c>
      <c r="BG13" s="120">
        <v>1</v>
      </c>
      <c r="BH13" s="120">
        <v>0</v>
      </c>
      <c r="BI13" s="120">
        <v>0</v>
      </c>
      <c r="BJ13" s="120">
        <v>1</v>
      </c>
      <c r="BK13" s="120">
        <v>0</v>
      </c>
      <c r="BL13" s="120">
        <v>0</v>
      </c>
      <c r="BM13" s="120">
        <v>1</v>
      </c>
      <c r="BN13" s="120">
        <v>0</v>
      </c>
      <c r="BO13" s="120">
        <v>0</v>
      </c>
      <c r="BP13" s="120">
        <v>0</v>
      </c>
      <c r="BQ13" s="120">
        <v>1</v>
      </c>
      <c r="BR13" s="120">
        <v>0</v>
      </c>
      <c r="BS13" s="108">
        <v>0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</row>
    <row r="14" spans="1:89" s="146" customFormat="1" x14ac:dyDescent="0.35">
      <c r="A14" s="141">
        <f t="shared" si="1"/>
        <v>7</v>
      </c>
      <c r="B14" s="107">
        <v>1</v>
      </c>
      <c r="C14" s="120">
        <v>1</v>
      </c>
      <c r="D14" s="120">
        <v>1</v>
      </c>
      <c r="E14" s="120">
        <v>0</v>
      </c>
      <c r="F14" s="120">
        <v>1</v>
      </c>
      <c r="G14" s="120">
        <v>1</v>
      </c>
      <c r="H14" s="120">
        <v>1</v>
      </c>
      <c r="I14" s="120">
        <v>0</v>
      </c>
      <c r="J14" s="120">
        <v>1</v>
      </c>
      <c r="K14" s="120">
        <v>1</v>
      </c>
      <c r="L14" s="120">
        <v>0</v>
      </c>
      <c r="M14" s="120">
        <v>1</v>
      </c>
      <c r="N14" s="120">
        <v>0</v>
      </c>
      <c r="O14" s="120">
        <v>1</v>
      </c>
      <c r="P14" s="120">
        <v>0</v>
      </c>
      <c r="Q14" s="120">
        <v>1</v>
      </c>
      <c r="R14" s="120">
        <v>1</v>
      </c>
      <c r="S14" s="120">
        <v>0</v>
      </c>
      <c r="T14" s="120">
        <v>1</v>
      </c>
      <c r="U14" s="120">
        <v>1</v>
      </c>
      <c r="V14" s="120">
        <v>0</v>
      </c>
      <c r="W14" s="120">
        <v>1</v>
      </c>
      <c r="X14" s="120">
        <v>0</v>
      </c>
      <c r="Y14" s="120">
        <v>1</v>
      </c>
      <c r="Z14" s="120">
        <v>0</v>
      </c>
      <c r="AA14" s="120">
        <v>1</v>
      </c>
      <c r="AB14" s="120">
        <v>0</v>
      </c>
      <c r="AC14" s="120">
        <v>1</v>
      </c>
      <c r="AD14" s="120">
        <v>0</v>
      </c>
      <c r="AE14" s="120">
        <v>1</v>
      </c>
      <c r="AF14" s="120">
        <v>0</v>
      </c>
      <c r="AG14" s="120">
        <v>0</v>
      </c>
      <c r="AH14" s="120">
        <v>1</v>
      </c>
      <c r="AI14" s="120">
        <v>0</v>
      </c>
      <c r="AJ14" s="120">
        <v>0</v>
      </c>
      <c r="AK14" s="120">
        <v>1</v>
      </c>
      <c r="AL14" s="120">
        <v>1</v>
      </c>
      <c r="AM14" s="120">
        <v>0</v>
      </c>
      <c r="AN14" s="120">
        <v>1</v>
      </c>
      <c r="AO14" s="120">
        <v>1</v>
      </c>
      <c r="AP14" s="120">
        <v>0</v>
      </c>
      <c r="AQ14" s="120">
        <v>1</v>
      </c>
      <c r="AR14" s="120">
        <v>0</v>
      </c>
      <c r="AS14" s="120">
        <v>1</v>
      </c>
      <c r="AT14" s="120">
        <v>0</v>
      </c>
      <c r="AU14" s="120">
        <v>1</v>
      </c>
      <c r="AV14" s="120">
        <v>0</v>
      </c>
      <c r="AW14" s="120">
        <v>1</v>
      </c>
      <c r="AX14" s="120">
        <v>0</v>
      </c>
      <c r="AY14" s="120">
        <v>1</v>
      </c>
      <c r="AZ14" s="120">
        <v>0</v>
      </c>
      <c r="BA14" s="120">
        <v>0</v>
      </c>
      <c r="BB14" s="120">
        <v>1</v>
      </c>
      <c r="BC14" s="120">
        <v>0</v>
      </c>
      <c r="BD14" s="120">
        <v>0</v>
      </c>
      <c r="BE14" s="120">
        <v>1</v>
      </c>
      <c r="BF14" s="120">
        <v>0</v>
      </c>
      <c r="BG14" s="120">
        <v>1</v>
      </c>
      <c r="BH14" s="120">
        <v>0</v>
      </c>
      <c r="BI14" s="120">
        <v>1</v>
      </c>
      <c r="BJ14" s="120">
        <v>0</v>
      </c>
      <c r="BK14" s="120">
        <v>0</v>
      </c>
      <c r="BL14" s="120">
        <v>1</v>
      </c>
      <c r="BM14" s="120">
        <v>0</v>
      </c>
      <c r="BN14" s="120">
        <v>0</v>
      </c>
      <c r="BO14" s="120">
        <v>0</v>
      </c>
      <c r="BP14" s="120">
        <v>1</v>
      </c>
      <c r="BQ14" s="120">
        <v>0</v>
      </c>
      <c r="BR14" s="120">
        <v>0</v>
      </c>
      <c r="BS14" s="108">
        <v>0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</row>
    <row r="15" spans="1:89" s="146" customFormat="1" x14ac:dyDescent="0.35">
      <c r="A15" s="141">
        <f t="shared" si="1"/>
        <v>8</v>
      </c>
      <c r="B15" s="147">
        <v>1</v>
      </c>
      <c r="C15" s="148">
        <v>1</v>
      </c>
      <c r="D15" s="148">
        <v>1</v>
      </c>
      <c r="E15" s="148">
        <v>1</v>
      </c>
      <c r="F15" s="148">
        <v>0</v>
      </c>
      <c r="G15" s="148">
        <v>1</v>
      </c>
      <c r="H15" s="148">
        <v>1</v>
      </c>
      <c r="I15" s="148">
        <v>1</v>
      </c>
      <c r="J15" s="148">
        <v>0</v>
      </c>
      <c r="K15" s="148">
        <v>1</v>
      </c>
      <c r="L15" s="148">
        <v>1</v>
      </c>
      <c r="M15" s="148">
        <v>0</v>
      </c>
      <c r="N15" s="148">
        <v>1</v>
      </c>
      <c r="O15" s="148">
        <v>0</v>
      </c>
      <c r="P15" s="148">
        <v>0</v>
      </c>
      <c r="Q15" s="148">
        <v>1</v>
      </c>
      <c r="R15" s="148">
        <v>1</v>
      </c>
      <c r="S15" s="148">
        <v>1</v>
      </c>
      <c r="T15" s="148">
        <v>0</v>
      </c>
      <c r="U15" s="148">
        <v>1</v>
      </c>
      <c r="V15" s="148">
        <v>1</v>
      </c>
      <c r="W15" s="148">
        <v>0</v>
      </c>
      <c r="X15" s="148">
        <v>1</v>
      </c>
      <c r="Y15" s="148">
        <v>0</v>
      </c>
      <c r="Z15" s="148">
        <v>0</v>
      </c>
      <c r="AA15" s="148">
        <v>1</v>
      </c>
      <c r="AB15" s="148">
        <v>1</v>
      </c>
      <c r="AC15" s="148">
        <v>0</v>
      </c>
      <c r="AD15" s="148">
        <v>1</v>
      </c>
      <c r="AE15" s="148">
        <v>0</v>
      </c>
      <c r="AF15" s="148">
        <v>0</v>
      </c>
      <c r="AG15" s="148">
        <v>1</v>
      </c>
      <c r="AH15" s="148">
        <v>0</v>
      </c>
      <c r="AI15" s="148">
        <v>0</v>
      </c>
      <c r="AJ15" s="148">
        <v>0</v>
      </c>
      <c r="AK15" s="148">
        <v>1</v>
      </c>
      <c r="AL15" s="148">
        <v>1</v>
      </c>
      <c r="AM15" s="148">
        <v>1</v>
      </c>
      <c r="AN15" s="148">
        <v>0</v>
      </c>
      <c r="AO15" s="148">
        <v>1</v>
      </c>
      <c r="AP15" s="148">
        <v>1</v>
      </c>
      <c r="AQ15" s="148">
        <v>0</v>
      </c>
      <c r="AR15" s="148">
        <v>1</v>
      </c>
      <c r="AS15" s="148">
        <v>0</v>
      </c>
      <c r="AT15" s="148">
        <v>0</v>
      </c>
      <c r="AU15" s="148">
        <v>1</v>
      </c>
      <c r="AV15" s="148">
        <v>1</v>
      </c>
      <c r="AW15" s="148">
        <v>0</v>
      </c>
      <c r="AX15" s="148">
        <v>1</v>
      </c>
      <c r="AY15" s="148">
        <v>0</v>
      </c>
      <c r="AZ15" s="148">
        <v>0</v>
      </c>
      <c r="BA15" s="148">
        <v>1</v>
      </c>
      <c r="BB15" s="148">
        <v>0</v>
      </c>
      <c r="BC15" s="148">
        <v>0</v>
      </c>
      <c r="BD15" s="148">
        <v>0</v>
      </c>
      <c r="BE15" s="148">
        <v>1</v>
      </c>
      <c r="BF15" s="148">
        <v>1</v>
      </c>
      <c r="BG15" s="148">
        <v>0</v>
      </c>
      <c r="BH15" s="148">
        <v>1</v>
      </c>
      <c r="BI15" s="148">
        <v>0</v>
      </c>
      <c r="BJ15" s="148">
        <v>0</v>
      </c>
      <c r="BK15" s="148">
        <v>1</v>
      </c>
      <c r="BL15" s="148">
        <v>0</v>
      </c>
      <c r="BM15" s="148">
        <v>0</v>
      </c>
      <c r="BN15" s="148">
        <v>0</v>
      </c>
      <c r="BO15" s="148">
        <v>1</v>
      </c>
      <c r="BP15" s="148">
        <v>0</v>
      </c>
      <c r="BQ15" s="148">
        <v>0</v>
      </c>
      <c r="BR15" s="148">
        <v>0</v>
      </c>
      <c r="BS15" s="149">
        <v>0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</row>
    <row r="16" spans="1:89" s="146" customFormat="1" x14ac:dyDescent="0.35">
      <c r="A16" s="141" t="s">
        <v>230</v>
      </c>
      <c r="B16" s="142">
        <f>SUMPRODUCT($A7:$A15,B7:B15)</f>
        <v>26</v>
      </c>
      <c r="C16" s="143">
        <f t="shared" ref="C16:BN16" si="2">SUMPRODUCT($A7:$A15,C7:C15)</f>
        <v>25</v>
      </c>
      <c r="D16" s="143">
        <f t="shared" si="2"/>
        <v>24</v>
      </c>
      <c r="E16" s="143">
        <f t="shared" si="2"/>
        <v>23</v>
      </c>
      <c r="F16" s="143">
        <f t="shared" si="2"/>
        <v>22</v>
      </c>
      <c r="G16" s="143">
        <f t="shared" si="2"/>
        <v>24</v>
      </c>
      <c r="H16" s="143">
        <f t="shared" si="2"/>
        <v>23</v>
      </c>
      <c r="I16" s="143">
        <f t="shared" si="2"/>
        <v>22</v>
      </c>
      <c r="J16" s="144">
        <f t="shared" si="2"/>
        <v>21</v>
      </c>
      <c r="K16" s="143">
        <f t="shared" si="2"/>
        <v>22</v>
      </c>
      <c r="L16" s="144">
        <f t="shared" si="2"/>
        <v>21</v>
      </c>
      <c r="M16" s="143">
        <f t="shared" si="2"/>
        <v>20</v>
      </c>
      <c r="N16" s="143">
        <f t="shared" si="2"/>
        <v>20</v>
      </c>
      <c r="O16" s="143">
        <f t="shared" si="2"/>
        <v>19</v>
      </c>
      <c r="P16" s="143">
        <f t="shared" si="2"/>
        <v>18</v>
      </c>
      <c r="Q16" s="143">
        <f t="shared" si="2"/>
        <v>23</v>
      </c>
      <c r="R16" s="143">
        <f t="shared" si="2"/>
        <v>22</v>
      </c>
      <c r="S16" s="144">
        <f t="shared" si="2"/>
        <v>21</v>
      </c>
      <c r="T16" s="143">
        <f t="shared" si="2"/>
        <v>20</v>
      </c>
      <c r="U16" s="144">
        <f t="shared" si="2"/>
        <v>21</v>
      </c>
      <c r="V16" s="143">
        <f t="shared" si="2"/>
        <v>20</v>
      </c>
      <c r="W16" s="143">
        <f t="shared" si="2"/>
        <v>19</v>
      </c>
      <c r="X16" s="143">
        <f t="shared" si="2"/>
        <v>19</v>
      </c>
      <c r="Y16" s="143">
        <f t="shared" si="2"/>
        <v>18</v>
      </c>
      <c r="Z16" s="143">
        <f t="shared" si="2"/>
        <v>17</v>
      </c>
      <c r="AA16" s="143">
        <f t="shared" si="2"/>
        <v>20</v>
      </c>
      <c r="AB16" s="143">
        <f t="shared" si="2"/>
        <v>19</v>
      </c>
      <c r="AC16" s="143">
        <f t="shared" si="2"/>
        <v>18</v>
      </c>
      <c r="AD16" s="143">
        <f t="shared" si="2"/>
        <v>18</v>
      </c>
      <c r="AE16" s="143">
        <f t="shared" si="2"/>
        <v>17</v>
      </c>
      <c r="AF16" s="143">
        <f t="shared" si="2"/>
        <v>16</v>
      </c>
      <c r="AG16" s="143">
        <f t="shared" si="2"/>
        <v>17</v>
      </c>
      <c r="AH16" s="143">
        <f t="shared" si="2"/>
        <v>16</v>
      </c>
      <c r="AI16" s="143">
        <f t="shared" si="2"/>
        <v>15</v>
      </c>
      <c r="AJ16" s="143">
        <f t="shared" si="2"/>
        <v>14</v>
      </c>
      <c r="AK16" s="143">
        <f t="shared" si="2"/>
        <v>22</v>
      </c>
      <c r="AL16" s="143">
        <f t="shared" si="2"/>
        <v>21</v>
      </c>
      <c r="AM16" s="143">
        <f t="shared" si="2"/>
        <v>20</v>
      </c>
      <c r="AN16" s="143">
        <f t="shared" si="2"/>
        <v>19</v>
      </c>
      <c r="AO16" s="143">
        <f t="shared" si="2"/>
        <v>20</v>
      </c>
      <c r="AP16" s="143">
        <f t="shared" si="2"/>
        <v>19</v>
      </c>
      <c r="AQ16" s="143">
        <f t="shared" si="2"/>
        <v>18</v>
      </c>
      <c r="AR16" s="143">
        <f t="shared" si="2"/>
        <v>18</v>
      </c>
      <c r="AS16" s="143">
        <f t="shared" si="2"/>
        <v>17</v>
      </c>
      <c r="AT16" s="143">
        <f t="shared" si="2"/>
        <v>16</v>
      </c>
      <c r="AU16" s="143">
        <f t="shared" si="2"/>
        <v>19</v>
      </c>
      <c r="AV16" s="143">
        <f t="shared" si="2"/>
        <v>18</v>
      </c>
      <c r="AW16" s="143">
        <f t="shared" si="2"/>
        <v>17</v>
      </c>
      <c r="AX16" s="143">
        <f t="shared" si="2"/>
        <v>17</v>
      </c>
      <c r="AY16" s="143">
        <f t="shared" si="2"/>
        <v>16</v>
      </c>
      <c r="AZ16" s="143">
        <f t="shared" si="2"/>
        <v>15</v>
      </c>
      <c r="BA16" s="143">
        <f t="shared" si="2"/>
        <v>16</v>
      </c>
      <c r="BB16" s="143">
        <f t="shared" si="2"/>
        <v>15</v>
      </c>
      <c r="BC16" s="143">
        <f t="shared" si="2"/>
        <v>14</v>
      </c>
      <c r="BD16" s="143">
        <f t="shared" si="2"/>
        <v>13</v>
      </c>
      <c r="BE16" s="143">
        <f t="shared" si="2"/>
        <v>18</v>
      </c>
      <c r="BF16" s="143">
        <f t="shared" si="2"/>
        <v>17</v>
      </c>
      <c r="BG16" s="143">
        <f t="shared" si="2"/>
        <v>16</v>
      </c>
      <c r="BH16" s="143">
        <f t="shared" si="2"/>
        <v>16</v>
      </c>
      <c r="BI16" s="143">
        <f t="shared" si="2"/>
        <v>15</v>
      </c>
      <c r="BJ16" s="143">
        <f t="shared" si="2"/>
        <v>14</v>
      </c>
      <c r="BK16" s="143">
        <f t="shared" si="2"/>
        <v>15</v>
      </c>
      <c r="BL16" s="143">
        <f t="shared" si="2"/>
        <v>14</v>
      </c>
      <c r="BM16" s="143">
        <f t="shared" si="2"/>
        <v>13</v>
      </c>
      <c r="BN16" s="143">
        <f t="shared" si="2"/>
        <v>12</v>
      </c>
      <c r="BO16" s="143">
        <f>SUMPRODUCT($A7:$A15,BO7:BO15)</f>
        <v>14</v>
      </c>
      <c r="BP16" s="143">
        <f>SUMPRODUCT($A7:$A15,BP7:BP15)</f>
        <v>13</v>
      </c>
      <c r="BQ16" s="143">
        <f>SUMPRODUCT($A7:$A15,BQ7:BQ15)</f>
        <v>12</v>
      </c>
      <c r="BR16" s="143">
        <f>SUMPRODUCT($A7:$A15,BR7:BR15)</f>
        <v>11</v>
      </c>
      <c r="BS16" s="145">
        <f>SUMPRODUCT($A7:$A15,BS7:BS15)</f>
        <v>10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</row>
    <row r="17" spans="1:89" s="146" customFormat="1" x14ac:dyDescent="0.35">
      <c r="A17" s="141" t="s">
        <v>231</v>
      </c>
      <c r="B17" s="107">
        <f>$K5-B16</f>
        <v>0</v>
      </c>
      <c r="C17" s="120">
        <f t="shared" ref="C17:BN17" si="3">$K5-C16</f>
        <v>1</v>
      </c>
      <c r="D17" s="120">
        <f t="shared" si="3"/>
        <v>2</v>
      </c>
      <c r="E17" s="120">
        <f t="shared" si="3"/>
        <v>3</v>
      </c>
      <c r="F17" s="120">
        <f t="shared" si="3"/>
        <v>4</v>
      </c>
      <c r="G17" s="120">
        <f t="shared" si="3"/>
        <v>2</v>
      </c>
      <c r="H17" s="120">
        <f t="shared" si="3"/>
        <v>3</v>
      </c>
      <c r="I17" s="120">
        <f t="shared" si="3"/>
        <v>4</v>
      </c>
      <c r="J17" s="120">
        <f t="shared" si="3"/>
        <v>5</v>
      </c>
      <c r="K17" s="120">
        <f t="shared" si="3"/>
        <v>4</v>
      </c>
      <c r="L17" s="120">
        <f t="shared" si="3"/>
        <v>5</v>
      </c>
      <c r="M17" s="120">
        <f t="shared" si="3"/>
        <v>6</v>
      </c>
      <c r="N17" s="120">
        <f t="shared" si="3"/>
        <v>6</v>
      </c>
      <c r="O17" s="120">
        <f t="shared" si="3"/>
        <v>7</v>
      </c>
      <c r="P17" s="120">
        <f t="shared" si="3"/>
        <v>8</v>
      </c>
      <c r="Q17" s="120">
        <f t="shared" si="3"/>
        <v>3</v>
      </c>
      <c r="R17" s="120">
        <f t="shared" si="3"/>
        <v>4</v>
      </c>
      <c r="S17" s="120">
        <f t="shared" si="3"/>
        <v>5</v>
      </c>
      <c r="T17" s="120">
        <f t="shared" si="3"/>
        <v>6</v>
      </c>
      <c r="U17" s="120">
        <f t="shared" si="3"/>
        <v>5</v>
      </c>
      <c r="V17" s="120">
        <f t="shared" si="3"/>
        <v>6</v>
      </c>
      <c r="W17" s="120">
        <f t="shared" si="3"/>
        <v>7</v>
      </c>
      <c r="X17" s="120">
        <f t="shared" si="3"/>
        <v>7</v>
      </c>
      <c r="Y17" s="120">
        <f t="shared" si="3"/>
        <v>8</v>
      </c>
      <c r="Z17" s="120">
        <f t="shared" si="3"/>
        <v>9</v>
      </c>
      <c r="AA17" s="120">
        <f t="shared" si="3"/>
        <v>6</v>
      </c>
      <c r="AB17" s="120">
        <f t="shared" si="3"/>
        <v>7</v>
      </c>
      <c r="AC17" s="120">
        <f t="shared" si="3"/>
        <v>8</v>
      </c>
      <c r="AD17" s="120">
        <f t="shared" si="3"/>
        <v>8</v>
      </c>
      <c r="AE17" s="120">
        <f t="shared" si="3"/>
        <v>9</v>
      </c>
      <c r="AF17" s="120">
        <f t="shared" si="3"/>
        <v>10</v>
      </c>
      <c r="AG17" s="120">
        <f t="shared" si="3"/>
        <v>9</v>
      </c>
      <c r="AH17" s="120">
        <f t="shared" si="3"/>
        <v>10</v>
      </c>
      <c r="AI17" s="120">
        <f t="shared" si="3"/>
        <v>11</v>
      </c>
      <c r="AJ17" s="120">
        <f t="shared" si="3"/>
        <v>12</v>
      </c>
      <c r="AK17" s="120">
        <f t="shared" si="3"/>
        <v>4</v>
      </c>
      <c r="AL17" s="120">
        <f t="shared" si="3"/>
        <v>5</v>
      </c>
      <c r="AM17" s="120">
        <f t="shared" si="3"/>
        <v>6</v>
      </c>
      <c r="AN17" s="120">
        <f t="shared" si="3"/>
        <v>7</v>
      </c>
      <c r="AO17" s="120">
        <f t="shared" si="3"/>
        <v>6</v>
      </c>
      <c r="AP17" s="120">
        <f t="shared" si="3"/>
        <v>7</v>
      </c>
      <c r="AQ17" s="120">
        <f t="shared" si="3"/>
        <v>8</v>
      </c>
      <c r="AR17" s="120">
        <f t="shared" si="3"/>
        <v>8</v>
      </c>
      <c r="AS17" s="120">
        <f t="shared" si="3"/>
        <v>9</v>
      </c>
      <c r="AT17" s="120">
        <f t="shared" si="3"/>
        <v>10</v>
      </c>
      <c r="AU17" s="120">
        <f t="shared" si="3"/>
        <v>7</v>
      </c>
      <c r="AV17" s="120">
        <f t="shared" si="3"/>
        <v>8</v>
      </c>
      <c r="AW17" s="120">
        <f t="shared" si="3"/>
        <v>9</v>
      </c>
      <c r="AX17" s="120">
        <f t="shared" si="3"/>
        <v>9</v>
      </c>
      <c r="AY17" s="120">
        <f t="shared" si="3"/>
        <v>10</v>
      </c>
      <c r="AZ17" s="120">
        <f t="shared" si="3"/>
        <v>11</v>
      </c>
      <c r="BA17" s="120">
        <f t="shared" si="3"/>
        <v>10</v>
      </c>
      <c r="BB17" s="120">
        <f t="shared" si="3"/>
        <v>11</v>
      </c>
      <c r="BC17" s="120">
        <f t="shared" si="3"/>
        <v>12</v>
      </c>
      <c r="BD17" s="120">
        <f t="shared" si="3"/>
        <v>13</v>
      </c>
      <c r="BE17" s="120">
        <f t="shared" si="3"/>
        <v>8</v>
      </c>
      <c r="BF17" s="120">
        <f t="shared" si="3"/>
        <v>9</v>
      </c>
      <c r="BG17" s="120">
        <f t="shared" si="3"/>
        <v>10</v>
      </c>
      <c r="BH17" s="120">
        <f t="shared" si="3"/>
        <v>10</v>
      </c>
      <c r="BI17" s="120">
        <f t="shared" si="3"/>
        <v>11</v>
      </c>
      <c r="BJ17" s="120">
        <f t="shared" si="3"/>
        <v>12</v>
      </c>
      <c r="BK17" s="120">
        <f t="shared" si="3"/>
        <v>11</v>
      </c>
      <c r="BL17" s="120">
        <f t="shared" si="3"/>
        <v>12</v>
      </c>
      <c r="BM17" s="120">
        <f t="shared" si="3"/>
        <v>13</v>
      </c>
      <c r="BN17" s="120">
        <f t="shared" si="3"/>
        <v>14</v>
      </c>
      <c r="BO17" s="120">
        <f>$K5-BO16</f>
        <v>12</v>
      </c>
      <c r="BP17" s="120">
        <f>$K5-BP16</f>
        <v>13</v>
      </c>
      <c r="BQ17" s="120">
        <f>$K5-BQ16</f>
        <v>14</v>
      </c>
      <c r="BR17" s="120">
        <f>$K5-BR16</f>
        <v>15</v>
      </c>
      <c r="BS17" s="108">
        <f>$K5-BS16</f>
        <v>16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</row>
    <row r="18" spans="1:89" s="146" customFormat="1" x14ac:dyDescent="0.35">
      <c r="A18" s="141" t="s">
        <v>232</v>
      </c>
      <c r="B18" s="107">
        <f>$H5-B16</f>
        <v>10</v>
      </c>
      <c r="C18" s="120">
        <f t="shared" ref="C18:BN18" si="4">$H5-C16</f>
        <v>11</v>
      </c>
      <c r="D18" s="120">
        <f t="shared" si="4"/>
        <v>12</v>
      </c>
      <c r="E18" s="120">
        <f t="shared" si="4"/>
        <v>13</v>
      </c>
      <c r="F18" s="120">
        <f t="shared" si="4"/>
        <v>14</v>
      </c>
      <c r="G18" s="120">
        <f t="shared" si="4"/>
        <v>12</v>
      </c>
      <c r="H18" s="120">
        <f t="shared" si="4"/>
        <v>13</v>
      </c>
      <c r="I18" s="120">
        <f t="shared" si="4"/>
        <v>14</v>
      </c>
      <c r="J18" s="120">
        <f t="shared" si="4"/>
        <v>15</v>
      </c>
      <c r="K18" s="120">
        <f t="shared" si="4"/>
        <v>14</v>
      </c>
      <c r="L18" s="120">
        <f t="shared" si="4"/>
        <v>15</v>
      </c>
      <c r="M18" s="120">
        <f t="shared" si="4"/>
        <v>16</v>
      </c>
      <c r="N18" s="120">
        <f t="shared" si="4"/>
        <v>16</v>
      </c>
      <c r="O18" s="120">
        <f t="shared" si="4"/>
        <v>17</v>
      </c>
      <c r="P18" s="120">
        <f t="shared" si="4"/>
        <v>18</v>
      </c>
      <c r="Q18" s="120">
        <f t="shared" si="4"/>
        <v>13</v>
      </c>
      <c r="R18" s="120">
        <f t="shared" si="4"/>
        <v>14</v>
      </c>
      <c r="S18" s="120">
        <f t="shared" si="4"/>
        <v>15</v>
      </c>
      <c r="T18" s="120">
        <f t="shared" si="4"/>
        <v>16</v>
      </c>
      <c r="U18" s="120">
        <f t="shared" si="4"/>
        <v>15</v>
      </c>
      <c r="V18" s="120">
        <f t="shared" si="4"/>
        <v>16</v>
      </c>
      <c r="W18" s="120">
        <f t="shared" si="4"/>
        <v>17</v>
      </c>
      <c r="X18" s="120">
        <f t="shared" si="4"/>
        <v>17</v>
      </c>
      <c r="Y18" s="120">
        <f t="shared" si="4"/>
        <v>18</v>
      </c>
      <c r="Z18" s="120">
        <f t="shared" si="4"/>
        <v>19</v>
      </c>
      <c r="AA18" s="120">
        <f t="shared" si="4"/>
        <v>16</v>
      </c>
      <c r="AB18" s="120">
        <f t="shared" si="4"/>
        <v>17</v>
      </c>
      <c r="AC18" s="120">
        <f t="shared" si="4"/>
        <v>18</v>
      </c>
      <c r="AD18" s="120">
        <f t="shared" si="4"/>
        <v>18</v>
      </c>
      <c r="AE18" s="120">
        <f t="shared" si="4"/>
        <v>19</v>
      </c>
      <c r="AF18" s="120">
        <f t="shared" si="4"/>
        <v>20</v>
      </c>
      <c r="AG18" s="120">
        <f t="shared" si="4"/>
        <v>19</v>
      </c>
      <c r="AH18" s="120">
        <f t="shared" si="4"/>
        <v>20</v>
      </c>
      <c r="AI18" s="120">
        <f t="shared" si="4"/>
        <v>21</v>
      </c>
      <c r="AJ18" s="120">
        <f t="shared" si="4"/>
        <v>22</v>
      </c>
      <c r="AK18" s="120">
        <f t="shared" si="4"/>
        <v>14</v>
      </c>
      <c r="AL18" s="120">
        <f t="shared" si="4"/>
        <v>15</v>
      </c>
      <c r="AM18" s="120">
        <f t="shared" si="4"/>
        <v>16</v>
      </c>
      <c r="AN18" s="120">
        <f t="shared" si="4"/>
        <v>17</v>
      </c>
      <c r="AO18" s="120">
        <f t="shared" si="4"/>
        <v>16</v>
      </c>
      <c r="AP18" s="120">
        <f t="shared" si="4"/>
        <v>17</v>
      </c>
      <c r="AQ18" s="120">
        <f t="shared" si="4"/>
        <v>18</v>
      </c>
      <c r="AR18" s="120">
        <f t="shared" si="4"/>
        <v>18</v>
      </c>
      <c r="AS18" s="120">
        <f t="shared" si="4"/>
        <v>19</v>
      </c>
      <c r="AT18" s="120">
        <f t="shared" si="4"/>
        <v>20</v>
      </c>
      <c r="AU18" s="120">
        <f t="shared" si="4"/>
        <v>17</v>
      </c>
      <c r="AV18" s="120">
        <f t="shared" si="4"/>
        <v>18</v>
      </c>
      <c r="AW18" s="120">
        <f t="shared" si="4"/>
        <v>19</v>
      </c>
      <c r="AX18" s="120">
        <f t="shared" si="4"/>
        <v>19</v>
      </c>
      <c r="AY18" s="120">
        <f t="shared" si="4"/>
        <v>20</v>
      </c>
      <c r="AZ18" s="120">
        <f t="shared" si="4"/>
        <v>21</v>
      </c>
      <c r="BA18" s="120">
        <f t="shared" si="4"/>
        <v>20</v>
      </c>
      <c r="BB18" s="120">
        <f t="shared" si="4"/>
        <v>21</v>
      </c>
      <c r="BC18" s="120">
        <f t="shared" si="4"/>
        <v>22</v>
      </c>
      <c r="BD18" s="120">
        <f t="shared" si="4"/>
        <v>23</v>
      </c>
      <c r="BE18" s="120">
        <f t="shared" si="4"/>
        <v>18</v>
      </c>
      <c r="BF18" s="120">
        <f t="shared" si="4"/>
        <v>19</v>
      </c>
      <c r="BG18" s="120">
        <f t="shared" si="4"/>
        <v>20</v>
      </c>
      <c r="BH18" s="120">
        <f t="shared" si="4"/>
        <v>20</v>
      </c>
      <c r="BI18" s="120">
        <f t="shared" si="4"/>
        <v>21</v>
      </c>
      <c r="BJ18" s="120">
        <f t="shared" si="4"/>
        <v>22</v>
      </c>
      <c r="BK18" s="120">
        <f t="shared" si="4"/>
        <v>21</v>
      </c>
      <c r="BL18" s="120">
        <f t="shared" si="4"/>
        <v>22</v>
      </c>
      <c r="BM18" s="120">
        <f t="shared" si="4"/>
        <v>23</v>
      </c>
      <c r="BN18" s="120">
        <f t="shared" si="4"/>
        <v>24</v>
      </c>
      <c r="BO18" s="120">
        <f>$H5-BO16</f>
        <v>22</v>
      </c>
      <c r="BP18" s="120">
        <f>$H5-BP16</f>
        <v>23</v>
      </c>
      <c r="BQ18" s="120">
        <f>$H5-BQ16</f>
        <v>24</v>
      </c>
      <c r="BR18" s="120">
        <f>$H5-BR16</f>
        <v>25</v>
      </c>
      <c r="BS18" s="108">
        <f>$H5-BS16</f>
        <v>26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</row>
    <row r="19" spans="1:89" s="146" customFormat="1" x14ac:dyDescent="0.35">
      <c r="A19" s="141" t="s">
        <v>233</v>
      </c>
      <c r="B19" s="107">
        <f>$K5-B18</f>
        <v>16</v>
      </c>
      <c r="C19" s="120">
        <f t="shared" ref="C19:BN19" si="5">$K5-C18</f>
        <v>15</v>
      </c>
      <c r="D19" s="120">
        <f t="shared" si="5"/>
        <v>14</v>
      </c>
      <c r="E19" s="120">
        <f t="shared" si="5"/>
        <v>13</v>
      </c>
      <c r="F19" s="120">
        <f t="shared" si="5"/>
        <v>12</v>
      </c>
      <c r="G19" s="120">
        <f t="shared" si="5"/>
        <v>14</v>
      </c>
      <c r="H19" s="120">
        <f t="shared" si="5"/>
        <v>13</v>
      </c>
      <c r="I19" s="120">
        <f t="shared" si="5"/>
        <v>12</v>
      </c>
      <c r="J19" s="120">
        <f t="shared" si="5"/>
        <v>11</v>
      </c>
      <c r="K19" s="120">
        <f t="shared" si="5"/>
        <v>12</v>
      </c>
      <c r="L19" s="120">
        <f t="shared" si="5"/>
        <v>11</v>
      </c>
      <c r="M19" s="120">
        <f t="shared" si="5"/>
        <v>10</v>
      </c>
      <c r="N19" s="120">
        <f t="shared" si="5"/>
        <v>10</v>
      </c>
      <c r="O19" s="120">
        <f t="shared" si="5"/>
        <v>9</v>
      </c>
      <c r="P19" s="120">
        <f t="shared" si="5"/>
        <v>8</v>
      </c>
      <c r="Q19" s="120">
        <f t="shared" si="5"/>
        <v>13</v>
      </c>
      <c r="R19" s="120">
        <f t="shared" si="5"/>
        <v>12</v>
      </c>
      <c r="S19" s="120">
        <f t="shared" si="5"/>
        <v>11</v>
      </c>
      <c r="T19" s="120">
        <f t="shared" si="5"/>
        <v>10</v>
      </c>
      <c r="U19" s="120">
        <f t="shared" si="5"/>
        <v>11</v>
      </c>
      <c r="V19" s="120">
        <f t="shared" si="5"/>
        <v>10</v>
      </c>
      <c r="W19" s="120">
        <f t="shared" si="5"/>
        <v>9</v>
      </c>
      <c r="X19" s="120">
        <f t="shared" si="5"/>
        <v>9</v>
      </c>
      <c r="Y19" s="120">
        <f t="shared" si="5"/>
        <v>8</v>
      </c>
      <c r="Z19" s="120">
        <f t="shared" si="5"/>
        <v>7</v>
      </c>
      <c r="AA19" s="120">
        <f t="shared" si="5"/>
        <v>10</v>
      </c>
      <c r="AB19" s="120">
        <f t="shared" si="5"/>
        <v>9</v>
      </c>
      <c r="AC19" s="120">
        <f t="shared" si="5"/>
        <v>8</v>
      </c>
      <c r="AD19" s="120">
        <f t="shared" si="5"/>
        <v>8</v>
      </c>
      <c r="AE19" s="120">
        <f t="shared" si="5"/>
        <v>7</v>
      </c>
      <c r="AF19" s="120">
        <f t="shared" si="5"/>
        <v>6</v>
      </c>
      <c r="AG19" s="120">
        <f t="shared" si="5"/>
        <v>7</v>
      </c>
      <c r="AH19" s="120">
        <f t="shared" si="5"/>
        <v>6</v>
      </c>
      <c r="AI19" s="120">
        <f t="shared" si="5"/>
        <v>5</v>
      </c>
      <c r="AJ19" s="120">
        <f t="shared" si="5"/>
        <v>4</v>
      </c>
      <c r="AK19" s="120">
        <f t="shared" si="5"/>
        <v>12</v>
      </c>
      <c r="AL19" s="120">
        <f t="shared" si="5"/>
        <v>11</v>
      </c>
      <c r="AM19" s="120">
        <f t="shared" si="5"/>
        <v>10</v>
      </c>
      <c r="AN19" s="120">
        <f t="shared" si="5"/>
        <v>9</v>
      </c>
      <c r="AO19" s="120">
        <f t="shared" si="5"/>
        <v>10</v>
      </c>
      <c r="AP19" s="120">
        <f t="shared" si="5"/>
        <v>9</v>
      </c>
      <c r="AQ19" s="120">
        <f t="shared" si="5"/>
        <v>8</v>
      </c>
      <c r="AR19" s="120">
        <f t="shared" si="5"/>
        <v>8</v>
      </c>
      <c r="AS19" s="120">
        <f t="shared" si="5"/>
        <v>7</v>
      </c>
      <c r="AT19" s="120">
        <f t="shared" si="5"/>
        <v>6</v>
      </c>
      <c r="AU19" s="120">
        <f t="shared" si="5"/>
        <v>9</v>
      </c>
      <c r="AV19" s="120">
        <f t="shared" si="5"/>
        <v>8</v>
      </c>
      <c r="AW19" s="120">
        <f t="shared" si="5"/>
        <v>7</v>
      </c>
      <c r="AX19" s="120">
        <f t="shared" si="5"/>
        <v>7</v>
      </c>
      <c r="AY19" s="120">
        <f t="shared" si="5"/>
        <v>6</v>
      </c>
      <c r="AZ19" s="120">
        <f t="shared" si="5"/>
        <v>5</v>
      </c>
      <c r="BA19" s="120">
        <f t="shared" si="5"/>
        <v>6</v>
      </c>
      <c r="BB19" s="120">
        <f t="shared" si="5"/>
        <v>5</v>
      </c>
      <c r="BC19" s="120">
        <f t="shared" si="5"/>
        <v>4</v>
      </c>
      <c r="BD19" s="120">
        <f t="shared" si="5"/>
        <v>3</v>
      </c>
      <c r="BE19" s="120">
        <f t="shared" si="5"/>
        <v>8</v>
      </c>
      <c r="BF19" s="120">
        <f t="shared" si="5"/>
        <v>7</v>
      </c>
      <c r="BG19" s="120">
        <f t="shared" si="5"/>
        <v>6</v>
      </c>
      <c r="BH19" s="120">
        <f t="shared" si="5"/>
        <v>6</v>
      </c>
      <c r="BI19" s="120">
        <f t="shared" si="5"/>
        <v>5</v>
      </c>
      <c r="BJ19" s="120">
        <f t="shared" si="5"/>
        <v>4</v>
      </c>
      <c r="BK19" s="120">
        <f t="shared" si="5"/>
        <v>5</v>
      </c>
      <c r="BL19" s="120">
        <f t="shared" si="5"/>
        <v>4</v>
      </c>
      <c r="BM19" s="120">
        <f t="shared" si="5"/>
        <v>3</v>
      </c>
      <c r="BN19" s="120">
        <f t="shared" si="5"/>
        <v>2</v>
      </c>
      <c r="BO19" s="120">
        <f>$K5-BO18</f>
        <v>4</v>
      </c>
      <c r="BP19" s="120">
        <f>$K5-BP18</f>
        <v>3</v>
      </c>
      <c r="BQ19" s="120">
        <f>$K5-BQ18</f>
        <v>2</v>
      </c>
      <c r="BR19" s="120">
        <f>$K5-BR18</f>
        <v>1</v>
      </c>
      <c r="BS19" s="108">
        <f>$K5-BS18</f>
        <v>0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</row>
    <row r="20" spans="1:89" s="146" customFormat="1" x14ac:dyDescent="0.35">
      <c r="A20" s="141" t="s">
        <v>131</v>
      </c>
      <c r="B20" s="147">
        <f>MIN(B17,B19)</f>
        <v>0</v>
      </c>
      <c r="C20" s="148">
        <f t="shared" ref="C20:BN20" si="6">MIN(C17,C19)</f>
        <v>1</v>
      </c>
      <c r="D20" s="148">
        <f t="shared" si="6"/>
        <v>2</v>
      </c>
      <c r="E20" s="148">
        <f t="shared" si="6"/>
        <v>3</v>
      </c>
      <c r="F20" s="148">
        <f t="shared" si="6"/>
        <v>4</v>
      </c>
      <c r="G20" s="148">
        <f t="shared" si="6"/>
        <v>2</v>
      </c>
      <c r="H20" s="148">
        <f t="shared" si="6"/>
        <v>3</v>
      </c>
      <c r="I20" s="148">
        <f t="shared" si="6"/>
        <v>4</v>
      </c>
      <c r="J20" s="148">
        <f t="shared" si="6"/>
        <v>5</v>
      </c>
      <c r="K20" s="148">
        <f t="shared" si="6"/>
        <v>4</v>
      </c>
      <c r="L20" s="148">
        <f t="shared" si="6"/>
        <v>5</v>
      </c>
      <c r="M20" s="148">
        <f t="shared" si="6"/>
        <v>6</v>
      </c>
      <c r="N20" s="148">
        <f t="shared" si="6"/>
        <v>6</v>
      </c>
      <c r="O20" s="148">
        <f t="shared" si="6"/>
        <v>7</v>
      </c>
      <c r="P20" s="148">
        <f t="shared" si="6"/>
        <v>8</v>
      </c>
      <c r="Q20" s="148">
        <f t="shared" si="6"/>
        <v>3</v>
      </c>
      <c r="R20" s="148">
        <f t="shared" si="6"/>
        <v>4</v>
      </c>
      <c r="S20" s="148">
        <f t="shared" si="6"/>
        <v>5</v>
      </c>
      <c r="T20" s="148">
        <f t="shared" si="6"/>
        <v>6</v>
      </c>
      <c r="U20" s="148">
        <f t="shared" si="6"/>
        <v>5</v>
      </c>
      <c r="V20" s="148">
        <f t="shared" si="6"/>
        <v>6</v>
      </c>
      <c r="W20" s="148">
        <f t="shared" si="6"/>
        <v>7</v>
      </c>
      <c r="X20" s="148">
        <f t="shared" si="6"/>
        <v>7</v>
      </c>
      <c r="Y20" s="148">
        <f t="shared" si="6"/>
        <v>8</v>
      </c>
      <c r="Z20" s="148">
        <f t="shared" si="6"/>
        <v>7</v>
      </c>
      <c r="AA20" s="148">
        <f t="shared" si="6"/>
        <v>6</v>
      </c>
      <c r="AB20" s="148">
        <f t="shared" si="6"/>
        <v>7</v>
      </c>
      <c r="AC20" s="148">
        <f t="shared" si="6"/>
        <v>8</v>
      </c>
      <c r="AD20" s="148">
        <f t="shared" si="6"/>
        <v>8</v>
      </c>
      <c r="AE20" s="148">
        <f t="shared" si="6"/>
        <v>7</v>
      </c>
      <c r="AF20" s="148">
        <f t="shared" si="6"/>
        <v>6</v>
      </c>
      <c r="AG20" s="148">
        <f t="shared" si="6"/>
        <v>7</v>
      </c>
      <c r="AH20" s="148">
        <f t="shared" si="6"/>
        <v>6</v>
      </c>
      <c r="AI20" s="148">
        <f t="shared" si="6"/>
        <v>5</v>
      </c>
      <c r="AJ20" s="148">
        <f t="shared" si="6"/>
        <v>4</v>
      </c>
      <c r="AK20" s="148">
        <f t="shared" si="6"/>
        <v>4</v>
      </c>
      <c r="AL20" s="148">
        <f t="shared" si="6"/>
        <v>5</v>
      </c>
      <c r="AM20" s="148">
        <f t="shared" si="6"/>
        <v>6</v>
      </c>
      <c r="AN20" s="148">
        <f t="shared" si="6"/>
        <v>7</v>
      </c>
      <c r="AO20" s="148">
        <f t="shared" si="6"/>
        <v>6</v>
      </c>
      <c r="AP20" s="148">
        <f t="shared" si="6"/>
        <v>7</v>
      </c>
      <c r="AQ20" s="148">
        <f t="shared" si="6"/>
        <v>8</v>
      </c>
      <c r="AR20" s="148">
        <f t="shared" si="6"/>
        <v>8</v>
      </c>
      <c r="AS20" s="148">
        <f t="shared" si="6"/>
        <v>7</v>
      </c>
      <c r="AT20" s="148">
        <f t="shared" si="6"/>
        <v>6</v>
      </c>
      <c r="AU20" s="148">
        <f t="shared" si="6"/>
        <v>7</v>
      </c>
      <c r="AV20" s="148">
        <f t="shared" si="6"/>
        <v>8</v>
      </c>
      <c r="AW20" s="148">
        <f t="shared" si="6"/>
        <v>7</v>
      </c>
      <c r="AX20" s="148">
        <f t="shared" si="6"/>
        <v>7</v>
      </c>
      <c r="AY20" s="148">
        <f t="shared" si="6"/>
        <v>6</v>
      </c>
      <c r="AZ20" s="148">
        <f t="shared" si="6"/>
        <v>5</v>
      </c>
      <c r="BA20" s="148">
        <f t="shared" si="6"/>
        <v>6</v>
      </c>
      <c r="BB20" s="148">
        <f t="shared" si="6"/>
        <v>5</v>
      </c>
      <c r="BC20" s="148">
        <f t="shared" si="6"/>
        <v>4</v>
      </c>
      <c r="BD20" s="148">
        <f t="shared" si="6"/>
        <v>3</v>
      </c>
      <c r="BE20" s="148">
        <f t="shared" si="6"/>
        <v>8</v>
      </c>
      <c r="BF20" s="148">
        <f t="shared" si="6"/>
        <v>7</v>
      </c>
      <c r="BG20" s="148">
        <f t="shared" si="6"/>
        <v>6</v>
      </c>
      <c r="BH20" s="148">
        <f t="shared" si="6"/>
        <v>6</v>
      </c>
      <c r="BI20" s="148">
        <f t="shared" si="6"/>
        <v>5</v>
      </c>
      <c r="BJ20" s="148">
        <f t="shared" si="6"/>
        <v>4</v>
      </c>
      <c r="BK20" s="148">
        <f t="shared" si="6"/>
        <v>5</v>
      </c>
      <c r="BL20" s="148">
        <f t="shared" si="6"/>
        <v>4</v>
      </c>
      <c r="BM20" s="148">
        <f t="shared" si="6"/>
        <v>3</v>
      </c>
      <c r="BN20" s="148">
        <f t="shared" si="6"/>
        <v>2</v>
      </c>
      <c r="BO20" s="148">
        <f>MIN(BO17,BO19)</f>
        <v>4</v>
      </c>
      <c r="BP20" s="148">
        <f>MIN(BP17,BP19)</f>
        <v>3</v>
      </c>
      <c r="BQ20" s="148">
        <f>MIN(BQ17,BQ19)</f>
        <v>2</v>
      </c>
      <c r="BR20" s="148">
        <f>MIN(BR17,BR19)</f>
        <v>1</v>
      </c>
      <c r="BS20" s="149">
        <f>MIN(BS17,BS19)</f>
        <v>0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</row>
    <row r="21" spans="1:89" x14ac:dyDescent="0.35">
      <c r="A21" s="1"/>
    </row>
    <row r="22" spans="1:89" x14ac:dyDescent="0.35">
      <c r="A22" s="12" t="s">
        <v>131</v>
      </c>
      <c r="B22">
        <v>0</v>
      </c>
      <c r="C22">
        <f>B22+1</f>
        <v>1</v>
      </c>
      <c r="D22">
        <f t="shared" ref="D22:J22" si="7">C22+1</f>
        <v>2</v>
      </c>
      <c r="E22">
        <f t="shared" si="7"/>
        <v>3</v>
      </c>
      <c r="F22">
        <f t="shared" si="7"/>
        <v>4</v>
      </c>
      <c r="G22">
        <f t="shared" si="7"/>
        <v>5</v>
      </c>
      <c r="H22">
        <f t="shared" si="7"/>
        <v>6</v>
      </c>
      <c r="I22">
        <f t="shared" si="7"/>
        <v>7</v>
      </c>
      <c r="J22">
        <f t="shared" si="7"/>
        <v>8</v>
      </c>
    </row>
    <row r="23" spans="1:89" x14ac:dyDescent="0.35">
      <c r="A23" s="12" t="s">
        <v>23</v>
      </c>
      <c r="B23" s="117">
        <f>COUNTIF($B20:$BS20,B22)</f>
        <v>2</v>
      </c>
      <c r="C23" s="111">
        <f t="shared" ref="C23:J23" si="8">COUNTIF($B20:$BS20,C22)</f>
        <v>2</v>
      </c>
      <c r="D23" s="111">
        <f t="shared" si="8"/>
        <v>4</v>
      </c>
      <c r="E23" s="111">
        <f t="shared" si="8"/>
        <v>6</v>
      </c>
      <c r="F23" s="111">
        <f t="shared" si="8"/>
        <v>10</v>
      </c>
      <c r="G23" s="111">
        <f t="shared" si="8"/>
        <v>10</v>
      </c>
      <c r="H23" s="111">
        <f t="shared" si="8"/>
        <v>14</v>
      </c>
      <c r="I23" s="111">
        <f t="shared" si="8"/>
        <v>14</v>
      </c>
      <c r="J23" s="118">
        <f t="shared" si="8"/>
        <v>8</v>
      </c>
      <c r="K23" s="23">
        <f>SUM(B23:J23)</f>
        <v>70</v>
      </c>
    </row>
    <row r="24" spans="1:89" x14ac:dyDescent="0.35">
      <c r="A24" s="12" t="s">
        <v>114</v>
      </c>
      <c r="B24" s="59">
        <f t="shared" ref="B24:J24" si="9">B23/$K23</f>
        <v>2.8571428571428571E-2</v>
      </c>
      <c r="C24" s="7">
        <f t="shared" si="9"/>
        <v>2.8571428571428571E-2</v>
      </c>
      <c r="D24" s="7">
        <f t="shared" si="9"/>
        <v>5.7142857142857141E-2</v>
      </c>
      <c r="E24" s="7">
        <f t="shared" si="9"/>
        <v>8.5714285714285715E-2</v>
      </c>
      <c r="F24" s="7">
        <f t="shared" si="9"/>
        <v>0.14285714285714285</v>
      </c>
      <c r="G24" s="7">
        <f t="shared" si="9"/>
        <v>0.14285714285714285</v>
      </c>
      <c r="H24" s="7">
        <f t="shared" si="9"/>
        <v>0.2</v>
      </c>
      <c r="I24" s="7">
        <f t="shared" si="9"/>
        <v>0.2</v>
      </c>
      <c r="J24" s="60">
        <f t="shared" si="9"/>
        <v>0.11428571428571428</v>
      </c>
    </row>
    <row r="25" spans="1:89" x14ac:dyDescent="0.35">
      <c r="A25" s="20" t="s">
        <v>186</v>
      </c>
      <c r="B25" s="45">
        <f>B24</f>
        <v>2.8571428571428571E-2</v>
      </c>
      <c r="C25" s="106">
        <f>B25+C24</f>
        <v>5.7142857142857141E-2</v>
      </c>
      <c r="D25" s="106">
        <f t="shared" ref="D25:J25" si="10">C25+D24</f>
        <v>0.11428571428571428</v>
      </c>
      <c r="E25" s="106">
        <f t="shared" si="10"/>
        <v>0.2</v>
      </c>
      <c r="F25" s="106">
        <f t="shared" si="10"/>
        <v>0.34285714285714286</v>
      </c>
      <c r="G25" s="106">
        <f t="shared" si="10"/>
        <v>0.48571428571428571</v>
      </c>
      <c r="H25" s="106">
        <f t="shared" si="10"/>
        <v>0.68571428571428572</v>
      </c>
      <c r="I25" s="106">
        <f t="shared" si="10"/>
        <v>0.88571428571428568</v>
      </c>
      <c r="J25" s="48">
        <f t="shared" si="10"/>
        <v>1</v>
      </c>
    </row>
    <row r="29" spans="1:89" x14ac:dyDescent="0.35">
      <c r="A29" s="15" t="s">
        <v>92</v>
      </c>
      <c r="B29" s="88">
        <v>3</v>
      </c>
      <c r="D29" t="s">
        <v>93</v>
      </c>
      <c r="E29" s="88">
        <v>4</v>
      </c>
      <c r="G29" t="s">
        <v>26</v>
      </c>
      <c r="H29" s="88">
        <f>B29+E29</f>
        <v>7</v>
      </c>
    </row>
    <row r="30" spans="1:89" x14ac:dyDescent="0.35">
      <c r="A30" s="1"/>
    </row>
    <row r="31" spans="1:89" x14ac:dyDescent="0.35">
      <c r="A31" s="15" t="s">
        <v>188</v>
      </c>
      <c r="B31" s="88">
        <f>B29*(B29+1)/2</f>
        <v>6</v>
      </c>
      <c r="D31" t="s">
        <v>32</v>
      </c>
      <c r="E31" s="88">
        <f>E29*(E29+1)/2</f>
        <v>10</v>
      </c>
      <c r="G31" t="s">
        <v>33</v>
      </c>
      <c r="H31" s="88">
        <f>H29*(H29+1)/2</f>
        <v>28</v>
      </c>
      <c r="J31" t="s">
        <v>189</v>
      </c>
      <c r="K31" s="88">
        <f>H31-E31</f>
        <v>18</v>
      </c>
      <c r="M31" t="s">
        <v>185</v>
      </c>
      <c r="N31" s="88">
        <f>COMBIN(H29,E29)</f>
        <v>35</v>
      </c>
    </row>
    <row r="32" spans="1:89" x14ac:dyDescent="0.35">
      <c r="A32" s="1"/>
    </row>
    <row r="33" spans="1:36" x14ac:dyDescent="0.35">
      <c r="B33">
        <v>1</v>
      </c>
      <c r="C33">
        <f>B33+1</f>
        <v>2</v>
      </c>
      <c r="D33">
        <f t="shared" ref="D33:AJ33" si="11">C33+1</f>
        <v>3</v>
      </c>
      <c r="E33">
        <f t="shared" si="11"/>
        <v>4</v>
      </c>
      <c r="F33">
        <f t="shared" si="11"/>
        <v>5</v>
      </c>
      <c r="G33">
        <f t="shared" si="11"/>
        <v>6</v>
      </c>
      <c r="H33">
        <f t="shared" si="11"/>
        <v>7</v>
      </c>
      <c r="I33">
        <f t="shared" si="11"/>
        <v>8</v>
      </c>
      <c r="J33">
        <f t="shared" si="11"/>
        <v>9</v>
      </c>
      <c r="K33">
        <f t="shared" si="11"/>
        <v>10</v>
      </c>
      <c r="L33">
        <f t="shared" si="11"/>
        <v>11</v>
      </c>
      <c r="M33">
        <f t="shared" si="11"/>
        <v>12</v>
      </c>
      <c r="N33">
        <f t="shared" si="11"/>
        <v>13</v>
      </c>
      <c r="O33">
        <f t="shared" si="11"/>
        <v>14</v>
      </c>
      <c r="P33">
        <f t="shared" si="11"/>
        <v>15</v>
      </c>
      <c r="Q33">
        <f t="shared" si="11"/>
        <v>16</v>
      </c>
      <c r="R33">
        <f t="shared" si="11"/>
        <v>17</v>
      </c>
      <c r="S33">
        <f t="shared" si="11"/>
        <v>18</v>
      </c>
      <c r="T33">
        <f t="shared" si="11"/>
        <v>19</v>
      </c>
      <c r="U33">
        <f t="shared" si="11"/>
        <v>20</v>
      </c>
      <c r="V33">
        <f t="shared" si="11"/>
        <v>21</v>
      </c>
      <c r="W33">
        <f t="shared" si="11"/>
        <v>22</v>
      </c>
      <c r="X33">
        <f t="shared" si="11"/>
        <v>23</v>
      </c>
      <c r="Y33">
        <f t="shared" si="11"/>
        <v>24</v>
      </c>
      <c r="Z33">
        <f t="shared" si="11"/>
        <v>25</v>
      </c>
      <c r="AA33">
        <f t="shared" si="11"/>
        <v>26</v>
      </c>
      <c r="AB33">
        <f t="shared" si="11"/>
        <v>27</v>
      </c>
      <c r="AC33">
        <f t="shared" si="11"/>
        <v>28</v>
      </c>
      <c r="AD33">
        <f t="shared" si="11"/>
        <v>29</v>
      </c>
      <c r="AE33">
        <f t="shared" si="11"/>
        <v>30</v>
      </c>
      <c r="AF33">
        <f t="shared" si="11"/>
        <v>31</v>
      </c>
      <c r="AG33">
        <f t="shared" si="11"/>
        <v>32</v>
      </c>
      <c r="AH33">
        <f t="shared" si="11"/>
        <v>33</v>
      </c>
      <c r="AI33">
        <f t="shared" si="11"/>
        <v>34</v>
      </c>
      <c r="AJ33">
        <f t="shared" si="11"/>
        <v>35</v>
      </c>
    </row>
    <row r="34" spans="1:36" x14ac:dyDescent="0.35">
      <c r="A34">
        <f>A33+1</f>
        <v>1</v>
      </c>
      <c r="B34" s="117">
        <v>0</v>
      </c>
      <c r="C34" s="111">
        <v>0</v>
      </c>
      <c r="D34" s="111">
        <v>0</v>
      </c>
      <c r="E34" s="111">
        <v>0</v>
      </c>
      <c r="F34" s="111">
        <v>0</v>
      </c>
      <c r="G34" s="111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1</v>
      </c>
      <c r="W34" s="111">
        <v>1</v>
      </c>
      <c r="X34" s="111">
        <v>1</v>
      </c>
      <c r="Y34" s="111">
        <v>1</v>
      </c>
      <c r="Z34" s="111">
        <v>1</v>
      </c>
      <c r="AA34" s="111">
        <v>1</v>
      </c>
      <c r="AB34" s="111">
        <v>1</v>
      </c>
      <c r="AC34" s="111">
        <v>1</v>
      </c>
      <c r="AD34" s="111">
        <v>1</v>
      </c>
      <c r="AE34" s="111">
        <v>1</v>
      </c>
      <c r="AF34" s="111">
        <v>1</v>
      </c>
      <c r="AG34" s="111">
        <v>1</v>
      </c>
      <c r="AH34" s="111">
        <v>1</v>
      </c>
      <c r="AI34" s="111">
        <v>1</v>
      </c>
      <c r="AJ34" s="118">
        <v>1</v>
      </c>
    </row>
    <row r="35" spans="1:36" x14ac:dyDescent="0.35">
      <c r="A35">
        <f t="shared" ref="A35:A40" si="12">A34+1</f>
        <v>2</v>
      </c>
      <c r="B35" s="59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1</v>
      </c>
      <c r="AG35" s="7">
        <v>1</v>
      </c>
      <c r="AH35" s="7">
        <v>1</v>
      </c>
      <c r="AI35" s="7">
        <v>1</v>
      </c>
      <c r="AJ35" s="60">
        <v>1</v>
      </c>
    </row>
    <row r="36" spans="1:36" x14ac:dyDescent="0.35">
      <c r="A36">
        <f t="shared" si="12"/>
        <v>3</v>
      </c>
      <c r="B36" s="59">
        <v>0</v>
      </c>
      <c r="C36" s="7">
        <v>0</v>
      </c>
      <c r="D36" s="7">
        <v>0</v>
      </c>
      <c r="E36" s="7">
        <v>0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1</v>
      </c>
      <c r="T36" s="7">
        <v>1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1</v>
      </c>
      <c r="AC36" s="7">
        <v>1</v>
      </c>
      <c r="AD36" s="7">
        <v>1</v>
      </c>
      <c r="AE36" s="7">
        <v>1</v>
      </c>
      <c r="AF36" s="7">
        <v>0</v>
      </c>
      <c r="AG36" s="7">
        <v>0</v>
      </c>
      <c r="AH36" s="7">
        <v>0</v>
      </c>
      <c r="AI36" s="7">
        <v>0</v>
      </c>
      <c r="AJ36" s="60">
        <v>1</v>
      </c>
    </row>
    <row r="37" spans="1:36" x14ac:dyDescent="0.35">
      <c r="A37">
        <f t="shared" si="12"/>
        <v>4</v>
      </c>
      <c r="B37" s="59">
        <v>0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  <c r="I37" s="7">
        <v>1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1</v>
      </c>
      <c r="P37" s="7">
        <v>1</v>
      </c>
      <c r="Q37" s="7">
        <v>1</v>
      </c>
      <c r="R37" s="7">
        <v>0</v>
      </c>
      <c r="S37" s="7">
        <v>0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1</v>
      </c>
      <c r="Z37" s="7">
        <v>1</v>
      </c>
      <c r="AA37" s="7">
        <v>1</v>
      </c>
      <c r="AB37" s="7">
        <v>0</v>
      </c>
      <c r="AC37" s="7">
        <v>0</v>
      </c>
      <c r="AD37" s="7">
        <v>0</v>
      </c>
      <c r="AE37" s="7">
        <v>1</v>
      </c>
      <c r="AF37" s="7">
        <v>0</v>
      </c>
      <c r="AG37" s="7">
        <v>0</v>
      </c>
      <c r="AH37" s="7">
        <v>0</v>
      </c>
      <c r="AI37" s="7">
        <v>1</v>
      </c>
      <c r="AJ37" s="60">
        <v>0</v>
      </c>
    </row>
    <row r="38" spans="1:36" x14ac:dyDescent="0.35">
      <c r="A38">
        <f t="shared" si="12"/>
        <v>5</v>
      </c>
      <c r="B38" s="59">
        <v>1</v>
      </c>
      <c r="C38" s="7">
        <v>0</v>
      </c>
      <c r="D38" s="7">
        <v>1</v>
      </c>
      <c r="E38" s="7">
        <v>1</v>
      </c>
      <c r="F38" s="7">
        <v>0</v>
      </c>
      <c r="G38" s="7">
        <v>1</v>
      </c>
      <c r="H38" s="7">
        <v>1</v>
      </c>
      <c r="I38" s="7">
        <v>0</v>
      </c>
      <c r="J38" s="7">
        <v>0</v>
      </c>
      <c r="K38" s="7">
        <v>1</v>
      </c>
      <c r="L38" s="7">
        <v>0</v>
      </c>
      <c r="M38" s="7">
        <v>1</v>
      </c>
      <c r="N38" s="7">
        <v>1</v>
      </c>
      <c r="O38" s="7">
        <v>0</v>
      </c>
      <c r="P38" s="7">
        <v>0</v>
      </c>
      <c r="Q38" s="7">
        <v>1</v>
      </c>
      <c r="R38" s="7">
        <v>0</v>
      </c>
      <c r="S38" s="7">
        <v>0</v>
      </c>
      <c r="T38" s="7">
        <v>1</v>
      </c>
      <c r="U38" s="7">
        <v>0</v>
      </c>
      <c r="V38" s="7">
        <v>0</v>
      </c>
      <c r="W38" s="7">
        <v>1</v>
      </c>
      <c r="X38" s="7">
        <v>1</v>
      </c>
      <c r="Y38" s="7">
        <v>0</v>
      </c>
      <c r="Z38" s="7">
        <v>0</v>
      </c>
      <c r="AA38" s="7">
        <v>1</v>
      </c>
      <c r="AB38" s="7">
        <v>0</v>
      </c>
      <c r="AC38" s="7">
        <v>0</v>
      </c>
      <c r="AD38" s="7">
        <v>1</v>
      </c>
      <c r="AE38" s="7">
        <v>0</v>
      </c>
      <c r="AF38" s="7">
        <v>0</v>
      </c>
      <c r="AG38" s="7">
        <v>0</v>
      </c>
      <c r="AH38" s="7">
        <v>1</v>
      </c>
      <c r="AI38" s="7">
        <v>0</v>
      </c>
      <c r="AJ38" s="60">
        <v>0</v>
      </c>
    </row>
    <row r="39" spans="1:36" x14ac:dyDescent="0.35">
      <c r="A39">
        <f t="shared" si="12"/>
        <v>6</v>
      </c>
      <c r="B39" s="59">
        <v>1</v>
      </c>
      <c r="C39" s="7">
        <v>1</v>
      </c>
      <c r="D39" s="7">
        <v>0</v>
      </c>
      <c r="E39" s="7">
        <v>1</v>
      </c>
      <c r="F39" s="7">
        <v>1</v>
      </c>
      <c r="G39" s="7">
        <v>0</v>
      </c>
      <c r="H39" s="7">
        <v>1</v>
      </c>
      <c r="I39" s="7">
        <v>0</v>
      </c>
      <c r="J39" s="7">
        <v>1</v>
      </c>
      <c r="K39" s="7">
        <v>0</v>
      </c>
      <c r="L39" s="7">
        <v>1</v>
      </c>
      <c r="M39" s="7">
        <v>0</v>
      </c>
      <c r="N39" s="7">
        <v>1</v>
      </c>
      <c r="O39" s="7">
        <v>0</v>
      </c>
      <c r="P39" s="7">
        <v>1</v>
      </c>
      <c r="Q39" s="7">
        <v>0</v>
      </c>
      <c r="R39" s="7">
        <v>0</v>
      </c>
      <c r="S39" s="7">
        <v>1</v>
      </c>
      <c r="T39" s="7">
        <v>0</v>
      </c>
      <c r="U39" s="7">
        <v>0</v>
      </c>
      <c r="V39" s="7">
        <v>1</v>
      </c>
      <c r="W39" s="7">
        <v>0</v>
      </c>
      <c r="X39" s="7">
        <v>1</v>
      </c>
      <c r="Y39" s="7">
        <v>0</v>
      </c>
      <c r="Z39" s="7">
        <v>1</v>
      </c>
      <c r="AA39" s="7">
        <v>0</v>
      </c>
      <c r="AB39" s="7">
        <v>0</v>
      </c>
      <c r="AC39" s="7">
        <v>1</v>
      </c>
      <c r="AD39" s="7">
        <v>0</v>
      </c>
      <c r="AE39" s="7">
        <v>0</v>
      </c>
      <c r="AF39" s="7">
        <v>0</v>
      </c>
      <c r="AG39" s="7">
        <v>1</v>
      </c>
      <c r="AH39" s="7">
        <v>0</v>
      </c>
      <c r="AI39" s="7">
        <v>0</v>
      </c>
      <c r="AJ39" s="60">
        <v>0</v>
      </c>
    </row>
    <row r="40" spans="1:36" x14ac:dyDescent="0.35">
      <c r="A40">
        <f t="shared" si="12"/>
        <v>7</v>
      </c>
      <c r="B40" s="45">
        <v>1</v>
      </c>
      <c r="C40" s="106">
        <v>1</v>
      </c>
      <c r="D40" s="106">
        <v>1</v>
      </c>
      <c r="E40" s="106">
        <v>0</v>
      </c>
      <c r="F40" s="106">
        <v>1</v>
      </c>
      <c r="G40" s="106">
        <v>1</v>
      </c>
      <c r="H40" s="106">
        <v>0</v>
      </c>
      <c r="I40" s="106">
        <v>1</v>
      </c>
      <c r="J40" s="106">
        <v>0</v>
      </c>
      <c r="K40" s="106">
        <v>0</v>
      </c>
      <c r="L40" s="106">
        <v>1</v>
      </c>
      <c r="M40" s="106">
        <v>1</v>
      </c>
      <c r="N40" s="106">
        <v>0</v>
      </c>
      <c r="O40" s="106">
        <v>1</v>
      </c>
      <c r="P40" s="106">
        <v>0</v>
      </c>
      <c r="Q40" s="106">
        <v>0</v>
      </c>
      <c r="R40" s="106">
        <v>1</v>
      </c>
      <c r="S40" s="106">
        <v>0</v>
      </c>
      <c r="T40" s="106">
        <v>0</v>
      </c>
      <c r="U40" s="106">
        <v>0</v>
      </c>
      <c r="V40" s="106">
        <v>1</v>
      </c>
      <c r="W40" s="106">
        <v>1</v>
      </c>
      <c r="X40" s="106">
        <v>0</v>
      </c>
      <c r="Y40" s="106">
        <v>1</v>
      </c>
      <c r="Z40" s="106">
        <v>0</v>
      </c>
      <c r="AA40" s="106">
        <v>0</v>
      </c>
      <c r="AB40" s="106">
        <v>1</v>
      </c>
      <c r="AC40" s="106">
        <v>0</v>
      </c>
      <c r="AD40" s="106">
        <v>0</v>
      </c>
      <c r="AE40" s="106">
        <v>0</v>
      </c>
      <c r="AF40" s="106">
        <v>1</v>
      </c>
      <c r="AG40" s="106">
        <v>0</v>
      </c>
      <c r="AH40" s="106">
        <v>0</v>
      </c>
      <c r="AI40" s="106">
        <v>0</v>
      </c>
      <c r="AJ40" s="48">
        <v>0</v>
      </c>
    </row>
    <row r="41" spans="1:36" x14ac:dyDescent="0.35">
      <c r="A41" s="141" t="s">
        <v>230</v>
      </c>
      <c r="B41" s="117">
        <f t="shared" ref="B41:AJ41" si="13">SUMPRODUCT($A33:$A40,B33:B40)</f>
        <v>18</v>
      </c>
      <c r="C41" s="111">
        <f t="shared" si="13"/>
        <v>17</v>
      </c>
      <c r="D41" s="111">
        <f t="shared" si="13"/>
        <v>16</v>
      </c>
      <c r="E41" s="111">
        <f t="shared" si="13"/>
        <v>15</v>
      </c>
      <c r="F41" s="111">
        <f t="shared" si="13"/>
        <v>16</v>
      </c>
      <c r="G41" s="111">
        <f t="shared" si="13"/>
        <v>15</v>
      </c>
      <c r="H41" s="111">
        <f t="shared" si="13"/>
        <v>14</v>
      </c>
      <c r="I41" s="111">
        <f t="shared" si="13"/>
        <v>14</v>
      </c>
      <c r="J41" s="111">
        <f t="shared" si="13"/>
        <v>13</v>
      </c>
      <c r="K41" s="111">
        <f t="shared" si="13"/>
        <v>12</v>
      </c>
      <c r="L41" s="111">
        <f t="shared" si="13"/>
        <v>15</v>
      </c>
      <c r="M41" s="111">
        <f t="shared" si="13"/>
        <v>14</v>
      </c>
      <c r="N41" s="111">
        <f t="shared" si="13"/>
        <v>13</v>
      </c>
      <c r="O41" s="111">
        <f t="shared" si="13"/>
        <v>13</v>
      </c>
      <c r="P41" s="111">
        <f t="shared" si="13"/>
        <v>12</v>
      </c>
      <c r="Q41" s="111">
        <f t="shared" si="13"/>
        <v>11</v>
      </c>
      <c r="R41" s="111">
        <f t="shared" si="13"/>
        <v>12</v>
      </c>
      <c r="S41" s="111">
        <f t="shared" si="13"/>
        <v>11</v>
      </c>
      <c r="T41" s="111">
        <f t="shared" si="13"/>
        <v>10</v>
      </c>
      <c r="U41" s="111">
        <f t="shared" si="13"/>
        <v>9</v>
      </c>
      <c r="V41" s="111">
        <f t="shared" si="13"/>
        <v>14</v>
      </c>
      <c r="W41" s="111">
        <f t="shared" si="13"/>
        <v>13</v>
      </c>
      <c r="X41" s="111">
        <f t="shared" si="13"/>
        <v>12</v>
      </c>
      <c r="Y41" s="111">
        <f t="shared" si="13"/>
        <v>12</v>
      </c>
      <c r="Z41" s="111">
        <f t="shared" si="13"/>
        <v>11</v>
      </c>
      <c r="AA41" s="111">
        <f t="shared" si="13"/>
        <v>10</v>
      </c>
      <c r="AB41" s="111">
        <f t="shared" si="13"/>
        <v>11</v>
      </c>
      <c r="AC41" s="111">
        <f t="shared" si="13"/>
        <v>10</v>
      </c>
      <c r="AD41" s="111">
        <f t="shared" si="13"/>
        <v>9</v>
      </c>
      <c r="AE41" s="111">
        <f t="shared" si="13"/>
        <v>8</v>
      </c>
      <c r="AF41" s="111">
        <f t="shared" si="13"/>
        <v>10</v>
      </c>
      <c r="AG41" s="111">
        <f t="shared" si="13"/>
        <v>9</v>
      </c>
      <c r="AH41" s="111">
        <f t="shared" si="13"/>
        <v>8</v>
      </c>
      <c r="AI41" s="111">
        <f t="shared" si="13"/>
        <v>7</v>
      </c>
      <c r="AJ41" s="118">
        <f t="shared" si="13"/>
        <v>6</v>
      </c>
    </row>
    <row r="42" spans="1:36" x14ac:dyDescent="0.35">
      <c r="A42" s="141" t="s">
        <v>231</v>
      </c>
      <c r="B42" s="59">
        <f>$K31-B41</f>
        <v>0</v>
      </c>
      <c r="C42" s="7">
        <f t="shared" ref="C42:AJ42" si="14">$K31-C41</f>
        <v>1</v>
      </c>
      <c r="D42" s="7">
        <f t="shared" si="14"/>
        <v>2</v>
      </c>
      <c r="E42" s="7">
        <f t="shared" si="14"/>
        <v>3</v>
      </c>
      <c r="F42" s="7">
        <f t="shared" si="14"/>
        <v>2</v>
      </c>
      <c r="G42" s="7">
        <f t="shared" si="14"/>
        <v>3</v>
      </c>
      <c r="H42" s="7">
        <f t="shared" si="14"/>
        <v>4</v>
      </c>
      <c r="I42" s="7">
        <f t="shared" si="14"/>
        <v>4</v>
      </c>
      <c r="J42" s="7">
        <f t="shared" si="14"/>
        <v>5</v>
      </c>
      <c r="K42" s="7">
        <f t="shared" si="14"/>
        <v>6</v>
      </c>
      <c r="L42" s="7">
        <f t="shared" si="14"/>
        <v>3</v>
      </c>
      <c r="M42" s="7">
        <f t="shared" si="14"/>
        <v>4</v>
      </c>
      <c r="N42" s="7">
        <f t="shared" si="14"/>
        <v>5</v>
      </c>
      <c r="O42" s="7">
        <f t="shared" si="14"/>
        <v>5</v>
      </c>
      <c r="P42" s="7">
        <f t="shared" si="14"/>
        <v>6</v>
      </c>
      <c r="Q42" s="7">
        <f t="shared" si="14"/>
        <v>7</v>
      </c>
      <c r="R42" s="7">
        <f t="shared" si="14"/>
        <v>6</v>
      </c>
      <c r="S42" s="7">
        <f t="shared" si="14"/>
        <v>7</v>
      </c>
      <c r="T42" s="7">
        <f t="shared" si="14"/>
        <v>8</v>
      </c>
      <c r="U42" s="7">
        <f t="shared" si="14"/>
        <v>9</v>
      </c>
      <c r="V42" s="7">
        <f t="shared" si="14"/>
        <v>4</v>
      </c>
      <c r="W42" s="7">
        <f t="shared" si="14"/>
        <v>5</v>
      </c>
      <c r="X42" s="7">
        <f t="shared" si="14"/>
        <v>6</v>
      </c>
      <c r="Y42" s="7">
        <f t="shared" si="14"/>
        <v>6</v>
      </c>
      <c r="Z42" s="7">
        <f t="shared" si="14"/>
        <v>7</v>
      </c>
      <c r="AA42" s="7">
        <f t="shared" si="14"/>
        <v>8</v>
      </c>
      <c r="AB42" s="7">
        <f t="shared" si="14"/>
        <v>7</v>
      </c>
      <c r="AC42" s="7">
        <f t="shared" si="14"/>
        <v>8</v>
      </c>
      <c r="AD42" s="7">
        <f t="shared" si="14"/>
        <v>9</v>
      </c>
      <c r="AE42" s="7">
        <f t="shared" si="14"/>
        <v>10</v>
      </c>
      <c r="AF42" s="7">
        <f t="shared" si="14"/>
        <v>8</v>
      </c>
      <c r="AG42" s="7">
        <f t="shared" si="14"/>
        <v>9</v>
      </c>
      <c r="AH42" s="7">
        <f t="shared" si="14"/>
        <v>10</v>
      </c>
      <c r="AI42" s="7">
        <f t="shared" si="14"/>
        <v>11</v>
      </c>
      <c r="AJ42" s="60">
        <f t="shared" si="14"/>
        <v>12</v>
      </c>
    </row>
    <row r="43" spans="1:36" x14ac:dyDescent="0.35">
      <c r="A43" s="141" t="s">
        <v>232</v>
      </c>
      <c r="B43" s="59">
        <f>$H31-B41</f>
        <v>10</v>
      </c>
      <c r="C43" s="7">
        <f t="shared" ref="C43:AJ43" si="15">$H31-C41</f>
        <v>11</v>
      </c>
      <c r="D43" s="7">
        <f t="shared" si="15"/>
        <v>12</v>
      </c>
      <c r="E43" s="7">
        <f t="shared" si="15"/>
        <v>13</v>
      </c>
      <c r="F43" s="7">
        <f t="shared" si="15"/>
        <v>12</v>
      </c>
      <c r="G43" s="7">
        <f t="shared" si="15"/>
        <v>13</v>
      </c>
      <c r="H43" s="7">
        <f t="shared" si="15"/>
        <v>14</v>
      </c>
      <c r="I43" s="7">
        <f t="shared" si="15"/>
        <v>14</v>
      </c>
      <c r="J43" s="7">
        <f t="shared" si="15"/>
        <v>15</v>
      </c>
      <c r="K43" s="7">
        <f t="shared" si="15"/>
        <v>16</v>
      </c>
      <c r="L43" s="7">
        <f t="shared" si="15"/>
        <v>13</v>
      </c>
      <c r="M43" s="7">
        <f t="shared" si="15"/>
        <v>14</v>
      </c>
      <c r="N43" s="7">
        <f t="shared" si="15"/>
        <v>15</v>
      </c>
      <c r="O43" s="7">
        <f t="shared" si="15"/>
        <v>15</v>
      </c>
      <c r="P43" s="7">
        <f t="shared" si="15"/>
        <v>16</v>
      </c>
      <c r="Q43" s="7">
        <f t="shared" si="15"/>
        <v>17</v>
      </c>
      <c r="R43" s="7">
        <f t="shared" si="15"/>
        <v>16</v>
      </c>
      <c r="S43" s="7">
        <f t="shared" si="15"/>
        <v>17</v>
      </c>
      <c r="T43" s="7">
        <f t="shared" si="15"/>
        <v>18</v>
      </c>
      <c r="U43" s="7">
        <f t="shared" si="15"/>
        <v>19</v>
      </c>
      <c r="V43" s="7">
        <f t="shared" si="15"/>
        <v>14</v>
      </c>
      <c r="W43" s="7">
        <f t="shared" si="15"/>
        <v>15</v>
      </c>
      <c r="X43" s="7">
        <f t="shared" si="15"/>
        <v>16</v>
      </c>
      <c r="Y43" s="7">
        <f t="shared" si="15"/>
        <v>16</v>
      </c>
      <c r="Z43" s="7">
        <f t="shared" si="15"/>
        <v>17</v>
      </c>
      <c r="AA43" s="7">
        <f t="shared" si="15"/>
        <v>18</v>
      </c>
      <c r="AB43" s="7">
        <f t="shared" si="15"/>
        <v>17</v>
      </c>
      <c r="AC43" s="7">
        <f t="shared" si="15"/>
        <v>18</v>
      </c>
      <c r="AD43" s="7">
        <f t="shared" si="15"/>
        <v>19</v>
      </c>
      <c r="AE43" s="7">
        <f t="shared" si="15"/>
        <v>20</v>
      </c>
      <c r="AF43" s="7">
        <f t="shared" si="15"/>
        <v>18</v>
      </c>
      <c r="AG43" s="7">
        <f t="shared" si="15"/>
        <v>19</v>
      </c>
      <c r="AH43" s="7">
        <f t="shared" si="15"/>
        <v>20</v>
      </c>
      <c r="AI43" s="7">
        <f t="shared" si="15"/>
        <v>21</v>
      </c>
      <c r="AJ43" s="60">
        <f t="shared" si="15"/>
        <v>22</v>
      </c>
    </row>
    <row r="44" spans="1:36" x14ac:dyDescent="0.35">
      <c r="A44" s="141" t="s">
        <v>233</v>
      </c>
      <c r="B44" s="59">
        <f>$E31+$B29*$E29-B43</f>
        <v>12</v>
      </c>
      <c r="C44" s="7">
        <f t="shared" ref="C44:AJ44" si="16">$E31+$B29*$E29-C43</f>
        <v>11</v>
      </c>
      <c r="D44" s="7">
        <f t="shared" si="16"/>
        <v>10</v>
      </c>
      <c r="E44" s="7">
        <f t="shared" si="16"/>
        <v>9</v>
      </c>
      <c r="F44" s="7">
        <f t="shared" si="16"/>
        <v>10</v>
      </c>
      <c r="G44" s="7">
        <f t="shared" si="16"/>
        <v>9</v>
      </c>
      <c r="H44" s="7">
        <f t="shared" si="16"/>
        <v>8</v>
      </c>
      <c r="I44" s="7">
        <f t="shared" si="16"/>
        <v>8</v>
      </c>
      <c r="J44" s="7">
        <f t="shared" si="16"/>
        <v>7</v>
      </c>
      <c r="K44" s="7">
        <f t="shared" si="16"/>
        <v>6</v>
      </c>
      <c r="L44" s="7">
        <f t="shared" si="16"/>
        <v>9</v>
      </c>
      <c r="M44" s="7">
        <f t="shared" si="16"/>
        <v>8</v>
      </c>
      <c r="N44" s="7">
        <f t="shared" si="16"/>
        <v>7</v>
      </c>
      <c r="O44" s="7">
        <f t="shared" si="16"/>
        <v>7</v>
      </c>
      <c r="P44" s="7">
        <f t="shared" si="16"/>
        <v>6</v>
      </c>
      <c r="Q44" s="7">
        <f t="shared" si="16"/>
        <v>5</v>
      </c>
      <c r="R44" s="7">
        <f t="shared" si="16"/>
        <v>6</v>
      </c>
      <c r="S44" s="7">
        <f t="shared" si="16"/>
        <v>5</v>
      </c>
      <c r="T44" s="7">
        <f t="shared" si="16"/>
        <v>4</v>
      </c>
      <c r="U44" s="7">
        <f t="shared" si="16"/>
        <v>3</v>
      </c>
      <c r="V44" s="7">
        <f t="shared" si="16"/>
        <v>8</v>
      </c>
      <c r="W44" s="7">
        <f t="shared" si="16"/>
        <v>7</v>
      </c>
      <c r="X44" s="7">
        <f t="shared" si="16"/>
        <v>6</v>
      </c>
      <c r="Y44" s="7">
        <f t="shared" si="16"/>
        <v>6</v>
      </c>
      <c r="Z44" s="7">
        <f t="shared" si="16"/>
        <v>5</v>
      </c>
      <c r="AA44" s="7">
        <f t="shared" si="16"/>
        <v>4</v>
      </c>
      <c r="AB44" s="7">
        <f t="shared" si="16"/>
        <v>5</v>
      </c>
      <c r="AC44" s="7">
        <f t="shared" si="16"/>
        <v>4</v>
      </c>
      <c r="AD44" s="7">
        <f t="shared" si="16"/>
        <v>3</v>
      </c>
      <c r="AE44" s="7">
        <f t="shared" si="16"/>
        <v>2</v>
      </c>
      <c r="AF44" s="7">
        <f t="shared" si="16"/>
        <v>4</v>
      </c>
      <c r="AG44" s="7">
        <f t="shared" si="16"/>
        <v>3</v>
      </c>
      <c r="AH44" s="7">
        <f t="shared" si="16"/>
        <v>2</v>
      </c>
      <c r="AI44" s="7">
        <f t="shared" si="16"/>
        <v>1</v>
      </c>
      <c r="AJ44" s="60">
        <f t="shared" si="16"/>
        <v>0</v>
      </c>
    </row>
    <row r="45" spans="1:36" x14ac:dyDescent="0.35">
      <c r="A45" s="141" t="s">
        <v>131</v>
      </c>
      <c r="B45" s="45">
        <f>MIN(B42,B44)</f>
        <v>0</v>
      </c>
      <c r="C45" s="106">
        <f t="shared" ref="C45:AJ45" si="17">MIN(C42,C44)</f>
        <v>1</v>
      </c>
      <c r="D45" s="106">
        <f t="shared" si="17"/>
        <v>2</v>
      </c>
      <c r="E45" s="106">
        <f t="shared" si="17"/>
        <v>3</v>
      </c>
      <c r="F45" s="106">
        <f t="shared" si="17"/>
        <v>2</v>
      </c>
      <c r="G45" s="106">
        <f t="shared" si="17"/>
        <v>3</v>
      </c>
      <c r="H45" s="106">
        <f t="shared" si="17"/>
        <v>4</v>
      </c>
      <c r="I45" s="106">
        <f t="shared" si="17"/>
        <v>4</v>
      </c>
      <c r="J45" s="106">
        <f t="shared" si="17"/>
        <v>5</v>
      </c>
      <c r="K45" s="106">
        <f t="shared" si="17"/>
        <v>6</v>
      </c>
      <c r="L45" s="106">
        <f t="shared" si="17"/>
        <v>3</v>
      </c>
      <c r="M45" s="106">
        <f t="shared" si="17"/>
        <v>4</v>
      </c>
      <c r="N45" s="106">
        <f t="shared" si="17"/>
        <v>5</v>
      </c>
      <c r="O45" s="106">
        <f t="shared" si="17"/>
        <v>5</v>
      </c>
      <c r="P45" s="106">
        <f t="shared" si="17"/>
        <v>6</v>
      </c>
      <c r="Q45" s="106">
        <f t="shared" si="17"/>
        <v>5</v>
      </c>
      <c r="R45" s="106">
        <f t="shared" si="17"/>
        <v>6</v>
      </c>
      <c r="S45" s="106">
        <f t="shared" si="17"/>
        <v>5</v>
      </c>
      <c r="T45" s="106">
        <f t="shared" si="17"/>
        <v>4</v>
      </c>
      <c r="U45" s="106">
        <f t="shared" si="17"/>
        <v>3</v>
      </c>
      <c r="V45" s="106">
        <f t="shared" si="17"/>
        <v>4</v>
      </c>
      <c r="W45" s="106">
        <f t="shared" si="17"/>
        <v>5</v>
      </c>
      <c r="X45" s="106">
        <f t="shared" si="17"/>
        <v>6</v>
      </c>
      <c r="Y45" s="106">
        <f t="shared" si="17"/>
        <v>6</v>
      </c>
      <c r="Z45" s="106">
        <f t="shared" si="17"/>
        <v>5</v>
      </c>
      <c r="AA45" s="106">
        <f t="shared" si="17"/>
        <v>4</v>
      </c>
      <c r="AB45" s="106">
        <f t="shared" si="17"/>
        <v>5</v>
      </c>
      <c r="AC45" s="106">
        <f t="shared" si="17"/>
        <v>4</v>
      </c>
      <c r="AD45" s="106">
        <f t="shared" si="17"/>
        <v>3</v>
      </c>
      <c r="AE45" s="106">
        <f t="shared" si="17"/>
        <v>2</v>
      </c>
      <c r="AF45" s="106">
        <f t="shared" si="17"/>
        <v>4</v>
      </c>
      <c r="AG45" s="106">
        <f t="shared" si="17"/>
        <v>3</v>
      </c>
      <c r="AH45" s="106">
        <f t="shared" si="17"/>
        <v>2</v>
      </c>
      <c r="AI45" s="106">
        <f t="shared" si="17"/>
        <v>1</v>
      </c>
      <c r="AJ45" s="48">
        <f t="shared" si="17"/>
        <v>0</v>
      </c>
    </row>
    <row r="46" spans="1:36" x14ac:dyDescent="0.35">
      <c r="A46" s="14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x14ac:dyDescent="0.35">
      <c r="A47" s="12" t="s">
        <v>131</v>
      </c>
      <c r="B47">
        <v>0</v>
      </c>
      <c r="C47">
        <f t="shared" ref="C47:H47" si="18">B47+1</f>
        <v>1</v>
      </c>
      <c r="D47">
        <f t="shared" si="18"/>
        <v>2</v>
      </c>
      <c r="E47">
        <f t="shared" si="18"/>
        <v>3</v>
      </c>
      <c r="F47">
        <f t="shared" si="18"/>
        <v>4</v>
      </c>
      <c r="G47">
        <f t="shared" si="18"/>
        <v>5</v>
      </c>
      <c r="H47">
        <f t="shared" si="18"/>
        <v>6</v>
      </c>
      <c r="I47" s="7"/>
      <c r="J47" s="7"/>
      <c r="K47" s="7"/>
      <c r="L47" s="7"/>
      <c r="M47" s="7"/>
      <c r="N47" s="7"/>
    </row>
    <row r="48" spans="1:36" x14ac:dyDescent="0.35">
      <c r="A48" s="12" t="s">
        <v>23</v>
      </c>
      <c r="B48" s="117">
        <f>COUNTIF($B45:$BS45,B47)</f>
        <v>2</v>
      </c>
      <c r="C48" s="111">
        <f t="shared" ref="C48:H48" si="19">COUNTIF($B45:$BS45,C47)</f>
        <v>2</v>
      </c>
      <c r="D48" s="111">
        <f t="shared" si="19"/>
        <v>4</v>
      </c>
      <c r="E48" s="111">
        <f t="shared" si="19"/>
        <v>6</v>
      </c>
      <c r="F48" s="111">
        <f t="shared" si="19"/>
        <v>8</v>
      </c>
      <c r="G48" s="111">
        <f t="shared" si="19"/>
        <v>8</v>
      </c>
      <c r="H48" s="118">
        <f t="shared" si="19"/>
        <v>5</v>
      </c>
      <c r="I48" s="23">
        <f>SUM(B48:H48)</f>
        <v>35</v>
      </c>
      <c r="J48" s="7"/>
      <c r="K48" s="7"/>
      <c r="L48" s="7"/>
      <c r="M48" s="7"/>
      <c r="N48" s="7"/>
    </row>
    <row r="49" spans="1:16" x14ac:dyDescent="0.35">
      <c r="A49" s="12" t="s">
        <v>114</v>
      </c>
      <c r="B49" s="59">
        <f t="shared" ref="B49:H49" si="20">B48/$I48</f>
        <v>5.7142857142857141E-2</v>
      </c>
      <c r="C49" s="7">
        <f t="shared" si="20"/>
        <v>5.7142857142857141E-2</v>
      </c>
      <c r="D49" s="7">
        <f t="shared" si="20"/>
        <v>0.11428571428571428</v>
      </c>
      <c r="E49" s="7">
        <f t="shared" si="20"/>
        <v>0.17142857142857143</v>
      </c>
      <c r="F49" s="7">
        <f t="shared" si="20"/>
        <v>0.22857142857142856</v>
      </c>
      <c r="G49" s="7">
        <f t="shared" si="20"/>
        <v>0.22857142857142856</v>
      </c>
      <c r="H49" s="60">
        <f t="shared" si="20"/>
        <v>0.14285714285714285</v>
      </c>
      <c r="I49" s="7"/>
      <c r="J49" s="7"/>
      <c r="K49" s="7"/>
      <c r="L49" s="7"/>
      <c r="M49" s="7"/>
      <c r="N49" s="7"/>
    </row>
    <row r="50" spans="1:16" x14ac:dyDescent="0.35">
      <c r="A50" s="20" t="s">
        <v>186</v>
      </c>
      <c r="B50" s="45">
        <f>B49</f>
        <v>5.7142857142857141E-2</v>
      </c>
      <c r="C50" s="106">
        <f t="shared" ref="C50:H50" si="21">B50+C49</f>
        <v>0.11428571428571428</v>
      </c>
      <c r="D50" s="106">
        <f t="shared" si="21"/>
        <v>0.22857142857142856</v>
      </c>
      <c r="E50" s="106">
        <f t="shared" si="21"/>
        <v>0.4</v>
      </c>
      <c r="F50" s="106">
        <f t="shared" si="21"/>
        <v>0.62857142857142856</v>
      </c>
      <c r="G50" s="106">
        <f t="shared" si="21"/>
        <v>0.8571428571428571</v>
      </c>
      <c r="H50" s="48">
        <f t="shared" si="21"/>
        <v>1</v>
      </c>
      <c r="I50" s="7"/>
      <c r="J50" s="7"/>
      <c r="K50" s="7"/>
      <c r="L50" s="7"/>
      <c r="M50" s="7"/>
      <c r="N50" s="7"/>
    </row>
    <row r="51" spans="1:16" x14ac:dyDescent="0.35">
      <c r="I51" s="7"/>
      <c r="J51" s="7"/>
      <c r="K51" s="7"/>
      <c r="L51" s="7"/>
      <c r="M51" s="7"/>
      <c r="N51" s="7"/>
    </row>
    <row r="54" spans="1:16" x14ac:dyDescent="0.35">
      <c r="A54" s="15" t="s">
        <v>92</v>
      </c>
      <c r="B54" s="88">
        <v>2</v>
      </c>
      <c r="D54" t="s">
        <v>93</v>
      </c>
      <c r="E54" s="88">
        <v>4</v>
      </c>
      <c r="G54" t="s">
        <v>26</v>
      </c>
      <c r="H54" s="88">
        <f>B54+E54</f>
        <v>6</v>
      </c>
    </row>
    <row r="55" spans="1:16" x14ac:dyDescent="0.35">
      <c r="A55" s="1"/>
    </row>
    <row r="56" spans="1:16" x14ac:dyDescent="0.35">
      <c r="A56" s="15" t="s">
        <v>188</v>
      </c>
      <c r="B56" s="88">
        <f>B54*(B54+1)/2</f>
        <v>3</v>
      </c>
      <c r="D56" t="s">
        <v>32</v>
      </c>
      <c r="E56" s="88">
        <f>E54*(E54+1)/2</f>
        <v>10</v>
      </c>
      <c r="G56" t="s">
        <v>33</v>
      </c>
      <c r="H56" s="88">
        <f>H54*(H54+1)/2</f>
        <v>21</v>
      </c>
      <c r="J56" t="s">
        <v>189</v>
      </c>
      <c r="K56" s="88">
        <f>H56-E56</f>
        <v>11</v>
      </c>
      <c r="M56" t="s">
        <v>185</v>
      </c>
      <c r="N56" s="88">
        <f>COMBIN(H54,E54)</f>
        <v>15</v>
      </c>
    </row>
    <row r="57" spans="1:16" x14ac:dyDescent="0.35">
      <c r="A57" s="1"/>
    </row>
    <row r="58" spans="1:16" x14ac:dyDescent="0.35">
      <c r="B58">
        <v>1</v>
      </c>
      <c r="C58">
        <f>B58+1</f>
        <v>2</v>
      </c>
      <c r="D58">
        <f t="shared" ref="D58:P58" si="22">C58+1</f>
        <v>3</v>
      </c>
      <c r="E58">
        <f t="shared" si="22"/>
        <v>4</v>
      </c>
      <c r="F58">
        <f t="shared" si="22"/>
        <v>5</v>
      </c>
      <c r="G58">
        <f t="shared" si="22"/>
        <v>6</v>
      </c>
      <c r="H58">
        <f t="shared" si="22"/>
        <v>7</v>
      </c>
      <c r="I58">
        <f t="shared" si="22"/>
        <v>8</v>
      </c>
      <c r="J58">
        <f t="shared" si="22"/>
        <v>9</v>
      </c>
      <c r="K58">
        <f t="shared" si="22"/>
        <v>10</v>
      </c>
      <c r="L58">
        <f t="shared" si="22"/>
        <v>11</v>
      </c>
      <c r="M58">
        <f t="shared" si="22"/>
        <v>12</v>
      </c>
      <c r="N58">
        <f t="shared" si="22"/>
        <v>13</v>
      </c>
      <c r="O58">
        <f t="shared" si="22"/>
        <v>14</v>
      </c>
      <c r="P58">
        <f t="shared" si="22"/>
        <v>15</v>
      </c>
    </row>
    <row r="59" spans="1:16" x14ac:dyDescent="0.35">
      <c r="A59">
        <f t="shared" ref="A59:A64" si="23">A58+1</f>
        <v>1</v>
      </c>
      <c r="B59" s="117">
        <v>0</v>
      </c>
      <c r="C59" s="111">
        <v>0</v>
      </c>
      <c r="D59" s="111">
        <v>0</v>
      </c>
      <c r="E59" s="111">
        <v>0</v>
      </c>
      <c r="F59" s="111">
        <v>0</v>
      </c>
      <c r="G59" s="111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1</v>
      </c>
      <c r="M59" s="111">
        <v>1</v>
      </c>
      <c r="N59" s="111">
        <v>1</v>
      </c>
      <c r="O59" s="111">
        <v>1</v>
      </c>
      <c r="P59" s="118">
        <v>1</v>
      </c>
    </row>
    <row r="60" spans="1:16" x14ac:dyDescent="0.35">
      <c r="A60">
        <f t="shared" si="23"/>
        <v>2</v>
      </c>
      <c r="B60" s="59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1</v>
      </c>
      <c r="I60" s="7">
        <v>1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60">
        <v>1</v>
      </c>
    </row>
    <row r="61" spans="1:16" x14ac:dyDescent="0.35">
      <c r="A61">
        <f t="shared" si="23"/>
        <v>3</v>
      </c>
      <c r="B61" s="59">
        <v>0</v>
      </c>
      <c r="C61" s="7">
        <v>0</v>
      </c>
      <c r="D61" s="7">
        <v>0</v>
      </c>
      <c r="E61" s="7">
        <v>1</v>
      </c>
      <c r="F61" s="7">
        <v>1</v>
      </c>
      <c r="G61" s="7">
        <v>1</v>
      </c>
      <c r="H61" s="7">
        <v>0</v>
      </c>
      <c r="I61" s="7">
        <v>0</v>
      </c>
      <c r="J61" s="7">
        <v>0</v>
      </c>
      <c r="K61" s="7">
        <v>1</v>
      </c>
      <c r="L61" s="7">
        <v>0</v>
      </c>
      <c r="M61" s="7">
        <v>0</v>
      </c>
      <c r="N61" s="7">
        <v>0</v>
      </c>
      <c r="O61" s="7">
        <v>1</v>
      </c>
      <c r="P61" s="60">
        <v>0</v>
      </c>
    </row>
    <row r="62" spans="1:16" x14ac:dyDescent="0.35">
      <c r="A62">
        <f t="shared" si="23"/>
        <v>4</v>
      </c>
      <c r="B62" s="59">
        <v>0</v>
      </c>
      <c r="C62" s="7">
        <v>1</v>
      </c>
      <c r="D62" s="7">
        <v>1</v>
      </c>
      <c r="E62" s="7">
        <v>0</v>
      </c>
      <c r="F62" s="7">
        <v>0</v>
      </c>
      <c r="G62" s="7">
        <v>1</v>
      </c>
      <c r="H62" s="7">
        <v>0</v>
      </c>
      <c r="I62" s="7">
        <v>0</v>
      </c>
      <c r="J62" s="7">
        <v>1</v>
      </c>
      <c r="K62" s="7">
        <v>0</v>
      </c>
      <c r="L62" s="7">
        <v>0</v>
      </c>
      <c r="M62" s="7">
        <v>0</v>
      </c>
      <c r="N62" s="7">
        <v>1</v>
      </c>
      <c r="O62" s="7">
        <v>0</v>
      </c>
      <c r="P62" s="60">
        <v>0</v>
      </c>
    </row>
    <row r="63" spans="1:16" x14ac:dyDescent="0.35">
      <c r="A63">
        <f t="shared" si="23"/>
        <v>5</v>
      </c>
      <c r="B63" s="59">
        <v>1</v>
      </c>
      <c r="C63" s="7">
        <v>0</v>
      </c>
      <c r="D63" s="7">
        <v>1</v>
      </c>
      <c r="E63" s="7">
        <v>0</v>
      </c>
      <c r="F63" s="7">
        <v>1</v>
      </c>
      <c r="G63" s="7">
        <v>0</v>
      </c>
      <c r="H63" s="7">
        <v>0</v>
      </c>
      <c r="I63" s="7">
        <v>1</v>
      </c>
      <c r="J63" s="7">
        <v>0</v>
      </c>
      <c r="K63" s="7">
        <v>0</v>
      </c>
      <c r="L63" s="7">
        <v>0</v>
      </c>
      <c r="M63" s="7">
        <v>1</v>
      </c>
      <c r="N63" s="7">
        <v>0</v>
      </c>
      <c r="O63" s="7">
        <v>0</v>
      </c>
      <c r="P63" s="60">
        <v>0</v>
      </c>
    </row>
    <row r="64" spans="1:16" x14ac:dyDescent="0.35">
      <c r="A64">
        <f t="shared" si="23"/>
        <v>6</v>
      </c>
      <c r="B64" s="45">
        <v>1</v>
      </c>
      <c r="C64" s="106">
        <v>1</v>
      </c>
      <c r="D64" s="106">
        <v>0</v>
      </c>
      <c r="E64" s="106">
        <v>1</v>
      </c>
      <c r="F64" s="106">
        <v>0</v>
      </c>
      <c r="G64" s="106">
        <v>0</v>
      </c>
      <c r="H64" s="106">
        <v>1</v>
      </c>
      <c r="I64" s="106">
        <v>0</v>
      </c>
      <c r="J64" s="106">
        <v>0</v>
      </c>
      <c r="K64" s="106">
        <v>0</v>
      </c>
      <c r="L64" s="106">
        <v>1</v>
      </c>
      <c r="M64" s="106">
        <v>0</v>
      </c>
      <c r="N64" s="106">
        <v>0</v>
      </c>
      <c r="O64" s="106">
        <v>0</v>
      </c>
      <c r="P64" s="48">
        <v>0</v>
      </c>
    </row>
    <row r="65" spans="1:16" x14ac:dyDescent="0.35">
      <c r="A65" s="141" t="s">
        <v>230</v>
      </c>
      <c r="B65" s="117">
        <f t="shared" ref="B65:P65" si="24">SUMPRODUCT($A58:$A64,B58:B64)</f>
        <v>11</v>
      </c>
      <c r="C65" s="111">
        <f t="shared" si="24"/>
        <v>10</v>
      </c>
      <c r="D65" s="111">
        <f t="shared" si="24"/>
        <v>9</v>
      </c>
      <c r="E65" s="111">
        <f t="shared" si="24"/>
        <v>9</v>
      </c>
      <c r="F65" s="111">
        <f t="shared" si="24"/>
        <v>8</v>
      </c>
      <c r="G65" s="111">
        <f t="shared" si="24"/>
        <v>7</v>
      </c>
      <c r="H65" s="111">
        <f t="shared" si="24"/>
        <v>8</v>
      </c>
      <c r="I65" s="111">
        <f t="shared" si="24"/>
        <v>7</v>
      </c>
      <c r="J65" s="111">
        <f t="shared" si="24"/>
        <v>6</v>
      </c>
      <c r="K65" s="111">
        <f t="shared" si="24"/>
        <v>5</v>
      </c>
      <c r="L65" s="111">
        <f t="shared" si="24"/>
        <v>7</v>
      </c>
      <c r="M65" s="111">
        <f t="shared" si="24"/>
        <v>6</v>
      </c>
      <c r="N65" s="111">
        <f t="shared" si="24"/>
        <v>5</v>
      </c>
      <c r="O65" s="111">
        <f t="shared" si="24"/>
        <v>4</v>
      </c>
      <c r="P65" s="118">
        <f t="shared" si="24"/>
        <v>3</v>
      </c>
    </row>
    <row r="66" spans="1:16" x14ac:dyDescent="0.35">
      <c r="A66" s="141" t="s">
        <v>231</v>
      </c>
      <c r="B66" s="59">
        <f>$K56-B65</f>
        <v>0</v>
      </c>
      <c r="C66" s="7">
        <f t="shared" ref="C66:P66" si="25">$K56-C65</f>
        <v>1</v>
      </c>
      <c r="D66" s="7">
        <f t="shared" si="25"/>
        <v>2</v>
      </c>
      <c r="E66" s="7">
        <f t="shared" si="25"/>
        <v>2</v>
      </c>
      <c r="F66" s="7">
        <f t="shared" si="25"/>
        <v>3</v>
      </c>
      <c r="G66" s="7">
        <f t="shared" si="25"/>
        <v>4</v>
      </c>
      <c r="H66" s="7">
        <f t="shared" si="25"/>
        <v>3</v>
      </c>
      <c r="I66" s="7">
        <f t="shared" si="25"/>
        <v>4</v>
      </c>
      <c r="J66" s="7">
        <f t="shared" si="25"/>
        <v>5</v>
      </c>
      <c r="K66" s="7">
        <f t="shared" si="25"/>
        <v>6</v>
      </c>
      <c r="L66" s="7">
        <f t="shared" si="25"/>
        <v>4</v>
      </c>
      <c r="M66" s="7">
        <f t="shared" si="25"/>
        <v>5</v>
      </c>
      <c r="N66" s="7">
        <f t="shared" si="25"/>
        <v>6</v>
      </c>
      <c r="O66" s="7">
        <f t="shared" si="25"/>
        <v>7</v>
      </c>
      <c r="P66" s="60">
        <f t="shared" si="25"/>
        <v>8</v>
      </c>
    </row>
    <row r="67" spans="1:16" x14ac:dyDescent="0.35">
      <c r="A67" s="141" t="s">
        <v>232</v>
      </c>
      <c r="B67" s="59">
        <f>$H56-B65</f>
        <v>10</v>
      </c>
      <c r="C67" s="7">
        <f t="shared" ref="C67:P67" si="26">$H56-C65</f>
        <v>11</v>
      </c>
      <c r="D67" s="7">
        <f t="shared" si="26"/>
        <v>12</v>
      </c>
      <c r="E67" s="7">
        <f t="shared" si="26"/>
        <v>12</v>
      </c>
      <c r="F67" s="7">
        <f t="shared" si="26"/>
        <v>13</v>
      </c>
      <c r="G67" s="7">
        <f t="shared" si="26"/>
        <v>14</v>
      </c>
      <c r="H67" s="7">
        <f t="shared" si="26"/>
        <v>13</v>
      </c>
      <c r="I67" s="7">
        <f t="shared" si="26"/>
        <v>14</v>
      </c>
      <c r="J67" s="7">
        <f t="shared" si="26"/>
        <v>15</v>
      </c>
      <c r="K67" s="7">
        <f t="shared" si="26"/>
        <v>16</v>
      </c>
      <c r="L67" s="7">
        <f t="shared" si="26"/>
        <v>14</v>
      </c>
      <c r="M67" s="7">
        <f t="shared" si="26"/>
        <v>15</v>
      </c>
      <c r="N67" s="7">
        <f t="shared" si="26"/>
        <v>16</v>
      </c>
      <c r="O67" s="7">
        <f t="shared" si="26"/>
        <v>17</v>
      </c>
      <c r="P67" s="60">
        <f t="shared" si="26"/>
        <v>18</v>
      </c>
    </row>
    <row r="68" spans="1:16" x14ac:dyDescent="0.35">
      <c r="A68" s="141" t="s">
        <v>233</v>
      </c>
      <c r="B68" s="59">
        <f>$E56+$B54*$E54-B67</f>
        <v>8</v>
      </c>
      <c r="C68" s="7">
        <f t="shared" ref="C68:P68" si="27">$E56+$B54*$E54-C67</f>
        <v>7</v>
      </c>
      <c r="D68" s="7">
        <f t="shared" si="27"/>
        <v>6</v>
      </c>
      <c r="E68" s="7">
        <f t="shared" si="27"/>
        <v>6</v>
      </c>
      <c r="F68" s="7">
        <f t="shared" si="27"/>
        <v>5</v>
      </c>
      <c r="G68" s="7">
        <f t="shared" si="27"/>
        <v>4</v>
      </c>
      <c r="H68" s="7">
        <f t="shared" si="27"/>
        <v>5</v>
      </c>
      <c r="I68" s="7">
        <f t="shared" si="27"/>
        <v>4</v>
      </c>
      <c r="J68" s="7">
        <f t="shared" si="27"/>
        <v>3</v>
      </c>
      <c r="K68" s="7">
        <f t="shared" si="27"/>
        <v>2</v>
      </c>
      <c r="L68" s="7">
        <f t="shared" si="27"/>
        <v>4</v>
      </c>
      <c r="M68" s="7">
        <f t="shared" si="27"/>
        <v>3</v>
      </c>
      <c r="N68" s="7">
        <f t="shared" si="27"/>
        <v>2</v>
      </c>
      <c r="O68" s="7">
        <f t="shared" si="27"/>
        <v>1</v>
      </c>
      <c r="P68" s="60">
        <f t="shared" si="27"/>
        <v>0</v>
      </c>
    </row>
    <row r="69" spans="1:16" x14ac:dyDescent="0.35">
      <c r="A69" s="141" t="s">
        <v>131</v>
      </c>
      <c r="B69" s="45">
        <f>MIN(B66,B68)</f>
        <v>0</v>
      </c>
      <c r="C69" s="106">
        <f t="shared" ref="C69:P69" si="28">MIN(C66,C68)</f>
        <v>1</v>
      </c>
      <c r="D69" s="106">
        <f t="shared" si="28"/>
        <v>2</v>
      </c>
      <c r="E69" s="106">
        <f t="shared" si="28"/>
        <v>2</v>
      </c>
      <c r="F69" s="106">
        <f t="shared" si="28"/>
        <v>3</v>
      </c>
      <c r="G69" s="106">
        <f t="shared" si="28"/>
        <v>4</v>
      </c>
      <c r="H69" s="106">
        <f t="shared" si="28"/>
        <v>3</v>
      </c>
      <c r="I69" s="106">
        <f t="shared" si="28"/>
        <v>4</v>
      </c>
      <c r="J69" s="106">
        <f t="shared" si="28"/>
        <v>3</v>
      </c>
      <c r="K69" s="106">
        <f t="shared" si="28"/>
        <v>2</v>
      </c>
      <c r="L69" s="106">
        <f t="shared" si="28"/>
        <v>4</v>
      </c>
      <c r="M69" s="106">
        <f t="shared" si="28"/>
        <v>3</v>
      </c>
      <c r="N69" s="106">
        <f t="shared" si="28"/>
        <v>2</v>
      </c>
      <c r="O69" s="106">
        <f t="shared" si="28"/>
        <v>1</v>
      </c>
      <c r="P69" s="48">
        <f t="shared" si="28"/>
        <v>0</v>
      </c>
    </row>
    <row r="71" spans="1:16" x14ac:dyDescent="0.35">
      <c r="A71" s="12" t="s">
        <v>131</v>
      </c>
      <c r="B71">
        <v>0</v>
      </c>
      <c r="C71">
        <f>B71+1</f>
        <v>1</v>
      </c>
      <c r="D71">
        <f>C71+1</f>
        <v>2</v>
      </c>
      <c r="E71">
        <f>D71+1</f>
        <v>3</v>
      </c>
      <c r="F71">
        <f>E71+1</f>
        <v>4</v>
      </c>
    </row>
    <row r="72" spans="1:16" x14ac:dyDescent="0.35">
      <c r="A72" s="12" t="s">
        <v>23</v>
      </c>
      <c r="B72" s="117">
        <f>COUNTIF($B69:$BS69,B71)</f>
        <v>2</v>
      </c>
      <c r="C72" s="111">
        <f>COUNTIF($B69:$BS69,C71)</f>
        <v>2</v>
      </c>
      <c r="D72" s="111">
        <f>COUNTIF($B69:$BS69,D71)</f>
        <v>4</v>
      </c>
      <c r="E72" s="111">
        <f>COUNTIF($B69:$BS69,E71)</f>
        <v>4</v>
      </c>
      <c r="F72" s="118">
        <f>COUNTIF($B69:$BS69,F71)</f>
        <v>3</v>
      </c>
      <c r="G72" s="23">
        <f>SUM(B72:F72)</f>
        <v>15</v>
      </c>
    </row>
    <row r="73" spans="1:16" x14ac:dyDescent="0.35">
      <c r="A73" s="12" t="s">
        <v>114</v>
      </c>
      <c r="B73" s="59">
        <f>B72/$G72</f>
        <v>0.13333333333333333</v>
      </c>
      <c r="C73" s="7">
        <f>C72/$G72</f>
        <v>0.13333333333333333</v>
      </c>
      <c r="D73" s="7">
        <f>D72/$G72</f>
        <v>0.26666666666666666</v>
      </c>
      <c r="E73" s="7">
        <f>E72/$G72</f>
        <v>0.26666666666666666</v>
      </c>
      <c r="F73" s="60">
        <f>F72/$G72</f>
        <v>0.2</v>
      </c>
    </row>
    <row r="74" spans="1:16" x14ac:dyDescent="0.35">
      <c r="A74" s="20" t="s">
        <v>186</v>
      </c>
      <c r="B74" s="45">
        <f>B73</f>
        <v>0.13333333333333333</v>
      </c>
      <c r="C74" s="106">
        <f>B74+C73</f>
        <v>0.26666666666666666</v>
      </c>
      <c r="D74" s="106">
        <f>C74+D73</f>
        <v>0.53333333333333333</v>
      </c>
      <c r="E74" s="106">
        <f>D74+E73</f>
        <v>0.8</v>
      </c>
      <c r="F74" s="48">
        <f>E74+F73</f>
        <v>1</v>
      </c>
    </row>
    <row r="78" spans="1:16" x14ac:dyDescent="0.35">
      <c r="A78" s="15" t="s">
        <v>92</v>
      </c>
      <c r="B78" s="88">
        <v>1</v>
      </c>
      <c r="D78" t="s">
        <v>93</v>
      </c>
      <c r="E78" s="88">
        <v>4</v>
      </c>
      <c r="G78" t="s">
        <v>26</v>
      </c>
      <c r="H78" s="88">
        <f>B78+E78</f>
        <v>5</v>
      </c>
    </row>
    <row r="79" spans="1:16" x14ac:dyDescent="0.35">
      <c r="A79" s="1"/>
    </row>
    <row r="80" spans="1:16" x14ac:dyDescent="0.35">
      <c r="A80" s="15" t="s">
        <v>188</v>
      </c>
      <c r="B80" s="88">
        <f>B78*(B78+1)/2</f>
        <v>1</v>
      </c>
      <c r="D80" t="s">
        <v>32</v>
      </c>
      <c r="E80" s="88">
        <f>E78*(E78+1)/2</f>
        <v>10</v>
      </c>
      <c r="G80" t="s">
        <v>33</v>
      </c>
      <c r="H80" s="88">
        <f>H78*(H78+1)/2</f>
        <v>15</v>
      </c>
      <c r="J80" t="s">
        <v>189</v>
      </c>
      <c r="K80" s="88">
        <f>H80-E80</f>
        <v>5</v>
      </c>
      <c r="M80" t="s">
        <v>185</v>
      </c>
      <c r="N80" s="88">
        <f>COMBIN(H78,E78)</f>
        <v>5</v>
      </c>
    </row>
    <row r="81" spans="1:6" x14ac:dyDescent="0.35">
      <c r="A81" s="1"/>
    </row>
    <row r="82" spans="1:6" x14ac:dyDescent="0.35">
      <c r="B82">
        <v>1</v>
      </c>
      <c r="C82">
        <f>B82+1</f>
        <v>2</v>
      </c>
      <c r="D82">
        <f>C82+1</f>
        <v>3</v>
      </c>
      <c r="E82">
        <f>D82+1</f>
        <v>4</v>
      </c>
      <c r="F82">
        <f>E82+1</f>
        <v>5</v>
      </c>
    </row>
    <row r="83" spans="1:6" x14ac:dyDescent="0.35">
      <c r="A83">
        <f>A82+1</f>
        <v>1</v>
      </c>
      <c r="B83" s="117">
        <v>0</v>
      </c>
      <c r="C83" s="111">
        <v>0</v>
      </c>
      <c r="D83" s="111">
        <v>0</v>
      </c>
      <c r="E83" s="111">
        <v>0</v>
      </c>
      <c r="F83" s="118">
        <v>1</v>
      </c>
    </row>
    <row r="84" spans="1:6" x14ac:dyDescent="0.35">
      <c r="A84">
        <f>A83+1</f>
        <v>2</v>
      </c>
      <c r="B84" s="59">
        <v>0</v>
      </c>
      <c r="C84" s="7">
        <v>0</v>
      </c>
      <c r="D84" s="7">
        <v>0</v>
      </c>
      <c r="E84" s="7">
        <v>1</v>
      </c>
      <c r="F84" s="60">
        <v>0</v>
      </c>
    </row>
    <row r="85" spans="1:6" x14ac:dyDescent="0.35">
      <c r="A85">
        <f>A84+1</f>
        <v>3</v>
      </c>
      <c r="B85" s="59">
        <v>0</v>
      </c>
      <c r="C85" s="7">
        <v>0</v>
      </c>
      <c r="D85" s="7">
        <v>1</v>
      </c>
      <c r="E85" s="7">
        <v>0</v>
      </c>
      <c r="F85" s="60">
        <v>0</v>
      </c>
    </row>
    <row r="86" spans="1:6" x14ac:dyDescent="0.35">
      <c r="A86">
        <f>A85+1</f>
        <v>4</v>
      </c>
      <c r="B86" s="59">
        <v>0</v>
      </c>
      <c r="C86" s="7">
        <v>1</v>
      </c>
      <c r="D86" s="7">
        <v>0</v>
      </c>
      <c r="E86" s="7">
        <v>0</v>
      </c>
      <c r="F86" s="60">
        <v>0</v>
      </c>
    </row>
    <row r="87" spans="1:6" x14ac:dyDescent="0.35">
      <c r="A87">
        <f>A86+1</f>
        <v>5</v>
      </c>
      <c r="B87" s="45">
        <v>1</v>
      </c>
      <c r="C87" s="106">
        <v>0</v>
      </c>
      <c r="D87" s="106">
        <v>0</v>
      </c>
      <c r="E87" s="106">
        <v>0</v>
      </c>
      <c r="F87" s="48">
        <v>0</v>
      </c>
    </row>
    <row r="88" spans="1:6" x14ac:dyDescent="0.35">
      <c r="A88" s="141" t="s">
        <v>230</v>
      </c>
      <c r="B88" s="117">
        <f>SUMPRODUCT($A82:$A87,B82:B87)</f>
        <v>5</v>
      </c>
      <c r="C88" s="111">
        <f>SUMPRODUCT($A82:$A87,C82:C87)</f>
        <v>4</v>
      </c>
      <c r="D88" s="111">
        <f>SUMPRODUCT($A82:$A87,D82:D87)</f>
        <v>3</v>
      </c>
      <c r="E88" s="111">
        <f>SUMPRODUCT($A82:$A87,E82:E87)</f>
        <v>2</v>
      </c>
      <c r="F88" s="118">
        <f>SUMPRODUCT($A82:$A87,F82:F87)</f>
        <v>1</v>
      </c>
    </row>
    <row r="89" spans="1:6" x14ac:dyDescent="0.35">
      <c r="A89" s="141" t="s">
        <v>231</v>
      </c>
      <c r="B89" s="59">
        <f>$K80-B88</f>
        <v>0</v>
      </c>
      <c r="C89" s="7">
        <f>$K80-C88</f>
        <v>1</v>
      </c>
      <c r="D89" s="7">
        <f>$K80-D88</f>
        <v>2</v>
      </c>
      <c r="E89" s="7">
        <f>$K80-E88</f>
        <v>3</v>
      </c>
      <c r="F89" s="60">
        <f>$K80-F88</f>
        <v>4</v>
      </c>
    </row>
    <row r="90" spans="1:6" x14ac:dyDescent="0.35">
      <c r="A90" s="141" t="s">
        <v>232</v>
      </c>
      <c r="B90" s="59">
        <f>$H80-B88</f>
        <v>10</v>
      </c>
      <c r="C90" s="7">
        <f>$H80-C88</f>
        <v>11</v>
      </c>
      <c r="D90" s="7">
        <f>$H80-D88</f>
        <v>12</v>
      </c>
      <c r="E90" s="7">
        <f>$H80-E88</f>
        <v>13</v>
      </c>
      <c r="F90" s="60">
        <f>$H80-F88</f>
        <v>14</v>
      </c>
    </row>
    <row r="91" spans="1:6" x14ac:dyDescent="0.35">
      <c r="A91" s="141" t="s">
        <v>233</v>
      </c>
      <c r="B91" s="59">
        <f>$E80+$B78*$E78-B90</f>
        <v>4</v>
      </c>
      <c r="C91" s="7">
        <f>$E80+$B78*$E78-C90</f>
        <v>3</v>
      </c>
      <c r="D91" s="7">
        <f>$E80+$B78*$E78-D90</f>
        <v>2</v>
      </c>
      <c r="E91" s="7">
        <f>$E80+$B78*$E78-E90</f>
        <v>1</v>
      </c>
      <c r="F91" s="60">
        <f>$E80+$B78*$E78-F90</f>
        <v>0</v>
      </c>
    </row>
    <row r="92" spans="1:6" x14ac:dyDescent="0.35">
      <c r="A92" s="141" t="s">
        <v>131</v>
      </c>
      <c r="B92" s="45">
        <f>MIN(B89,B91)</f>
        <v>0</v>
      </c>
      <c r="C92" s="106">
        <f>MIN(C89,C91)</f>
        <v>1</v>
      </c>
      <c r="D92" s="106">
        <f>MIN(D89,D91)</f>
        <v>2</v>
      </c>
      <c r="E92" s="106">
        <f>MIN(E89,E91)</f>
        <v>1</v>
      </c>
      <c r="F92" s="48">
        <f>MIN(F89,F91)</f>
        <v>0</v>
      </c>
    </row>
    <row r="93" spans="1:6" x14ac:dyDescent="0.35">
      <c r="A93" s="141"/>
    </row>
    <row r="94" spans="1:6" x14ac:dyDescent="0.35">
      <c r="A94" s="12" t="s">
        <v>131</v>
      </c>
      <c r="B94">
        <v>0</v>
      </c>
      <c r="C94">
        <f>B94+1</f>
        <v>1</v>
      </c>
      <c r="D94">
        <f>C94+1</f>
        <v>2</v>
      </c>
    </row>
    <row r="95" spans="1:6" x14ac:dyDescent="0.35">
      <c r="A95" s="12" t="s">
        <v>23</v>
      </c>
      <c r="B95" s="117">
        <f>COUNTIF($A92:$F92,B94)</f>
        <v>2</v>
      </c>
      <c r="C95" s="111">
        <f>COUNTIF($A92:$F92,C94)</f>
        <v>2</v>
      </c>
      <c r="D95" s="118">
        <f>COUNTIF($A92:$F92,D94)</f>
        <v>1</v>
      </c>
      <c r="E95" s="23">
        <f>SUM(B95:D95)</f>
        <v>5</v>
      </c>
    </row>
    <row r="96" spans="1:6" x14ac:dyDescent="0.35">
      <c r="A96" s="12" t="s">
        <v>114</v>
      </c>
      <c r="B96" s="59">
        <f>B95/$E95</f>
        <v>0.4</v>
      </c>
      <c r="C96" s="7">
        <f>C95/$E95</f>
        <v>0.4</v>
      </c>
      <c r="D96" s="60">
        <f>D95/$E95</f>
        <v>0.2</v>
      </c>
    </row>
    <row r="97" spans="1:4" x14ac:dyDescent="0.35">
      <c r="A97" s="20" t="s">
        <v>186</v>
      </c>
      <c r="B97" s="45">
        <f>B96</f>
        <v>0.4</v>
      </c>
      <c r="C97" s="106">
        <f>B97+C96</f>
        <v>0.8</v>
      </c>
      <c r="D97" s="48">
        <f>C97+D96</f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87"/>
  <dimension ref="A1:K52"/>
  <sheetViews>
    <sheetView workbookViewId="0">
      <selection activeCell="N46" sqref="N46"/>
    </sheetView>
  </sheetViews>
  <sheetFormatPr defaultRowHeight="14.5" x14ac:dyDescent="0.35"/>
  <cols>
    <col min="3" max="3" width="5.54296875" customWidth="1"/>
    <col min="6" max="6" width="5.453125" customWidth="1"/>
    <col min="7" max="7" width="10" customWidth="1"/>
    <col min="8" max="8" width="9.1796875" customWidth="1"/>
    <col min="10" max="10" width="3.81640625" customWidth="1"/>
    <col min="11" max="11" width="34.7265625" customWidth="1"/>
  </cols>
  <sheetData>
    <row r="1" spans="1:11" x14ac:dyDescent="0.35">
      <c r="A1" s="35" t="s">
        <v>234</v>
      </c>
    </row>
    <row r="2" spans="1:11" x14ac:dyDescent="0.35">
      <c r="A2" s="35"/>
    </row>
    <row r="3" spans="1:11" x14ac:dyDescent="0.35">
      <c r="A3" s="34" t="s">
        <v>120</v>
      </c>
      <c r="D3" t="s">
        <v>99</v>
      </c>
    </row>
    <row r="4" spans="1:11" x14ac:dyDescent="0.35">
      <c r="H4" s="12" t="s">
        <v>64</v>
      </c>
      <c r="I4" s="12" t="s">
        <v>65</v>
      </c>
    </row>
    <row r="5" spans="1:11" x14ac:dyDescent="0.35">
      <c r="A5" s="65" t="s">
        <v>64</v>
      </c>
      <c r="B5" s="65" t="s">
        <v>65</v>
      </c>
      <c r="D5" s="65" t="s">
        <v>64</v>
      </c>
      <c r="E5" s="65" t="s">
        <v>65</v>
      </c>
      <c r="G5" t="s">
        <v>100</v>
      </c>
      <c r="H5" s="117">
        <f>COUNT(A6:A12)</f>
        <v>7</v>
      </c>
      <c r="I5" s="118">
        <f>COUNT(B6:B12)</f>
        <v>7</v>
      </c>
      <c r="K5" t="e">
        <f ca="1">FTEXT(H5)</f>
        <v>#NAME?</v>
      </c>
    </row>
    <row r="6" spans="1:11" x14ac:dyDescent="0.35">
      <c r="A6">
        <v>11</v>
      </c>
      <c r="B6">
        <v>34</v>
      </c>
      <c r="D6" t="e">
        <f ca="1">IF(A6&lt;&gt;"",RANK_AVG(A6,$A$6:$B$12,1),"")</f>
        <v>#NAME?</v>
      </c>
      <c r="E6" t="e">
        <f ca="1">IF(B6&lt;&gt;"",RANK_AVG(B6,$A$6:$B$12,1),"")</f>
        <v>#NAME?</v>
      </c>
      <c r="G6" t="s">
        <v>123</v>
      </c>
      <c r="H6" s="59" t="e">
        <f ca="1">D13</f>
        <v>#NAME?</v>
      </c>
      <c r="I6" s="60" t="e">
        <f ca="1">E13</f>
        <v>#NAME?</v>
      </c>
      <c r="K6" t="e">
        <f ca="1">FTEXT(H6)</f>
        <v>#NAME?</v>
      </c>
    </row>
    <row r="7" spans="1:11" x14ac:dyDescent="0.35">
      <c r="A7">
        <v>15</v>
      </c>
      <c r="B7">
        <v>31</v>
      </c>
      <c r="D7" t="e">
        <f ca="1">IF(A7&lt;&gt;"",RANK_AVG(A7,$A$6:$B$12,1),"")</f>
        <v>#NAME?</v>
      </c>
      <c r="E7" t="e">
        <f ca="1">IF(B7&lt;&gt;"",RANK_AVG(B7,$A$6:$B$12,1),"")</f>
        <v>#NAME?</v>
      </c>
      <c r="G7" t="s">
        <v>131</v>
      </c>
      <c r="H7" s="45" t="e">
        <f ca="1">H5*I5+COMBIN(H5+1,2)-H6</f>
        <v>#NAME?</v>
      </c>
      <c r="I7" s="48" t="e">
        <f ca="1">H5*H5+COMBIN(I5+1,2)-I6</f>
        <v>#NAME?</v>
      </c>
      <c r="K7" t="e">
        <f ca="1">FTEXT(H7)</f>
        <v>#NAME?</v>
      </c>
    </row>
    <row r="8" spans="1:11" x14ac:dyDescent="0.35">
      <c r="A8">
        <v>9</v>
      </c>
      <c r="B8">
        <v>35</v>
      </c>
      <c r="D8" t="e">
        <f ca="1">IF(A8&lt;&gt;"",RANK_AVG(A8,$A$6:$B$12,1),"")</f>
        <v>#NAME?</v>
      </c>
      <c r="E8" t="e">
        <f ca="1">IF(B8&lt;&gt;"",RANK_AVG(B8,$A$6:$B$12,1),"")</f>
        <v>#NAME?</v>
      </c>
    </row>
    <row r="9" spans="1:11" x14ac:dyDescent="0.35">
      <c r="A9">
        <v>4</v>
      </c>
      <c r="B9">
        <v>29</v>
      </c>
      <c r="D9" t="e">
        <f ca="1">IF(A9&lt;&gt;"",RANK_AVG(A9,$A$6:$B$12,1),"")</f>
        <v>#NAME?</v>
      </c>
      <c r="E9" t="e">
        <f ca="1">IF(B9&lt;&gt;"",RANK_AVG(B9,$A$6:$B$12,1),"")</f>
        <v>#NAME?</v>
      </c>
      <c r="G9" s="38" t="s">
        <v>34</v>
      </c>
      <c r="H9" s="49">
        <v>0.05</v>
      </c>
    </row>
    <row r="10" spans="1:11" x14ac:dyDescent="0.35">
      <c r="A10">
        <v>17</v>
      </c>
      <c r="B10">
        <v>12</v>
      </c>
      <c r="D10" t="e">
        <f ca="1">IF(A10&lt;&gt;"",RANK_AVG(A10,$A$6:$B$12,1),"")</f>
        <v>#NAME?</v>
      </c>
      <c r="E10" t="e">
        <f ca="1">IF(B10&lt;&gt;"",RANK_AVG(B10,$A$6:$B$12,1),"")</f>
        <v>#NAME?</v>
      </c>
      <c r="G10" s="38" t="s">
        <v>107</v>
      </c>
      <c r="H10" s="58">
        <v>2</v>
      </c>
    </row>
    <row r="11" spans="1:11" x14ac:dyDescent="0.35">
      <c r="A11">
        <v>32</v>
      </c>
      <c r="B11">
        <v>18</v>
      </c>
      <c r="D11" t="e">
        <f ca="1">IF(A11&lt;&gt;"",RANK_AVG(A11,$A$6:$B$12,1),"")</f>
        <v>#NAME?</v>
      </c>
      <c r="E11" t="e">
        <f ca="1">IF(B11&lt;&gt;"",RANK_AVG(B11,$A$6:$B$12,1),"")</f>
        <v>#NAME?</v>
      </c>
      <c r="G11" s="38" t="s">
        <v>131</v>
      </c>
      <c r="H11" s="58" t="e">
        <f ca="1">MIN(H7:I7)</f>
        <v>#NAME?</v>
      </c>
      <c r="K11" t="e">
        <f ca="1">FTEXT(H11)</f>
        <v>#NAME?</v>
      </c>
    </row>
    <row r="12" spans="1:11" x14ac:dyDescent="0.35">
      <c r="A12" s="10">
        <v>14</v>
      </c>
      <c r="B12" s="10">
        <v>30</v>
      </c>
      <c r="D12" s="10" t="e">
        <f ca="1">IF(A12&lt;&gt;"",RANK_AVG(A12,$A$6:$B$12,1),"")</f>
        <v>#NAME?</v>
      </c>
      <c r="E12" s="10" t="e">
        <f ca="1">IF(B12&lt;&gt;"",RANK_AVG(B12,$A$6:$B$12,1),"")</f>
        <v>#NAME?</v>
      </c>
      <c r="G12" s="23" t="s">
        <v>132</v>
      </c>
      <c r="H12" s="58" t="e">
        <f ca="1">MWINV(H9,H5,I5)</f>
        <v>#NAME?</v>
      </c>
      <c r="K12" t="e">
        <f ca="1">FTEXT(H12)</f>
        <v>#NAME?</v>
      </c>
    </row>
    <row r="13" spans="1:11" x14ac:dyDescent="0.35">
      <c r="A13">
        <f>AVERAGE(A6:A12)</f>
        <v>14.571428571428571</v>
      </c>
      <c r="B13">
        <f>AVERAGE(B6:B12)</f>
        <v>27</v>
      </c>
      <c r="D13" t="e">
        <f ca="1">SUM(D6:D12)</f>
        <v>#NAME?</v>
      </c>
      <c r="E13" t="e">
        <f ca="1">SUM(E6:E12)</f>
        <v>#NAME?</v>
      </c>
      <c r="G13" s="23" t="s">
        <v>104</v>
      </c>
      <c r="H13" s="47" t="e">
        <f ca="1">IF(MIN(H11:H11)&lt;H12,"yes","no")</f>
        <v>#NAME?</v>
      </c>
      <c r="K13" t="e">
        <f ca="1">FTEXT(H13)</f>
        <v>#NAME?</v>
      </c>
    </row>
    <row r="16" spans="1:11" x14ac:dyDescent="0.35">
      <c r="G16" t="s">
        <v>48</v>
      </c>
      <c r="H16" s="116" t="e">
        <f ca="1">MWDIST(H11,H5,I5)</f>
        <v>#NAME?</v>
      </c>
      <c r="K16" t="e">
        <f ca="1">FTEXT(H16)</f>
        <v>#NAME?</v>
      </c>
    </row>
    <row r="17" spans="1:11" x14ac:dyDescent="0.35">
      <c r="G17" t="s">
        <v>132</v>
      </c>
      <c r="H17" s="50" t="e">
        <f ca="1">MWINV(H9,H5,I5)</f>
        <v>#NAME?</v>
      </c>
      <c r="K17" t="e">
        <f ca="1">FTEXT(H17)</f>
        <v>#NAME?</v>
      </c>
    </row>
    <row r="20" spans="1:11" x14ac:dyDescent="0.35">
      <c r="A20" s="34" t="s">
        <v>120</v>
      </c>
      <c r="D20" t="s">
        <v>99</v>
      </c>
    </row>
    <row r="21" spans="1:11" x14ac:dyDescent="0.35">
      <c r="H21" s="12" t="s">
        <v>64</v>
      </c>
      <c r="I21" s="12" t="s">
        <v>65</v>
      </c>
    </row>
    <row r="22" spans="1:11" x14ac:dyDescent="0.35">
      <c r="A22" s="65" t="s">
        <v>64</v>
      </c>
      <c r="B22" s="65" t="s">
        <v>65</v>
      </c>
      <c r="D22" s="65" t="s">
        <v>64</v>
      </c>
      <c r="E22" s="65" t="s">
        <v>65</v>
      </c>
      <c r="G22" t="s">
        <v>100</v>
      </c>
      <c r="H22" s="117">
        <f>COUNT(A23:A29)</f>
        <v>7</v>
      </c>
      <c r="I22" s="118">
        <f>COUNT(B23:B29)</f>
        <v>6</v>
      </c>
      <c r="K22" t="e">
        <f ca="1">FTEXT(H22)</f>
        <v>#NAME?</v>
      </c>
    </row>
    <row r="23" spans="1:11" x14ac:dyDescent="0.35">
      <c r="A23">
        <v>11</v>
      </c>
      <c r="B23">
        <v>34</v>
      </c>
      <c r="D23" t="e">
        <f ca="1">IF(A23&lt;&gt;"",RANK_AVG(A23,$A$23:$B$29,1),"")</f>
        <v>#NAME?</v>
      </c>
      <c r="E23" t="e">
        <f ca="1">IF(B23&lt;&gt;"",RANK_AVG(B23,$A$23:$B$29,1),"")</f>
        <v>#NAME?</v>
      </c>
      <c r="G23" t="s">
        <v>123</v>
      </c>
      <c r="H23" s="59" t="e">
        <f ca="1">D30</f>
        <v>#NAME?</v>
      </c>
      <c r="I23" s="60" t="e">
        <f ca="1">E30</f>
        <v>#NAME?</v>
      </c>
      <c r="K23" t="e">
        <f ca="1">FTEXT(H23)</f>
        <v>#NAME?</v>
      </c>
    </row>
    <row r="24" spans="1:11" x14ac:dyDescent="0.35">
      <c r="A24">
        <v>15</v>
      </c>
      <c r="B24">
        <v>31</v>
      </c>
      <c r="D24" t="e">
        <f ca="1">IF(A24&lt;&gt;"",RANK_AVG(A24,$A$23:$B$29,1),"")</f>
        <v>#NAME?</v>
      </c>
      <c r="E24" t="e">
        <f ca="1">IF(B24&lt;&gt;"",RANK_AVG(B24,$A$23:$B$29,1),"")</f>
        <v>#NAME?</v>
      </c>
      <c r="G24" t="s">
        <v>131</v>
      </c>
      <c r="H24" s="45" t="e">
        <f ca="1">H22*I22+COMBIN(H22+1,2)-H23</f>
        <v>#NAME?</v>
      </c>
      <c r="I24" s="48" t="e">
        <f ca="1">H22*I22+COMBIN(I22+1,2)-I23</f>
        <v>#NAME?</v>
      </c>
      <c r="K24" t="e">
        <f ca="1">FTEXT(H24)</f>
        <v>#NAME?</v>
      </c>
    </row>
    <row r="25" spans="1:11" x14ac:dyDescent="0.35">
      <c r="A25">
        <v>9</v>
      </c>
      <c r="B25">
        <v>35</v>
      </c>
      <c r="D25" t="e">
        <f ca="1">IF(A25&lt;&gt;"",RANK_AVG(A25,$A$23:$B$29,1),"")</f>
        <v>#NAME?</v>
      </c>
      <c r="E25" t="e">
        <f ca="1">IF(B25&lt;&gt;"",RANK_AVG(B25,$A$23:$B$29,1),"")</f>
        <v>#NAME?</v>
      </c>
    </row>
    <row r="26" spans="1:11" x14ac:dyDescent="0.35">
      <c r="A26">
        <v>4</v>
      </c>
      <c r="B26">
        <v>29</v>
      </c>
      <c r="D26" t="e">
        <f ca="1">IF(A26&lt;&gt;"",RANK_AVG(A26,$A$23:$B$29,1),"")</f>
        <v>#NAME?</v>
      </c>
      <c r="E26" t="e">
        <f ca="1">IF(B26&lt;&gt;"",RANK_AVG(B26,$A$23:$B$29,1),"")</f>
        <v>#NAME?</v>
      </c>
      <c r="G26" s="38" t="s">
        <v>34</v>
      </c>
      <c r="H26" s="49">
        <v>0.05</v>
      </c>
    </row>
    <row r="27" spans="1:11" x14ac:dyDescent="0.35">
      <c r="A27">
        <v>17</v>
      </c>
      <c r="B27">
        <v>12</v>
      </c>
      <c r="D27" t="e">
        <f ca="1">IF(A27&lt;&gt;"",RANK_AVG(A27,$A$23:$B$29,1),"")</f>
        <v>#NAME?</v>
      </c>
      <c r="E27" t="e">
        <f ca="1">IF(B27&lt;&gt;"",RANK_AVG(B27,$A$23:$B$29,1),"")</f>
        <v>#NAME?</v>
      </c>
      <c r="G27" s="38" t="s">
        <v>107</v>
      </c>
      <c r="H27" s="58">
        <v>2</v>
      </c>
    </row>
    <row r="28" spans="1:11" x14ac:dyDescent="0.35">
      <c r="A28">
        <v>32</v>
      </c>
      <c r="B28">
        <v>18</v>
      </c>
      <c r="D28" t="e">
        <f ca="1">IF(A28&lt;&gt;"",RANK_AVG(A28,$A$23:$B$29,1),"")</f>
        <v>#NAME?</v>
      </c>
      <c r="E28" t="e">
        <f ca="1">IF(B28&lt;&gt;"",RANK_AVG(B28,$A$23:$B$29,1),"")</f>
        <v>#NAME?</v>
      </c>
      <c r="G28" s="38" t="s">
        <v>131</v>
      </c>
      <c r="H28" s="58" t="e">
        <f ca="1">MIN(H24:I24)</f>
        <v>#NAME?</v>
      </c>
      <c r="K28" t="e">
        <f ca="1">FTEXT(H28)</f>
        <v>#NAME?</v>
      </c>
    </row>
    <row r="29" spans="1:11" x14ac:dyDescent="0.35">
      <c r="A29" s="10">
        <v>14</v>
      </c>
      <c r="B29" s="10"/>
      <c r="D29" s="10" t="e">
        <f ca="1">IF(A29&lt;&gt;"",RANK_AVG(A29,$A$23:$B$29,1),"")</f>
        <v>#NAME?</v>
      </c>
      <c r="E29" s="10" t="str">
        <f>IF(B29&lt;&gt;"",RANK_AVG(B29,$A$23:$B$29,1),"")</f>
        <v/>
      </c>
      <c r="G29" s="23" t="s">
        <v>132</v>
      </c>
      <c r="H29" s="58" t="e">
        <f ca="1">MWINV(H26,H22,I22)</f>
        <v>#NAME?</v>
      </c>
      <c r="K29" t="e">
        <f ca="1">FTEXT(H29)</f>
        <v>#NAME?</v>
      </c>
    </row>
    <row r="30" spans="1:11" x14ac:dyDescent="0.35">
      <c r="A30">
        <f>AVERAGE(A23:A29)</f>
        <v>14.571428571428571</v>
      </c>
      <c r="B30">
        <f>AVERAGE(B23:B29)</f>
        <v>26.5</v>
      </c>
      <c r="D30" t="e">
        <f ca="1">SUM(D23:D29)</f>
        <v>#NAME?</v>
      </c>
      <c r="E30" t="e">
        <f ca="1">SUM(E23:E29)</f>
        <v>#NAME?</v>
      </c>
      <c r="G30" s="23" t="s">
        <v>104</v>
      </c>
      <c r="H30" s="47" t="e">
        <f ca="1">IF(MIN(H28:H28)&lt;H29,"yes","no")</f>
        <v>#NAME?</v>
      </c>
      <c r="K30" t="e">
        <f ca="1">FTEXT(H30)</f>
        <v>#NAME?</v>
      </c>
    </row>
    <row r="33" spans="1:11" x14ac:dyDescent="0.35">
      <c r="G33" t="s">
        <v>48</v>
      </c>
      <c r="H33" s="116" t="e">
        <f ca="1">MWDIST(H28,H22,I22)</f>
        <v>#NAME?</v>
      </c>
      <c r="K33" t="e">
        <f ca="1">FTEXT(H33)</f>
        <v>#NAME?</v>
      </c>
    </row>
    <row r="34" spans="1:11" x14ac:dyDescent="0.35">
      <c r="G34" t="s">
        <v>132</v>
      </c>
      <c r="H34" s="50" t="e">
        <f ca="1">MWINV(H26,H22,I22)</f>
        <v>#NAME?</v>
      </c>
      <c r="K34" t="e">
        <f ca="1">FTEXT(H34)</f>
        <v>#NAME?</v>
      </c>
    </row>
    <row r="38" spans="1:11" x14ac:dyDescent="0.35">
      <c r="A38" s="34" t="s">
        <v>120</v>
      </c>
      <c r="D38" t="s">
        <v>99</v>
      </c>
    </row>
    <row r="39" spans="1:11" x14ac:dyDescent="0.35">
      <c r="H39" s="12" t="s">
        <v>64</v>
      </c>
      <c r="I39" s="12" t="s">
        <v>65</v>
      </c>
    </row>
    <row r="40" spans="1:11" x14ac:dyDescent="0.35">
      <c r="A40" s="65" t="s">
        <v>64</v>
      </c>
      <c r="B40" s="65" t="s">
        <v>65</v>
      </c>
      <c r="D40" s="65" t="s">
        <v>64</v>
      </c>
      <c r="E40" s="65" t="s">
        <v>65</v>
      </c>
      <c r="G40" t="s">
        <v>100</v>
      </c>
      <c r="H40" s="117">
        <f>COUNT(A41:A44)</f>
        <v>4</v>
      </c>
      <c r="I40" s="118">
        <f>COUNT(B41:B44)</f>
        <v>4</v>
      </c>
      <c r="K40" t="e">
        <f ca="1">FTEXT(H40)</f>
        <v>#NAME?</v>
      </c>
    </row>
    <row r="41" spans="1:11" x14ac:dyDescent="0.35">
      <c r="A41">
        <v>29</v>
      </c>
      <c r="B41">
        <v>34</v>
      </c>
      <c r="D41" t="e">
        <f ca="1">IF(A41&lt;&gt;"",RANK_AVG(A41,$A$41:$B$44,1),"")</f>
        <v>#NAME?</v>
      </c>
      <c r="E41" t="e">
        <f ca="1">IF(B41&lt;&gt;"",RANK_AVG(B41,$A$41:$B$44,1),"")</f>
        <v>#NAME?</v>
      </c>
      <c r="G41" t="s">
        <v>123</v>
      </c>
      <c r="H41" s="59" t="e">
        <f ca="1">D45</f>
        <v>#NAME?</v>
      </c>
      <c r="I41" s="60" t="e">
        <f ca="1">E45</f>
        <v>#NAME?</v>
      </c>
      <c r="K41" t="e">
        <f ca="1">FTEXT(H41)</f>
        <v>#NAME?</v>
      </c>
    </row>
    <row r="42" spans="1:11" x14ac:dyDescent="0.35">
      <c r="A42">
        <v>15</v>
      </c>
      <c r="B42">
        <v>31</v>
      </c>
      <c r="D42" t="e">
        <f ca="1">IF(A42&lt;&gt;"",RANK_AVG(A42,$A$41:$B$44,1),"")</f>
        <v>#NAME?</v>
      </c>
      <c r="E42" t="e">
        <f ca="1">IF(B42&lt;&gt;"",RANK_AVG(B42,$A$41:$B$44,1),"")</f>
        <v>#NAME?</v>
      </c>
      <c r="G42" t="s">
        <v>131</v>
      </c>
      <c r="H42" s="45" t="e">
        <f ca="1">H40*I40+COMBIN(H40+1,2)-H41</f>
        <v>#NAME?</v>
      </c>
      <c r="I42" s="48" t="e">
        <f ca="1">H40*H40+COMBIN(I40+1,2)-I41</f>
        <v>#NAME?</v>
      </c>
      <c r="K42" t="e">
        <f ca="1">FTEXT(H42)</f>
        <v>#NAME?</v>
      </c>
    </row>
    <row r="43" spans="1:11" x14ac:dyDescent="0.35">
      <c r="A43">
        <v>9</v>
      </c>
      <c r="B43">
        <v>35</v>
      </c>
      <c r="D43" t="e">
        <f ca="1">IF(A43&lt;&gt;"",RANK_AVG(A43,$A$41:$B$44,1),"")</f>
        <v>#NAME?</v>
      </c>
      <c r="E43" t="e">
        <f ca="1">IF(B43&lt;&gt;"",RANK_AVG(B43,$A$41:$B$44,1),"")</f>
        <v>#NAME?</v>
      </c>
    </row>
    <row r="44" spans="1:11" x14ac:dyDescent="0.35">
      <c r="A44" s="10">
        <v>4</v>
      </c>
      <c r="B44" s="10">
        <v>11</v>
      </c>
      <c r="D44" s="10" t="e">
        <f ca="1">IF(A44&lt;&gt;"",RANK_AVG(A44,$A$41:$B$44,1),"")</f>
        <v>#NAME?</v>
      </c>
      <c r="E44" s="10" t="e">
        <f ca="1">IF(B44&lt;&gt;"",RANK_AVG(B44,$A$41:$B$44,1),"")</f>
        <v>#NAME?</v>
      </c>
      <c r="G44" s="38" t="s">
        <v>34</v>
      </c>
      <c r="H44" s="49">
        <v>0.2</v>
      </c>
    </row>
    <row r="45" spans="1:11" x14ac:dyDescent="0.35">
      <c r="A45">
        <f>AVERAGE(A41:A44)</f>
        <v>14.25</v>
      </c>
      <c r="B45">
        <f>AVERAGE(B41:B44)</f>
        <v>27.75</v>
      </c>
      <c r="D45" t="e">
        <f ca="1">SUM(D41:D44)</f>
        <v>#NAME?</v>
      </c>
      <c r="E45" t="e">
        <f ca="1">SUM(E41:E44)</f>
        <v>#NAME?</v>
      </c>
      <c r="G45" s="38" t="s">
        <v>107</v>
      </c>
      <c r="H45" s="58">
        <v>2</v>
      </c>
    </row>
    <row r="46" spans="1:11" x14ac:dyDescent="0.35">
      <c r="G46" s="38" t="s">
        <v>131</v>
      </c>
      <c r="H46" s="58" t="e">
        <f ca="1">MIN(H42:I42)</f>
        <v>#NAME?</v>
      </c>
      <c r="K46" t="e">
        <f ca="1">FTEXT(H46)</f>
        <v>#NAME?</v>
      </c>
    </row>
    <row r="47" spans="1:11" x14ac:dyDescent="0.35">
      <c r="A47" s="7"/>
      <c r="B47" s="7"/>
      <c r="C47" s="7"/>
      <c r="D47" s="7"/>
      <c r="E47" s="7"/>
      <c r="G47" s="23" t="s">
        <v>132</v>
      </c>
      <c r="H47" s="58" t="e">
        <f ca="1">MWINV(H44,H40,I40)</f>
        <v>#NAME?</v>
      </c>
      <c r="K47" t="e">
        <f ca="1">FTEXT(H47)</f>
        <v>#NAME?</v>
      </c>
    </row>
    <row r="48" spans="1:11" x14ac:dyDescent="0.35">
      <c r="A48" s="7"/>
      <c r="B48" s="7"/>
      <c r="C48" s="7"/>
      <c r="D48" s="7"/>
      <c r="E48" s="7"/>
      <c r="G48" s="23" t="s">
        <v>104</v>
      </c>
      <c r="H48" s="47" t="e">
        <f ca="1">IF(MIN(H46:H46)&lt;H47,"yes","no")</f>
        <v>#NAME?</v>
      </c>
      <c r="K48" t="e">
        <f ca="1">FTEXT(H48)</f>
        <v>#NAME?</v>
      </c>
    </row>
    <row r="49" spans="1:11" x14ac:dyDescent="0.35">
      <c r="A49" s="7"/>
      <c r="B49" s="7"/>
      <c r="C49" s="7"/>
      <c r="D49" s="7"/>
      <c r="E49" s="7"/>
    </row>
    <row r="51" spans="1:11" x14ac:dyDescent="0.35">
      <c r="G51" t="s">
        <v>48</v>
      </c>
      <c r="H51" s="116" t="e">
        <f ca="1">MWDIST(H46,H40,I40)</f>
        <v>#NAME?</v>
      </c>
      <c r="K51" t="e">
        <f ca="1">FTEXT(H51)</f>
        <v>#NAME?</v>
      </c>
    </row>
    <row r="52" spans="1:11" x14ac:dyDescent="0.35">
      <c r="G52" t="s">
        <v>132</v>
      </c>
      <c r="H52" s="50" t="e">
        <f ca="1">MWINV(H44,H40,I40)</f>
        <v>#NAME?</v>
      </c>
      <c r="K52" t="e">
        <f ca="1">FTEXT(H52)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2"/>
  <dimension ref="A1:U14"/>
  <sheetViews>
    <sheetView workbookViewId="0">
      <selection activeCell="AE25" sqref="AE25"/>
    </sheetView>
  </sheetViews>
  <sheetFormatPr defaultRowHeight="14.5" x14ac:dyDescent="0.35"/>
  <cols>
    <col min="1" max="4" width="6.1796875" customWidth="1"/>
    <col min="5" max="5" width="5.26953125" customWidth="1"/>
    <col min="15" max="15" width="3.7265625" customWidth="1"/>
    <col min="19" max="19" width="7.26953125" customWidth="1"/>
    <col min="21" max="21" width="8" customWidth="1"/>
  </cols>
  <sheetData>
    <row r="1" spans="1:21" x14ac:dyDescent="0.35">
      <c r="A1" s="1" t="s">
        <v>300</v>
      </c>
    </row>
    <row r="3" spans="1:21" x14ac:dyDescent="0.35">
      <c r="A3" s="212" t="s">
        <v>301</v>
      </c>
      <c r="B3" s="212" t="s">
        <v>302</v>
      </c>
      <c r="C3" s="212" t="s">
        <v>303</v>
      </c>
      <c r="D3" s="212" t="s">
        <v>304</v>
      </c>
      <c r="F3" t="s">
        <v>305</v>
      </c>
      <c r="K3" t="s">
        <v>306</v>
      </c>
      <c r="P3" t="s">
        <v>307</v>
      </c>
    </row>
    <row r="4" spans="1:21" ht="15" thickBot="1" x14ac:dyDescent="0.4">
      <c r="A4" s="212">
        <v>61</v>
      </c>
      <c r="B4" s="212">
        <v>82</v>
      </c>
      <c r="C4" s="212">
        <v>79</v>
      </c>
      <c r="D4" s="212">
        <v>75</v>
      </c>
    </row>
    <row r="5" spans="1:21" ht="15" thickTop="1" x14ac:dyDescent="0.35">
      <c r="A5" s="161">
        <v>80</v>
      </c>
      <c r="B5" s="161">
        <v>108</v>
      </c>
      <c r="C5" s="161">
        <v>95</v>
      </c>
      <c r="D5" s="161">
        <v>80</v>
      </c>
      <c r="F5" s="110" t="s">
        <v>308</v>
      </c>
      <c r="G5" s="110" t="s">
        <v>309</v>
      </c>
      <c r="H5" s="110" t="s">
        <v>48</v>
      </c>
      <c r="I5" s="110" t="s">
        <v>2</v>
      </c>
      <c r="K5" s="110" t="s">
        <v>308</v>
      </c>
      <c r="L5" s="110" t="s">
        <v>309</v>
      </c>
      <c r="M5" s="110" t="s">
        <v>48</v>
      </c>
      <c r="N5" s="110" t="s">
        <v>2</v>
      </c>
      <c r="P5" t="s">
        <v>310</v>
      </c>
      <c r="Q5" s="168">
        <v>0.05</v>
      </c>
    </row>
    <row r="6" spans="1:21" x14ac:dyDescent="0.35">
      <c r="A6" s="161">
        <v>73</v>
      </c>
      <c r="B6" s="161">
        <v>92</v>
      </c>
      <c r="C6" s="161">
        <v>74</v>
      </c>
      <c r="D6" s="161">
        <v>64</v>
      </c>
      <c r="F6" s="211" t="str">
        <f>A3</f>
        <v>M1</v>
      </c>
      <c r="G6" s="211" t="str">
        <f>B3</f>
        <v>M2</v>
      </c>
      <c r="H6" t="e">
        <f ca="1">MWTEST(A4:A11,B4:B11)</f>
        <v>#NAME?</v>
      </c>
      <c r="I6">
        <f>ABS(AVERAGE(A4:A11)-AVERAGE(B4:B11))</f>
        <v>14.642857142857139</v>
      </c>
      <c r="K6" s="211" t="str">
        <f>A3</f>
        <v>M1</v>
      </c>
      <c r="L6" s="211" t="str">
        <f>B3</f>
        <v>M2</v>
      </c>
      <c r="M6" t="e">
        <f ca="1">MW_EXACT(A4:A11,B4:B11)</f>
        <v>#NAME?</v>
      </c>
      <c r="N6">
        <f>ABS(AVERAGE(A4:A11)-AVERAGE(B4:B11))</f>
        <v>14.642857142857139</v>
      </c>
      <c r="P6" t="s">
        <v>311</v>
      </c>
      <c r="Q6" s="103">
        <f ca="1">COUNT(R9:R14)</f>
        <v>0</v>
      </c>
    </row>
    <row r="7" spans="1:21" ht="15" thickBot="1" x14ac:dyDescent="0.4">
      <c r="A7" s="161">
        <v>57</v>
      </c>
      <c r="B7" s="161">
        <v>80</v>
      </c>
      <c r="C7" s="161">
        <v>115</v>
      </c>
      <c r="D7" s="161">
        <v>66</v>
      </c>
      <c r="F7" s="211" t="str">
        <f>A3</f>
        <v>M1</v>
      </c>
      <c r="G7" s="211" t="str">
        <f>C3</f>
        <v>M3</v>
      </c>
      <c r="H7" t="e">
        <f ca="1">MWTEST(A4:A11,C4:C11)</f>
        <v>#NAME?</v>
      </c>
      <c r="I7">
        <f>ABS(AVERAGE(A4:A11)-AVERAGE(C4:C11))</f>
        <v>19.767857142857139</v>
      </c>
      <c r="K7" s="211" t="str">
        <f>A3</f>
        <v>M1</v>
      </c>
      <c r="L7" s="211" t="str">
        <f>C3</f>
        <v>M3</v>
      </c>
      <c r="M7" t="e">
        <f ca="1">MW_EXACT(A4:A11,C4:C11)</f>
        <v>#NAME?</v>
      </c>
      <c r="N7">
        <f>ABS(AVERAGE(A4:A11)-AVERAGE(C4:C11))</f>
        <v>19.767857142857139</v>
      </c>
    </row>
    <row r="8" spans="1:21" ht="15" thickTop="1" x14ac:dyDescent="0.35">
      <c r="A8" s="161">
        <v>79</v>
      </c>
      <c r="B8" s="161">
        <v>65</v>
      </c>
      <c r="C8" s="161">
        <v>80</v>
      </c>
      <c r="D8" s="161">
        <v>56</v>
      </c>
      <c r="F8" s="211" t="str">
        <f>A3</f>
        <v>M1</v>
      </c>
      <c r="G8" s="211" t="str">
        <f>D3</f>
        <v>M4</v>
      </c>
      <c r="H8" t="e">
        <f ca="1">MWTEST(A4:A11,D4:D11)</f>
        <v>#NAME?</v>
      </c>
      <c r="I8">
        <f>ABS(AVERAGE(A4:A11)-AVERAGE(D4:D11))</f>
        <v>3.5714285714285765</v>
      </c>
      <c r="K8" s="211" t="str">
        <f>A3</f>
        <v>M1</v>
      </c>
      <c r="L8" s="211" t="str">
        <f>D3</f>
        <v>M4</v>
      </c>
      <c r="M8" t="e">
        <f ca="1">MW_EXACT(A4:A11,D4:D11)</f>
        <v>#NAME?</v>
      </c>
      <c r="N8">
        <f>ABS(AVERAGE(A4:A11)-AVERAGE(D4:D11))</f>
        <v>3.5714285714285765</v>
      </c>
      <c r="P8" s="110" t="s">
        <v>308</v>
      </c>
      <c r="Q8" s="110" t="s">
        <v>309</v>
      </c>
      <c r="R8" s="110" t="s">
        <v>48</v>
      </c>
      <c r="S8" s="110" t="s">
        <v>312</v>
      </c>
      <c r="T8" s="110" t="s">
        <v>94</v>
      </c>
      <c r="U8" s="110" t="s">
        <v>104</v>
      </c>
    </row>
    <row r="9" spans="1:21" x14ac:dyDescent="0.35">
      <c r="A9" s="161">
        <v>65</v>
      </c>
      <c r="B9" s="161">
        <v>79</v>
      </c>
      <c r="C9" s="161">
        <v>83</v>
      </c>
      <c r="D9" s="161">
        <v>43</v>
      </c>
      <c r="F9" s="211" t="str">
        <f>B3</f>
        <v>M2</v>
      </c>
      <c r="G9" s="211" t="str">
        <f>C3</f>
        <v>M3</v>
      </c>
      <c r="H9" t="e">
        <f ca="1">MWTEST(B4:B11,C4:C11)</f>
        <v>#NAME?</v>
      </c>
      <c r="I9">
        <f>ABS(AVERAGE(B4:B11)-AVERAGE(C4:C11))</f>
        <v>5.125</v>
      </c>
      <c r="K9" s="211" t="str">
        <f>B3</f>
        <v>M2</v>
      </c>
      <c r="L9" s="211" t="str">
        <f>C3</f>
        <v>M3</v>
      </c>
      <c r="M9" t="e">
        <f ca="1">MW_EXACT(B4:B11,C4:C11)</f>
        <v>#NAME?</v>
      </c>
      <c r="N9">
        <f>ABS(AVERAGE(B4:B11)-AVERAGE(C4:C11))</f>
        <v>5.125</v>
      </c>
      <c r="P9" s="211" t="e">
        <f t="array" aca="1" ref="P9:R14" ca="1">QSORTRows(K6:M11,3)</f>
        <v>#NAME?</v>
      </c>
      <c r="Q9" s="211" t="e">
        <f ca="1"/>
        <v>#NAME?</v>
      </c>
      <c r="R9" t="e">
        <f ca="1"/>
        <v>#NAME?</v>
      </c>
      <c r="S9" s="211">
        <v>1</v>
      </c>
      <c r="T9" t="e">
        <f ca="1">Q$5*S9/Q$6</f>
        <v>#DIV/0!</v>
      </c>
      <c r="U9" s="211" t="e">
        <f ca="1">IF(U10="yes","yes",IF(R9&lt;T9,"yes","no"))</f>
        <v>#NAME?</v>
      </c>
    </row>
    <row r="10" spans="1:21" x14ac:dyDescent="0.35">
      <c r="A10" s="161">
        <v>53</v>
      </c>
      <c r="B10" s="161">
        <v>72</v>
      </c>
      <c r="C10" s="161">
        <v>94</v>
      </c>
      <c r="D10" s="161">
        <v>59</v>
      </c>
      <c r="F10" s="211" t="str">
        <f>B3</f>
        <v>M2</v>
      </c>
      <c r="G10" s="211" t="str">
        <f>D3</f>
        <v>M4</v>
      </c>
      <c r="H10" t="e">
        <f ca="1">MWTEST(B4:B11,D4:D11)</f>
        <v>#NAME?</v>
      </c>
      <c r="I10">
        <f>ABS(AVERAGE(B4:B11)-AVERAGE(D4:D11))</f>
        <v>18.214285714285715</v>
      </c>
      <c r="K10" s="211" t="str">
        <f>B3</f>
        <v>M2</v>
      </c>
      <c r="L10" s="211" t="str">
        <f>D3</f>
        <v>M4</v>
      </c>
      <c r="M10" t="e">
        <f ca="1">MW_EXACT(B4:B11,D4:D11)</f>
        <v>#NAME?</v>
      </c>
      <c r="N10">
        <f>ABS(AVERAGE(B4:B11)-AVERAGE(D4:D11))</f>
        <v>18.214285714285715</v>
      </c>
      <c r="P10" s="211" t="e">
        <f ca="1"/>
        <v>#NAME?</v>
      </c>
      <c r="Q10" s="211" t="e">
        <f ca="1"/>
        <v>#NAME?</v>
      </c>
      <c r="R10" t="e">
        <f ca="1"/>
        <v>#NAME?</v>
      </c>
      <c r="S10" s="211">
        <f>S9+1</f>
        <v>2</v>
      </c>
      <c r="T10" t="e">
        <f t="shared" ref="T10:T14" ca="1" si="0">Q$5*S10/Q$6</f>
        <v>#DIV/0!</v>
      </c>
      <c r="U10" s="211" t="e">
        <f t="shared" ref="U10:U14" ca="1" si="1">IF(U11="yes","yes",IF(R10&lt;T10,"yes","no"))</f>
        <v>#NAME?</v>
      </c>
    </row>
    <row r="11" spans="1:21" x14ac:dyDescent="0.35">
      <c r="A11" s="210"/>
      <c r="B11" s="210">
        <v>74</v>
      </c>
      <c r="C11" s="210">
        <v>73</v>
      </c>
      <c r="D11" s="210"/>
      <c r="F11" s="210" t="str">
        <f>C3</f>
        <v>M3</v>
      </c>
      <c r="G11" s="210" t="str">
        <f>D3</f>
        <v>M4</v>
      </c>
      <c r="H11" s="106" t="e">
        <f ca="1">MWTEST(C4:C11,D4:D11)</f>
        <v>#NAME?</v>
      </c>
      <c r="I11" s="106">
        <f>ABS(AVERAGE(C4:C11)-AVERAGE(D4:D11))</f>
        <v>23.339285714285715</v>
      </c>
      <c r="K11" s="210" t="str">
        <f>C3</f>
        <v>M3</v>
      </c>
      <c r="L11" s="210" t="str">
        <f>D3</f>
        <v>M4</v>
      </c>
      <c r="M11" s="106" t="e">
        <f ca="1">MW_EXACT(C4:C11,D4:D11)</f>
        <v>#NAME?</v>
      </c>
      <c r="N11" s="106">
        <f>ABS(AVERAGE(C4:C11)-AVERAGE(D4:D11))</f>
        <v>23.339285714285715</v>
      </c>
      <c r="P11" s="211" t="e">
        <f ca="1"/>
        <v>#NAME?</v>
      </c>
      <c r="Q11" s="211" t="e">
        <f ca="1"/>
        <v>#NAME?</v>
      </c>
      <c r="R11" t="e">
        <f ca="1"/>
        <v>#NAME?</v>
      </c>
      <c r="S11" s="214">
        <f t="shared" ref="S11:S14" si="2">S10+1</f>
        <v>3</v>
      </c>
      <c r="T11" t="e">
        <f t="shared" ca="1" si="0"/>
        <v>#DIV/0!</v>
      </c>
      <c r="U11" s="211" t="e">
        <f t="shared" ca="1" si="1"/>
        <v>#NAME?</v>
      </c>
    </row>
    <row r="12" spans="1:21" x14ac:dyDescent="0.35">
      <c r="A12" s="178">
        <f>AVERAGE(A4:A11)</f>
        <v>66.857142857142861</v>
      </c>
      <c r="B12" s="178">
        <f t="shared" ref="B12:D12" si="3">AVERAGE(B4:B11)</f>
        <v>81.5</v>
      </c>
      <c r="C12" s="178">
        <f t="shared" si="3"/>
        <v>86.625</v>
      </c>
      <c r="D12" s="178">
        <f t="shared" si="3"/>
        <v>63.285714285714285</v>
      </c>
      <c r="P12" s="211" t="e">
        <f ca="1"/>
        <v>#NAME?</v>
      </c>
      <c r="Q12" s="211" t="e">
        <f ca="1"/>
        <v>#NAME?</v>
      </c>
      <c r="R12" t="e">
        <f ca="1"/>
        <v>#NAME?</v>
      </c>
      <c r="S12" s="214">
        <f t="shared" si="2"/>
        <v>4</v>
      </c>
      <c r="T12" t="e">
        <f t="shared" ca="1" si="0"/>
        <v>#DIV/0!</v>
      </c>
      <c r="U12" s="211" t="e">
        <f t="shared" ca="1" si="1"/>
        <v>#NAME?</v>
      </c>
    </row>
    <row r="13" spans="1:21" x14ac:dyDescent="0.35">
      <c r="P13" s="211" t="e">
        <f ca="1"/>
        <v>#NAME?</v>
      </c>
      <c r="Q13" s="211" t="e">
        <f ca="1"/>
        <v>#NAME?</v>
      </c>
      <c r="R13" t="e">
        <f ca="1"/>
        <v>#NAME?</v>
      </c>
      <c r="S13" s="214">
        <f t="shared" si="2"/>
        <v>5</v>
      </c>
      <c r="T13" t="e">
        <f t="shared" ca="1" si="0"/>
        <v>#DIV/0!</v>
      </c>
      <c r="U13" s="211" t="e">
        <f t="shared" ca="1" si="1"/>
        <v>#NAME?</v>
      </c>
    </row>
    <row r="14" spans="1:21" x14ac:dyDescent="0.35">
      <c r="P14" s="210" t="e">
        <f ca="1"/>
        <v>#NAME?</v>
      </c>
      <c r="Q14" s="210" t="e">
        <f ca="1"/>
        <v>#NAME?</v>
      </c>
      <c r="R14" s="106" t="e">
        <f ca="1"/>
        <v>#NAME?</v>
      </c>
      <c r="S14" s="213">
        <f t="shared" si="2"/>
        <v>6</v>
      </c>
      <c r="T14" s="106" t="e">
        <f t="shared" ca="1" si="0"/>
        <v>#DIV/0!</v>
      </c>
      <c r="U14" s="210" t="e">
        <f t="shared" ca="1" si="1"/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D53E-EBE8-4B70-A3F6-1F218EFE4F99}">
  <sheetPr codeName="Sheet10"/>
  <dimension ref="A1:AB22"/>
  <sheetViews>
    <sheetView workbookViewId="0"/>
  </sheetViews>
  <sheetFormatPr defaultRowHeight="14.5" x14ac:dyDescent="0.35"/>
  <cols>
    <col min="1" max="2" width="8.453125" customWidth="1"/>
    <col min="3" max="3" width="2.6328125" customWidth="1"/>
    <col min="4" max="4" width="3.6328125" customWidth="1"/>
    <col min="5" max="16" width="7.26953125" customWidth="1"/>
    <col min="18" max="18" width="6.08984375" customWidth="1"/>
    <col min="22" max="22" width="2.81640625" customWidth="1"/>
    <col min="23" max="23" width="70.453125" customWidth="1"/>
    <col min="27" max="27" width="3.7265625" customWidth="1"/>
    <col min="28" max="28" width="35.6328125" customWidth="1"/>
  </cols>
  <sheetData>
    <row r="1" spans="1:28" x14ac:dyDescent="0.35">
      <c r="A1" s="1" t="s">
        <v>330</v>
      </c>
    </row>
    <row r="3" spans="1:28" x14ac:dyDescent="0.35">
      <c r="A3" s="174" t="s">
        <v>64</v>
      </c>
      <c r="B3" s="174" t="s">
        <v>65</v>
      </c>
      <c r="E3">
        <v>34</v>
      </c>
      <c r="F3">
        <v>31</v>
      </c>
      <c r="G3">
        <v>35</v>
      </c>
      <c r="H3">
        <v>29</v>
      </c>
      <c r="I3">
        <v>28</v>
      </c>
      <c r="J3">
        <v>12</v>
      </c>
      <c r="K3">
        <v>18</v>
      </c>
      <c r="L3">
        <v>30</v>
      </c>
      <c r="M3">
        <v>14</v>
      </c>
      <c r="N3">
        <v>22</v>
      </c>
      <c r="O3">
        <v>10</v>
      </c>
    </row>
    <row r="4" spans="1:28" x14ac:dyDescent="0.35">
      <c r="A4" s="225">
        <v>11</v>
      </c>
      <c r="B4" s="225">
        <v>34</v>
      </c>
      <c r="D4">
        <v>11</v>
      </c>
      <c r="E4" s="172">
        <f t="shared" ref="E4:O15" si="0">SIGN($D4-E$3)</f>
        <v>-1</v>
      </c>
      <c r="F4" s="164">
        <f t="shared" si="0"/>
        <v>-1</v>
      </c>
      <c r="G4" s="164">
        <f t="shared" si="0"/>
        <v>-1</v>
      </c>
      <c r="H4" s="164">
        <f t="shared" si="0"/>
        <v>-1</v>
      </c>
      <c r="I4" s="164">
        <f t="shared" si="0"/>
        <v>-1</v>
      </c>
      <c r="J4" s="164">
        <f t="shared" si="0"/>
        <v>-1</v>
      </c>
      <c r="K4" s="164">
        <f t="shared" si="0"/>
        <v>-1</v>
      </c>
      <c r="L4" s="164">
        <f t="shared" si="0"/>
        <v>-1</v>
      </c>
      <c r="M4" s="164">
        <f t="shared" si="0"/>
        <v>-1</v>
      </c>
      <c r="N4" s="164">
        <f t="shared" si="0"/>
        <v>-1</v>
      </c>
      <c r="O4" s="163">
        <f t="shared" si="0"/>
        <v>1</v>
      </c>
      <c r="P4">
        <f>AVERAGE(E4:O4)</f>
        <v>-0.81818181818181823</v>
      </c>
      <c r="S4" s="225" t="s">
        <v>358</v>
      </c>
      <c r="T4" s="225" t="s">
        <v>359</v>
      </c>
      <c r="U4" s="225" t="s">
        <v>360</v>
      </c>
      <c r="V4" s="225"/>
      <c r="W4" s="225"/>
    </row>
    <row r="5" spans="1:28" x14ac:dyDescent="0.35">
      <c r="A5" s="225">
        <v>15</v>
      </c>
      <c r="B5" s="225">
        <v>31</v>
      </c>
      <c r="D5">
        <v>15</v>
      </c>
      <c r="E5" s="59">
        <f t="shared" si="0"/>
        <v>-1</v>
      </c>
      <c r="F5">
        <f t="shared" si="0"/>
        <v>-1</v>
      </c>
      <c r="G5">
        <f t="shared" si="0"/>
        <v>-1</v>
      </c>
      <c r="H5">
        <f t="shared" si="0"/>
        <v>-1</v>
      </c>
      <c r="I5">
        <f t="shared" si="0"/>
        <v>-1</v>
      </c>
      <c r="J5">
        <f t="shared" si="0"/>
        <v>1</v>
      </c>
      <c r="K5">
        <f t="shared" si="0"/>
        <v>-1</v>
      </c>
      <c r="L5">
        <f t="shared" si="0"/>
        <v>-1</v>
      </c>
      <c r="M5">
        <f t="shared" si="0"/>
        <v>1</v>
      </c>
      <c r="N5">
        <f t="shared" si="0"/>
        <v>-1</v>
      </c>
      <c r="O5" s="60">
        <f t="shared" si="0"/>
        <v>1</v>
      </c>
      <c r="P5">
        <f t="shared" ref="P5:P15" si="1">AVERAGE(E5:O5)</f>
        <v>-0.45454545454545453</v>
      </c>
      <c r="R5" t="s">
        <v>100</v>
      </c>
      <c r="S5" s="172">
        <f>COUNT(D4:D15)</f>
        <v>12</v>
      </c>
      <c r="T5" s="164">
        <f>COUNT(E3:O3)</f>
        <v>11</v>
      </c>
      <c r="U5" s="163">
        <f>COUNT(E4:O15)</f>
        <v>132</v>
      </c>
      <c r="W5" t="e" cm="1">
        <f t="array" aca="1" ref="W5" ca="1">FTEXT(S5)</f>
        <v>#NAME?</v>
      </c>
      <c r="Y5" t="e" cm="1">
        <f t="array" aca="1" ref="Y5" ca="1">CLIFF_DELTA(A4:A15,B4:B14,TRUE,,TRUE)</f>
        <v>#NAME?</v>
      </c>
      <c r="Z5" s="173"/>
      <c r="AB5" t="e" cm="1">
        <f t="array" aca="1" ref="AB5" ca="1">FTEXT(Y5)</f>
        <v>#NAME?</v>
      </c>
    </row>
    <row r="6" spans="1:28" x14ac:dyDescent="0.35">
      <c r="A6" s="225">
        <v>9</v>
      </c>
      <c r="B6" s="225">
        <v>35</v>
      </c>
      <c r="D6">
        <v>9</v>
      </c>
      <c r="E6" s="59">
        <f t="shared" si="0"/>
        <v>-1</v>
      </c>
      <c r="F6">
        <f t="shared" si="0"/>
        <v>-1</v>
      </c>
      <c r="G6">
        <f t="shared" si="0"/>
        <v>-1</v>
      </c>
      <c r="H6">
        <f t="shared" si="0"/>
        <v>-1</v>
      </c>
      <c r="I6">
        <f t="shared" si="0"/>
        <v>-1</v>
      </c>
      <c r="J6">
        <f t="shared" si="0"/>
        <v>-1</v>
      </c>
      <c r="K6">
        <f t="shared" si="0"/>
        <v>-1</v>
      </c>
      <c r="L6">
        <f t="shared" si="0"/>
        <v>-1</v>
      </c>
      <c r="M6">
        <f t="shared" si="0"/>
        <v>-1</v>
      </c>
      <c r="N6">
        <f t="shared" si="0"/>
        <v>-1</v>
      </c>
      <c r="O6" s="60">
        <f t="shared" si="0"/>
        <v>-1</v>
      </c>
      <c r="P6">
        <f t="shared" si="1"/>
        <v>-1</v>
      </c>
      <c r="R6" t="s">
        <v>2</v>
      </c>
      <c r="S6" s="59">
        <f>AVERAGE(P4:P15)</f>
        <v>-0.40151515151515155</v>
      </c>
      <c r="T6">
        <f>AVERAGE(E16:O16)</f>
        <v>-0.40151515151515144</v>
      </c>
      <c r="U6" s="60">
        <f>AVERAGE(E4:O15)</f>
        <v>-0.40151515151515149</v>
      </c>
      <c r="W6" t="e" cm="1">
        <f t="array" aca="1" ref="W6" ca="1">FTEXT(S6)</f>
        <v>#NAME?</v>
      </c>
      <c r="Z6" s="58"/>
    </row>
    <row r="7" spans="1:28" x14ac:dyDescent="0.35">
      <c r="A7" s="225">
        <v>4</v>
      </c>
      <c r="B7" s="225">
        <v>29</v>
      </c>
      <c r="D7">
        <v>4</v>
      </c>
      <c r="E7" s="59">
        <f t="shared" si="0"/>
        <v>-1</v>
      </c>
      <c r="F7">
        <f t="shared" si="0"/>
        <v>-1</v>
      </c>
      <c r="G7">
        <f t="shared" si="0"/>
        <v>-1</v>
      </c>
      <c r="H7">
        <f t="shared" si="0"/>
        <v>-1</v>
      </c>
      <c r="I7">
        <f t="shared" si="0"/>
        <v>-1</v>
      </c>
      <c r="J7">
        <f t="shared" si="0"/>
        <v>-1</v>
      </c>
      <c r="K7">
        <f t="shared" si="0"/>
        <v>-1</v>
      </c>
      <c r="L7">
        <f t="shared" si="0"/>
        <v>-1</v>
      </c>
      <c r="M7">
        <f t="shared" si="0"/>
        <v>-1</v>
      </c>
      <c r="N7">
        <f t="shared" si="0"/>
        <v>-1</v>
      </c>
      <c r="O7" s="60">
        <f t="shared" si="0"/>
        <v>-1</v>
      </c>
      <c r="P7">
        <f t="shared" si="1"/>
        <v>-1</v>
      </c>
      <c r="R7" t="s">
        <v>361</v>
      </c>
      <c r="S7" s="45">
        <f>DEVSQ(P4:P15)</f>
        <v>3.3464187327823689</v>
      </c>
      <c r="T7" s="106">
        <f>DEVSQ(E16:O16)</f>
        <v>3.0113636363636367</v>
      </c>
      <c r="U7" s="48">
        <f>DEVSQ(E4:O15)</f>
        <v>105.71969696969697</v>
      </c>
      <c r="W7" t="e" cm="1">
        <f t="array" aca="1" ref="W7" ca="1">FTEXT(S7)</f>
        <v>#NAME?</v>
      </c>
      <c r="Z7" s="58"/>
    </row>
    <row r="8" spans="1:28" x14ac:dyDescent="0.35">
      <c r="A8" s="225">
        <v>34</v>
      </c>
      <c r="B8" s="225">
        <v>28</v>
      </c>
      <c r="D8">
        <v>34</v>
      </c>
      <c r="E8" s="59">
        <f t="shared" si="0"/>
        <v>0</v>
      </c>
      <c r="F8">
        <f t="shared" si="0"/>
        <v>1</v>
      </c>
      <c r="G8">
        <f t="shared" si="0"/>
        <v>-1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 s="60">
        <f t="shared" si="0"/>
        <v>1</v>
      </c>
      <c r="P8">
        <f t="shared" si="1"/>
        <v>0.72727272727272729</v>
      </c>
      <c r="Z8" s="50"/>
    </row>
    <row r="9" spans="1:28" x14ac:dyDescent="0.35">
      <c r="A9" s="225">
        <v>17</v>
      </c>
      <c r="B9" s="225">
        <v>12</v>
      </c>
      <c r="D9">
        <v>17</v>
      </c>
      <c r="E9" s="59">
        <f t="shared" si="0"/>
        <v>-1</v>
      </c>
      <c r="F9">
        <f t="shared" si="0"/>
        <v>-1</v>
      </c>
      <c r="G9">
        <f t="shared" si="0"/>
        <v>-1</v>
      </c>
      <c r="H9">
        <f t="shared" si="0"/>
        <v>-1</v>
      </c>
      <c r="I9">
        <f t="shared" si="0"/>
        <v>-1</v>
      </c>
      <c r="J9">
        <f t="shared" si="0"/>
        <v>1</v>
      </c>
      <c r="K9">
        <f t="shared" si="0"/>
        <v>-1</v>
      </c>
      <c r="L9">
        <f t="shared" si="0"/>
        <v>-1</v>
      </c>
      <c r="M9">
        <f t="shared" si="0"/>
        <v>1</v>
      </c>
      <c r="N9">
        <f t="shared" si="0"/>
        <v>-1</v>
      </c>
      <c r="O9" s="60">
        <f t="shared" si="0"/>
        <v>1</v>
      </c>
      <c r="P9">
        <f t="shared" si="1"/>
        <v>-0.45454545454545453</v>
      </c>
      <c r="R9" t="s">
        <v>362</v>
      </c>
      <c r="S9" s="173">
        <f>(T5^2*S7+S5^2*T7-U7)/((S5-1)*(T5-1)*U5)</f>
        <v>5.0470615243342509E-2</v>
      </c>
      <c r="W9" t="e" cm="1">
        <f t="array" aca="1" ref="W9" ca="1">FTEXT(S9)</f>
        <v>#NAME?</v>
      </c>
    </row>
    <row r="10" spans="1:28" x14ac:dyDescent="0.35">
      <c r="A10" s="225">
        <v>18</v>
      </c>
      <c r="B10" s="225">
        <v>18</v>
      </c>
      <c r="D10">
        <v>18</v>
      </c>
      <c r="E10" s="59">
        <f t="shared" si="0"/>
        <v>-1</v>
      </c>
      <c r="F10">
        <f t="shared" si="0"/>
        <v>-1</v>
      </c>
      <c r="G10">
        <f t="shared" si="0"/>
        <v>-1</v>
      </c>
      <c r="H10">
        <f t="shared" si="0"/>
        <v>-1</v>
      </c>
      <c r="I10">
        <f t="shared" si="0"/>
        <v>-1</v>
      </c>
      <c r="J10">
        <f t="shared" si="0"/>
        <v>1</v>
      </c>
      <c r="K10">
        <f t="shared" si="0"/>
        <v>0</v>
      </c>
      <c r="L10">
        <f t="shared" si="0"/>
        <v>-1</v>
      </c>
      <c r="M10">
        <f t="shared" si="0"/>
        <v>1</v>
      </c>
      <c r="N10">
        <f t="shared" si="0"/>
        <v>-1</v>
      </c>
      <c r="O10" s="60">
        <f t="shared" si="0"/>
        <v>1</v>
      </c>
      <c r="P10">
        <f t="shared" si="1"/>
        <v>-0.36363636363636365</v>
      </c>
      <c r="R10" t="s">
        <v>188</v>
      </c>
      <c r="S10" s="58">
        <f>(1-U6^2)/(U5-1)</f>
        <v>6.402943382471488E-3</v>
      </c>
      <c r="W10" t="e" cm="1">
        <f t="array" aca="1" ref="W10" ca="1">FTEXT(S10)</f>
        <v>#NAME?</v>
      </c>
      <c r="Y10" t="e" cm="1">
        <f t="array" aca="1" ref="Y10" ca="1">CLIFF_DELTA(A4:A15,B4:B14,TRUE)</f>
        <v>#NAME?</v>
      </c>
      <c r="Z10" s="173"/>
      <c r="AB10" t="e" cm="1">
        <f t="array" aca="1" ref="AB10" ca="1">FTEXT(Y10)</f>
        <v>#NAME?</v>
      </c>
    </row>
    <row r="11" spans="1:28" x14ac:dyDescent="0.35">
      <c r="A11" s="225">
        <v>14</v>
      </c>
      <c r="B11" s="225">
        <v>30</v>
      </c>
      <c r="D11">
        <v>14</v>
      </c>
      <c r="E11" s="59">
        <f t="shared" si="0"/>
        <v>-1</v>
      </c>
      <c r="F11">
        <f t="shared" si="0"/>
        <v>-1</v>
      </c>
      <c r="G11">
        <f t="shared" si="0"/>
        <v>-1</v>
      </c>
      <c r="H11">
        <f t="shared" si="0"/>
        <v>-1</v>
      </c>
      <c r="I11">
        <f t="shared" si="0"/>
        <v>-1</v>
      </c>
      <c r="J11">
        <f t="shared" si="0"/>
        <v>1</v>
      </c>
      <c r="K11">
        <f t="shared" si="0"/>
        <v>-1</v>
      </c>
      <c r="L11">
        <f t="shared" si="0"/>
        <v>-1</v>
      </c>
      <c r="M11">
        <f t="shared" si="0"/>
        <v>0</v>
      </c>
      <c r="N11">
        <f t="shared" si="0"/>
        <v>-1</v>
      </c>
      <c r="O11" s="60">
        <f t="shared" si="0"/>
        <v>1</v>
      </c>
      <c r="P11">
        <f t="shared" si="1"/>
        <v>-0.54545454545454541</v>
      </c>
      <c r="R11" t="s">
        <v>363</v>
      </c>
      <c r="S11" s="58">
        <f>MAX(S10,S9)</f>
        <v>5.0470615243342509E-2</v>
      </c>
      <c r="W11" t="e" cm="1">
        <f t="array" aca="1" ref="W11" ca="1">FTEXT(S11)</f>
        <v>#NAME?</v>
      </c>
      <c r="Z11" s="58"/>
    </row>
    <row r="12" spans="1:28" x14ac:dyDescent="0.35">
      <c r="A12" s="225">
        <v>12</v>
      </c>
      <c r="B12" s="225">
        <v>14</v>
      </c>
      <c r="D12">
        <v>12</v>
      </c>
      <c r="E12" s="59">
        <f t="shared" si="0"/>
        <v>-1</v>
      </c>
      <c r="F12">
        <f t="shared" si="0"/>
        <v>-1</v>
      </c>
      <c r="G12">
        <f t="shared" si="0"/>
        <v>-1</v>
      </c>
      <c r="H12">
        <f t="shared" si="0"/>
        <v>-1</v>
      </c>
      <c r="I12">
        <f t="shared" si="0"/>
        <v>-1</v>
      </c>
      <c r="J12">
        <f t="shared" si="0"/>
        <v>0</v>
      </c>
      <c r="K12">
        <f t="shared" si="0"/>
        <v>-1</v>
      </c>
      <c r="L12">
        <f t="shared" si="0"/>
        <v>-1</v>
      </c>
      <c r="M12">
        <f t="shared" si="0"/>
        <v>-1</v>
      </c>
      <c r="N12">
        <f t="shared" si="0"/>
        <v>-1</v>
      </c>
      <c r="O12" s="60">
        <f t="shared" si="0"/>
        <v>1</v>
      </c>
      <c r="P12">
        <f t="shared" si="1"/>
        <v>-0.72727272727272729</v>
      </c>
      <c r="R12" t="s">
        <v>364</v>
      </c>
      <c r="S12" s="50">
        <f>SQRT(S11)</f>
        <v>0.22465666080341912</v>
      </c>
      <c r="W12" t="e" cm="1">
        <f t="array" aca="1" ref="W12" ca="1">FTEXT(S12)</f>
        <v>#NAME?</v>
      </c>
      <c r="Z12" s="58"/>
    </row>
    <row r="13" spans="1:28" x14ac:dyDescent="0.35">
      <c r="A13" s="225">
        <v>13</v>
      </c>
      <c r="B13" s="225">
        <v>22</v>
      </c>
      <c r="D13">
        <v>13</v>
      </c>
      <c r="E13" s="59">
        <f t="shared" si="0"/>
        <v>-1</v>
      </c>
      <c r="F13">
        <f t="shared" si="0"/>
        <v>-1</v>
      </c>
      <c r="G13">
        <f t="shared" si="0"/>
        <v>-1</v>
      </c>
      <c r="H13">
        <f t="shared" si="0"/>
        <v>-1</v>
      </c>
      <c r="I13">
        <f t="shared" si="0"/>
        <v>-1</v>
      </c>
      <c r="J13">
        <f t="shared" si="0"/>
        <v>1</v>
      </c>
      <c r="K13">
        <f t="shared" si="0"/>
        <v>-1</v>
      </c>
      <c r="L13">
        <f t="shared" si="0"/>
        <v>-1</v>
      </c>
      <c r="M13">
        <f t="shared" si="0"/>
        <v>-1</v>
      </c>
      <c r="N13">
        <f t="shared" si="0"/>
        <v>-1</v>
      </c>
      <c r="O13" s="60">
        <f t="shared" si="0"/>
        <v>1</v>
      </c>
      <c r="P13">
        <f t="shared" si="1"/>
        <v>-0.63636363636363635</v>
      </c>
      <c r="W13" t="e" cm="1">
        <f t="array" aca="1" ref="W13" ca="1">FTEXT(S13)</f>
        <v>#NAME?</v>
      </c>
      <c r="Z13" s="50"/>
    </row>
    <row r="14" spans="1:28" x14ac:dyDescent="0.35">
      <c r="A14" s="225">
        <v>26</v>
      </c>
      <c r="B14" s="225">
        <v>10</v>
      </c>
      <c r="D14">
        <v>26</v>
      </c>
      <c r="E14" s="59">
        <f t="shared" si="0"/>
        <v>-1</v>
      </c>
      <c r="F14">
        <f t="shared" si="0"/>
        <v>-1</v>
      </c>
      <c r="G14">
        <f t="shared" si="0"/>
        <v>-1</v>
      </c>
      <c r="H14">
        <f t="shared" si="0"/>
        <v>-1</v>
      </c>
      <c r="I14">
        <f t="shared" si="0"/>
        <v>-1</v>
      </c>
      <c r="J14">
        <f t="shared" si="0"/>
        <v>1</v>
      </c>
      <c r="K14">
        <f t="shared" si="0"/>
        <v>1</v>
      </c>
      <c r="L14">
        <f t="shared" si="0"/>
        <v>-1</v>
      </c>
      <c r="M14">
        <f t="shared" si="0"/>
        <v>1</v>
      </c>
      <c r="N14">
        <f t="shared" si="0"/>
        <v>1</v>
      </c>
      <c r="O14" s="60">
        <f t="shared" si="0"/>
        <v>1</v>
      </c>
      <c r="P14">
        <f t="shared" si="1"/>
        <v>-9.0909090909090912E-2</v>
      </c>
      <c r="R14" t="s">
        <v>94</v>
      </c>
      <c r="S14" s="173">
        <v>0.05</v>
      </c>
    </row>
    <row r="15" spans="1:28" x14ac:dyDescent="0.35">
      <c r="A15" s="224">
        <v>31</v>
      </c>
      <c r="B15" s="224"/>
      <c r="D15">
        <v>31</v>
      </c>
      <c r="E15" s="45">
        <f t="shared" si="0"/>
        <v>-1</v>
      </c>
      <c r="F15" s="106">
        <f t="shared" si="0"/>
        <v>0</v>
      </c>
      <c r="G15" s="106">
        <f t="shared" si="0"/>
        <v>-1</v>
      </c>
      <c r="H15" s="106">
        <f t="shared" si="0"/>
        <v>1</v>
      </c>
      <c r="I15" s="106">
        <f t="shared" si="0"/>
        <v>1</v>
      </c>
      <c r="J15" s="106">
        <f t="shared" si="0"/>
        <v>1</v>
      </c>
      <c r="K15" s="106">
        <f t="shared" si="0"/>
        <v>1</v>
      </c>
      <c r="L15" s="106">
        <f t="shared" si="0"/>
        <v>1</v>
      </c>
      <c r="M15" s="106">
        <f t="shared" si="0"/>
        <v>1</v>
      </c>
      <c r="N15" s="106">
        <f t="shared" si="0"/>
        <v>1</v>
      </c>
      <c r="O15" s="48">
        <f t="shared" si="0"/>
        <v>1</v>
      </c>
      <c r="P15">
        <f t="shared" si="1"/>
        <v>0.54545454545454541</v>
      </c>
      <c r="R15" t="s">
        <v>365</v>
      </c>
      <c r="S15" s="58">
        <f>_xlfn.NORM.S.INV(1-S14/2)</f>
        <v>1.9599639845400536</v>
      </c>
      <c r="W15" t="e" cm="1">
        <f t="array" aca="1" ref="W15" ca="1">FTEXT(S15)</f>
        <v>#NAME?</v>
      </c>
    </row>
    <row r="16" spans="1:28" x14ac:dyDescent="0.35">
      <c r="E16">
        <f>AVERAGE(E4:E15)</f>
        <v>-0.91666666666666663</v>
      </c>
      <c r="F16">
        <f t="shared" ref="F16:O16" si="2">AVERAGE(F4:F15)</f>
        <v>-0.75</v>
      </c>
      <c r="G16">
        <f t="shared" si="2"/>
        <v>-1</v>
      </c>
      <c r="H16">
        <f t="shared" si="2"/>
        <v>-0.66666666666666663</v>
      </c>
      <c r="I16">
        <f t="shared" si="2"/>
        <v>-0.66666666666666663</v>
      </c>
      <c r="J16">
        <f t="shared" si="2"/>
        <v>0.41666666666666669</v>
      </c>
      <c r="K16">
        <f t="shared" si="2"/>
        <v>-0.41666666666666669</v>
      </c>
      <c r="L16">
        <f t="shared" si="2"/>
        <v>-0.66666666666666663</v>
      </c>
      <c r="M16">
        <f t="shared" si="2"/>
        <v>8.3333333333333329E-2</v>
      </c>
      <c r="N16">
        <f t="shared" si="2"/>
        <v>-0.5</v>
      </c>
      <c r="O16">
        <f t="shared" si="2"/>
        <v>0.66666666666666663</v>
      </c>
      <c r="R16" t="s">
        <v>366</v>
      </c>
      <c r="S16" s="50">
        <f>U6</f>
        <v>-0.40151515151515149</v>
      </c>
      <c r="W16" t="e" cm="1">
        <f t="array" aca="1" ref="W16" ca="1">FTEXT(S16)</f>
        <v>#NAME?</v>
      </c>
    </row>
    <row r="17" spans="1:23" x14ac:dyDescent="0.35">
      <c r="W17" t="e" cm="1">
        <f t="array" aca="1" ref="W17" ca="1">FTEXT(S17)</f>
        <v>#NAME?</v>
      </c>
    </row>
    <row r="18" spans="1:23" x14ac:dyDescent="0.35">
      <c r="A18" t="s">
        <v>329</v>
      </c>
      <c r="B18" s="88">
        <f>SUM(E4:O15)/COUNT(E4:O15)</f>
        <v>-0.40151515151515149</v>
      </c>
      <c r="D18" t="e">
        <f ca="1">FTEXT(B18)</f>
        <v>#NAME?</v>
      </c>
      <c r="R18" t="s">
        <v>24</v>
      </c>
      <c r="S18" s="173">
        <f>S16-S15*S12</f>
        <v>-0.84183411557688403</v>
      </c>
      <c r="W18" t="e" cm="1">
        <f t="array" aca="1" ref="W18" ca="1">FTEXT(S18)</f>
        <v>#NAME?</v>
      </c>
    </row>
    <row r="19" spans="1:23" x14ac:dyDescent="0.35">
      <c r="R19" t="s">
        <v>25</v>
      </c>
      <c r="S19" s="50">
        <f>S16+S15*S12</f>
        <v>3.8803812546581107E-2</v>
      </c>
      <c r="W19" t="e" cm="1">
        <f t="array" aca="1" ref="W19" ca="1">FTEXT(S19)</f>
        <v>#NAME?</v>
      </c>
    </row>
    <row r="20" spans="1:23" x14ac:dyDescent="0.35">
      <c r="B20" s="88" t="e">
        <f ca="1">CLIFF_DELTA(A4:A15,B4:B14)</f>
        <v>#NAME?</v>
      </c>
      <c r="D20" t="e">
        <f ca="1">FTEXT(B20)</f>
        <v>#NAME?</v>
      </c>
      <c r="W20" t="e" cm="1">
        <f t="array" aca="1" ref="W20" ca="1">FTEXT(S20)</f>
        <v>#NAME?</v>
      </c>
    </row>
    <row r="21" spans="1:23" x14ac:dyDescent="0.35">
      <c r="R21" t="s">
        <v>24</v>
      </c>
      <c r="S21" s="173">
        <f>(S16-S16^3-S15*SQRT(S11*(1-2*S16^2+S16^4+S15^2*S11)))/(1-S16^2+S15^2*S11)</f>
        <v>-0.73006572486202526</v>
      </c>
      <c r="W21" t="e" cm="1">
        <f t="array" aca="1" ref="W21" ca="1">FTEXT(S21)</f>
        <v>#NAME?</v>
      </c>
    </row>
    <row r="22" spans="1:23" x14ac:dyDescent="0.35">
      <c r="R22" t="s">
        <v>25</v>
      </c>
      <c r="S22" s="50">
        <f>(S16-S16^3+S15*SQRT(S11*(1-2*S16^2+S16^4+S15^2*S11)))/(1-S16^2+S15^2*S11)</f>
        <v>7.7802555994154129E-2</v>
      </c>
      <c r="W22" t="e" cm="1">
        <f t="array" aca="1" ref="W22" ca="1">FTEXT(S22)</f>
        <v>#NAME?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5"/>
  <dimension ref="A1:T26"/>
  <sheetViews>
    <sheetView workbookViewId="0"/>
  </sheetViews>
  <sheetFormatPr defaultRowHeight="14.5" x14ac:dyDescent="0.35"/>
  <sheetData>
    <row r="1" spans="1:20" x14ac:dyDescent="0.35">
      <c r="A1">
        <v>1</v>
      </c>
      <c r="B1">
        <f>A1+1</f>
        <v>2</v>
      </c>
      <c r="C1">
        <f t="shared" ref="C1:T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</row>
    <row r="2" spans="1:20" x14ac:dyDescent="0.35">
      <c r="A2" s="164">
        <v>1.9446252967666573</v>
      </c>
      <c r="B2" s="164">
        <v>-0.45909998862458257</v>
      </c>
      <c r="C2" s="164">
        <v>1.6775449092687447</v>
      </c>
      <c r="D2" s="164">
        <v>0.64911207849830954</v>
      </c>
      <c r="E2" s="164">
        <v>1.1880567792483872</v>
      </c>
      <c r="F2" s="164">
        <v>0.84745304280260136</v>
      </c>
      <c r="G2" s="164">
        <v>3.6032184084859273</v>
      </c>
      <c r="H2" s="164">
        <v>-0.14490961460788943</v>
      </c>
      <c r="I2" s="164">
        <v>1.611690555005717</v>
      </c>
      <c r="J2" s="164">
        <v>1.2232165626786997</v>
      </c>
      <c r="K2" s="164">
        <v>1.9631110075335125</v>
      </c>
      <c r="L2" s="164">
        <v>-0.57912483000912962</v>
      </c>
      <c r="M2" s="164">
        <v>-0.41991134508221495</v>
      </c>
      <c r="N2" s="164">
        <v>-0.76203193122160728</v>
      </c>
      <c r="O2" s="164">
        <v>0.45297025817464465</v>
      </c>
      <c r="P2" s="164">
        <v>1.1210829698036779</v>
      </c>
      <c r="Q2" s="164">
        <v>1.0434858438795058</v>
      </c>
      <c r="R2" s="164">
        <v>0.50548226760977433</v>
      </c>
      <c r="S2" s="164">
        <v>-9.208719481182337E-2</v>
      </c>
      <c r="T2" s="164">
        <v>0.50047246994078409</v>
      </c>
    </row>
    <row r="3" spans="1:20" x14ac:dyDescent="0.35">
      <c r="A3" s="7">
        <v>1.2136470368984007</v>
      </c>
      <c r="B3" s="7">
        <v>5.3721528910863681E-2</v>
      </c>
      <c r="C3" s="7">
        <v>0.73710319179664474</v>
      </c>
      <c r="D3" s="7">
        <v>0.52934470935587985</v>
      </c>
      <c r="E3" s="7">
        <v>1.3534925463264926</v>
      </c>
      <c r="F3" s="7">
        <v>2.0369141267424027</v>
      </c>
      <c r="G3" s="7">
        <v>1.3848619667572353</v>
      </c>
      <c r="H3" s="7">
        <v>0.2333174039560123</v>
      </c>
      <c r="I3" s="7">
        <v>2.4115377827287201</v>
      </c>
      <c r="J3" s="7">
        <v>-0.37678091436247851</v>
      </c>
      <c r="K3" s="7">
        <v>-0.75945477802678196</v>
      </c>
      <c r="L3" s="7">
        <v>1.2629950415861331</v>
      </c>
      <c r="M3" s="7">
        <v>1.5335895271003315</v>
      </c>
      <c r="N3" s="7">
        <v>1.1658222685398061</v>
      </c>
      <c r="O3" s="7">
        <v>0.27897277032700651</v>
      </c>
      <c r="P3" s="7">
        <v>0.94724884216419802</v>
      </c>
      <c r="Q3" s="7">
        <v>0.6605172004042279</v>
      </c>
      <c r="R3" s="7">
        <v>2.4056481463788897</v>
      </c>
      <c r="S3" s="7">
        <v>-0.15414629073531194</v>
      </c>
      <c r="T3" s="7">
        <v>1.5718977384013411</v>
      </c>
    </row>
    <row r="4" spans="1:20" x14ac:dyDescent="0.35">
      <c r="A4" s="7">
        <v>0.41737807876269639</v>
      </c>
      <c r="B4" s="7">
        <v>1.754536215794853</v>
      </c>
      <c r="C4" s="7">
        <v>0.19521745332507723</v>
      </c>
      <c r="D4" s="7">
        <v>1.6679357880398142</v>
      </c>
      <c r="E4" s="7">
        <v>2.5131186336957558</v>
      </c>
      <c r="F4" s="7">
        <v>0.85568368016004515</v>
      </c>
      <c r="G4" s="7">
        <v>0.53358369400288375</v>
      </c>
      <c r="H4" s="7">
        <v>1.4985804938699765</v>
      </c>
      <c r="I4" s="7">
        <v>1.8559673794904081</v>
      </c>
      <c r="J4" s="7">
        <v>1.3339786942530745</v>
      </c>
      <c r="K4" s="7">
        <v>1.0143544303348864</v>
      </c>
      <c r="L4" s="7">
        <v>2.3840898667563835</v>
      </c>
      <c r="M4" s="7">
        <v>1.7849713977369324</v>
      </c>
      <c r="N4" s="7">
        <v>1.270565453585728</v>
      </c>
      <c r="O4" s="7">
        <v>1.1819387477951866</v>
      </c>
      <c r="P4" s="7">
        <v>1.1334731053814115</v>
      </c>
      <c r="Q4" s="7">
        <v>1.6403495952980363</v>
      </c>
      <c r="R4" s="7">
        <v>1.418111399312497</v>
      </c>
      <c r="S4" s="7">
        <v>2.228792778922414</v>
      </c>
      <c r="T4" s="7">
        <v>1.0848085595334658</v>
      </c>
    </row>
    <row r="5" spans="1:20" x14ac:dyDescent="0.35">
      <c r="A5" s="7">
        <v>0.9808330867432733</v>
      </c>
      <c r="B5" s="7">
        <v>0.72442131298882106</v>
      </c>
      <c r="C5" s="7">
        <v>0.98015981448372058</v>
      </c>
      <c r="D5" s="7">
        <v>1.667454363918317</v>
      </c>
      <c r="E5" s="7">
        <v>0.42318598575177646</v>
      </c>
      <c r="F5" s="7">
        <v>-1.6618953457975851</v>
      </c>
      <c r="G5" s="7">
        <v>0.43020430309223345</v>
      </c>
      <c r="H5" s="7">
        <v>0.51660652005279828</v>
      </c>
      <c r="I5" s="7">
        <v>2.323329492494016</v>
      </c>
      <c r="J5" s="7">
        <v>2.0180618425950159</v>
      </c>
      <c r="K5" s="7">
        <v>1.3563109338782038</v>
      </c>
      <c r="L5" s="7">
        <v>2.062355414834891</v>
      </c>
      <c r="M5" s="7">
        <v>1.7187087509251411</v>
      </c>
      <c r="N5" s="7">
        <v>1.5382671696562555</v>
      </c>
      <c r="O5" s="7">
        <v>1.5319844337188322</v>
      </c>
      <c r="P5" s="7">
        <v>-0.10298916647354628</v>
      </c>
      <c r="Q5" s="7">
        <v>0.85126517089571763</v>
      </c>
      <c r="R5" s="7">
        <v>0.59794502620616452</v>
      </c>
      <c r="S5" s="7">
        <v>0.92383431099890234</v>
      </c>
      <c r="T5" s="7">
        <v>2.0621009767225784</v>
      </c>
    </row>
    <row r="6" spans="1:20" x14ac:dyDescent="0.35">
      <c r="A6" s="7">
        <v>0.35689388992771143</v>
      </c>
      <c r="B6" s="7">
        <v>1.9299285423866244</v>
      </c>
      <c r="C6" s="7">
        <v>1.0097360774407553</v>
      </c>
      <c r="D6" s="7">
        <v>1.6769584162094491</v>
      </c>
      <c r="E6" s="7">
        <v>2.784731468982641</v>
      </c>
      <c r="F6" s="7">
        <v>2.6425624709114999</v>
      </c>
      <c r="G6" s="7">
        <v>-0.20813555278075158</v>
      </c>
      <c r="H6" s="7">
        <v>0.81429902902684659</v>
      </c>
      <c r="I6" s="7">
        <v>2.5297586655464785</v>
      </c>
      <c r="J6" s="7">
        <v>0.32169568816060556</v>
      </c>
      <c r="K6" s="7">
        <v>1.3930387433372382</v>
      </c>
      <c r="L6" s="7">
        <v>1.8043623767401271</v>
      </c>
      <c r="M6" s="7">
        <v>2.0649622671130086</v>
      </c>
      <c r="N6" s="7">
        <v>0.64484044903105486</v>
      </c>
      <c r="O6" s="7">
        <v>-0.43226920219487441</v>
      </c>
      <c r="P6" s="7">
        <v>2.1981253063595236</v>
      </c>
      <c r="Q6" s="7">
        <v>-0.90788567446554458</v>
      </c>
      <c r="R6" s="7">
        <v>0.67669763017690188</v>
      </c>
      <c r="S6" s="7">
        <v>-1.1231019626910004</v>
      </c>
      <c r="T6" s="7">
        <v>0.14334576994451509</v>
      </c>
    </row>
    <row r="7" spans="1:20" x14ac:dyDescent="0.35">
      <c r="A7" s="7">
        <v>-0.50682145848730387</v>
      </c>
      <c r="B7" s="7">
        <v>5.969832302966871E-2</v>
      </c>
      <c r="C7" s="7">
        <v>2.4816756335677272</v>
      </c>
      <c r="D7" s="7">
        <v>0.36140703550296327</v>
      </c>
      <c r="E7" s="7">
        <v>-0.14417075499266407</v>
      </c>
      <c r="F7" s="7">
        <v>1.8383548568845074</v>
      </c>
      <c r="G7" s="7">
        <v>-0.53298848185450387</v>
      </c>
      <c r="H7" s="7">
        <v>1.4126581143212256</v>
      </c>
      <c r="I7" s="7">
        <v>2.2023070148361894</v>
      </c>
      <c r="J7" s="7">
        <v>1.1804043656808572</v>
      </c>
      <c r="K7" s="7">
        <v>2.1220238596510965</v>
      </c>
      <c r="L7" s="7">
        <v>0.4271081791368091</v>
      </c>
      <c r="M7" s="7">
        <v>1.5252092288500556</v>
      </c>
      <c r="N7" s="7">
        <v>0.23719381537012163</v>
      </c>
      <c r="O7" s="7">
        <v>2.2117516123339449</v>
      </c>
      <c r="P7" s="7">
        <v>-0.11478167293637331</v>
      </c>
      <c r="Q7" s="7">
        <v>1.9630685082029902</v>
      </c>
      <c r="R7" s="7">
        <v>1.1216644191179357</v>
      </c>
      <c r="S7" s="7">
        <v>1.3409593211385313</v>
      </c>
      <c r="T7" s="7">
        <v>3.5698855562083356</v>
      </c>
    </row>
    <row r="8" spans="1:20" x14ac:dyDescent="0.35">
      <c r="A8" s="7">
        <v>0.9552076873822849</v>
      </c>
      <c r="B8" s="7">
        <v>2.6863773963872157</v>
      </c>
      <c r="C8" s="7">
        <v>2.1569897813660299</v>
      </c>
      <c r="D8" s="7">
        <v>1.3152231703105248</v>
      </c>
      <c r="E8" s="7">
        <v>2.63470847973747</v>
      </c>
      <c r="F8" s="7">
        <v>0.89798148688706525</v>
      </c>
      <c r="G8" s="7">
        <v>1.1726593928426088</v>
      </c>
      <c r="H8" s="7">
        <v>1.4356945294025905</v>
      </c>
      <c r="I8" s="7">
        <v>1.6153013665966487</v>
      </c>
      <c r="J8" s="7">
        <v>1.2464550196268873</v>
      </c>
      <c r="K8" s="7">
        <v>1.3897161181178197</v>
      </c>
      <c r="L8" s="7">
        <v>1.4057805166635942</v>
      </c>
      <c r="M8" s="7">
        <v>1.4369296639968423</v>
      </c>
      <c r="N8" s="7">
        <v>-1.0021540338606449</v>
      </c>
      <c r="O8" s="7">
        <v>1.6952983608336907</v>
      </c>
      <c r="P8" s="7">
        <v>0.19424748923987178</v>
      </c>
      <c r="Q8" s="7">
        <v>0.61536836071872014</v>
      </c>
      <c r="R8" s="7">
        <v>0.2960187810374435</v>
      </c>
      <c r="S8" s="7">
        <v>0.19605217687233301</v>
      </c>
      <c r="T8" s="7">
        <v>0.85436135383038092</v>
      </c>
    </row>
    <row r="9" spans="1:20" x14ac:dyDescent="0.35">
      <c r="A9" s="7">
        <v>1.5533839842687422</v>
      </c>
      <c r="B9" s="7">
        <v>1.416552191424999</v>
      </c>
      <c r="C9" s="7">
        <v>1.6821448244213457</v>
      </c>
      <c r="D9" s="7">
        <v>3.3350037291813628E-2</v>
      </c>
      <c r="E9" s="7">
        <v>2.3752927228703489</v>
      </c>
      <c r="F9" s="7">
        <v>0.95924160421799143</v>
      </c>
      <c r="G9" s="7">
        <v>1.4510503496930784</v>
      </c>
      <c r="H9" s="7">
        <v>0.56478113017965081</v>
      </c>
      <c r="I9" s="7">
        <v>1.1110375577489733</v>
      </c>
      <c r="J9" s="7">
        <v>0.49829488332229566</v>
      </c>
      <c r="K9" s="7">
        <v>1.6095839244334642</v>
      </c>
      <c r="L9" s="7">
        <v>1.8987844557441842</v>
      </c>
      <c r="M9" s="7">
        <v>1.1010721819589415</v>
      </c>
      <c r="N9" s="7">
        <v>1.2325172933945086</v>
      </c>
      <c r="O9" s="7">
        <v>1.1552542210976537</v>
      </c>
      <c r="P9" s="7">
        <v>0.90417470675093714</v>
      </c>
      <c r="Q9" s="7">
        <v>1.6445259559424772</v>
      </c>
      <c r="R9" s="7">
        <v>1.8965954351690546</v>
      </c>
      <c r="S9" s="7">
        <v>1.9563673633999543</v>
      </c>
      <c r="T9" s="7">
        <v>2.5098786011650001</v>
      </c>
    </row>
    <row r="10" spans="1:20" x14ac:dyDescent="0.35">
      <c r="A10" s="7">
        <v>1.1197450344613116</v>
      </c>
      <c r="B10" s="7">
        <v>-1.3502635421236557</v>
      </c>
      <c r="C10" s="7">
        <v>-0.41429175566711662</v>
      </c>
      <c r="D10" s="7">
        <v>1.0086763915420669</v>
      </c>
      <c r="E10" s="7">
        <v>0.63926460026304177</v>
      </c>
      <c r="F10" s="7">
        <v>-0.49015380916720019</v>
      </c>
      <c r="G10" s="7">
        <v>-1.0710450786689405</v>
      </c>
      <c r="H10" s="7">
        <v>1.8848348357310201</v>
      </c>
      <c r="I10" s="7">
        <v>1.0685158827984704</v>
      </c>
      <c r="J10" s="7">
        <v>0.41046061618639984</v>
      </c>
      <c r="K10" s="7">
        <v>-0.47883641431647539</v>
      </c>
      <c r="L10" s="7">
        <v>0.67115567679038413</v>
      </c>
      <c r="M10" s="7">
        <v>1.3307784481854077</v>
      </c>
      <c r="N10" s="7">
        <v>2.5630804158629088</v>
      </c>
      <c r="O10" s="7">
        <v>0.72649719687027892</v>
      </c>
      <c r="P10" s="7">
        <v>1.2772501338081343</v>
      </c>
      <c r="Q10" s="7">
        <v>1.1828479555445557</v>
      </c>
      <c r="R10" s="7">
        <v>1.8541702273432614</v>
      </c>
      <c r="S10" s="7">
        <v>-0.18686011139394498</v>
      </c>
      <c r="T10" s="7">
        <v>2.8093421221937409</v>
      </c>
    </row>
    <row r="11" spans="1:20" x14ac:dyDescent="0.35">
      <c r="A11" s="106">
        <v>0.33708940390705866</v>
      </c>
      <c r="B11" s="106">
        <v>0.19940859892814455</v>
      </c>
      <c r="C11" s="106">
        <v>0.59177129926376038</v>
      </c>
      <c r="D11" s="106">
        <v>0.87861671038649758</v>
      </c>
      <c r="E11" s="106">
        <v>2.528550194648032</v>
      </c>
      <c r="F11" s="106">
        <v>0.97161457264655893</v>
      </c>
      <c r="G11" s="106">
        <v>0.57327877177609898</v>
      </c>
      <c r="H11" s="106">
        <v>2.8073556601153435</v>
      </c>
      <c r="I11" s="106">
        <v>1.9502259057521842</v>
      </c>
      <c r="J11" s="106">
        <v>-0.62089670368473393</v>
      </c>
      <c r="K11" s="106">
        <v>0.57233795673788879</v>
      </c>
      <c r="L11" s="106">
        <v>1.0964646648345928</v>
      </c>
      <c r="M11" s="106">
        <v>0.71493331726460729</v>
      </c>
      <c r="N11" s="106">
        <v>1.6269826394280373</v>
      </c>
      <c r="O11" s="106">
        <v>-0.96267987045497105</v>
      </c>
      <c r="P11" s="106">
        <v>1.3896783693161445</v>
      </c>
      <c r="Q11" s="106">
        <v>1.802160074836199</v>
      </c>
      <c r="R11" s="106">
        <v>0.21534804345305303</v>
      </c>
      <c r="S11" s="106">
        <v>0.74462703513375295</v>
      </c>
      <c r="T11" s="106">
        <v>-0.194212874807423</v>
      </c>
    </row>
    <row r="12" spans="1:20" x14ac:dyDescent="0.35">
      <c r="A12">
        <v>1.8674098363798972</v>
      </c>
      <c r="B12">
        <v>4.3275971458989915</v>
      </c>
      <c r="C12">
        <v>1.9218053815827232</v>
      </c>
      <c r="D12">
        <v>2.2933498452416816</v>
      </c>
      <c r="E12">
        <v>0.60653558438518096</v>
      </c>
      <c r="F12">
        <v>0.50276728483249022</v>
      </c>
      <c r="G12">
        <v>3.1019689470199658</v>
      </c>
      <c r="H12">
        <v>1.8324076493526276</v>
      </c>
      <c r="I12">
        <v>2.1008888415337323</v>
      </c>
      <c r="J12">
        <v>2.4619111728990011</v>
      </c>
      <c r="K12">
        <v>1.7569843298898455</v>
      </c>
      <c r="L12">
        <v>2.6555960611165599</v>
      </c>
      <c r="M12">
        <v>2.6724797349606932</v>
      </c>
      <c r="N12">
        <v>2.667370267108125</v>
      </c>
      <c r="O12">
        <v>1.7538910591356973</v>
      </c>
      <c r="P12">
        <v>0.12415590023406953</v>
      </c>
      <c r="Q12">
        <v>1.7796313215494459</v>
      </c>
      <c r="R12">
        <v>1.729735363743621</v>
      </c>
      <c r="S12">
        <v>2.4176957800631667</v>
      </c>
      <c r="T12">
        <v>1.7446572155810758</v>
      </c>
    </row>
    <row r="13" spans="1:20" x14ac:dyDescent="0.35">
      <c r="A13">
        <v>3.6431863598818981</v>
      </c>
      <c r="B13">
        <v>0.83427788531170166</v>
      </c>
      <c r="C13">
        <v>1.1089270691159923</v>
      </c>
      <c r="D13">
        <v>0.99155682898382169</v>
      </c>
      <c r="E13">
        <v>2.2942422302933014</v>
      </c>
      <c r="F13">
        <v>0.32060754769367916</v>
      </c>
      <c r="G13">
        <v>0.52508907126174664</v>
      </c>
      <c r="H13">
        <v>1.6357075087195028</v>
      </c>
      <c r="I13">
        <v>2.0461948381817119</v>
      </c>
      <c r="J13">
        <v>2.0366738071045267</v>
      </c>
      <c r="K13">
        <v>2.461452225602629</v>
      </c>
      <c r="L13">
        <v>3.658775731141211</v>
      </c>
      <c r="M13">
        <v>-0.28930762405529631</v>
      </c>
      <c r="N13">
        <v>2.0976464035560154</v>
      </c>
      <c r="O13">
        <v>3.0686382483135404</v>
      </c>
      <c r="P13">
        <v>2.3208367167520247</v>
      </c>
      <c r="Q13">
        <v>1.4646545035748026</v>
      </c>
      <c r="R13">
        <v>1.0112327994751495</v>
      </c>
      <c r="S13">
        <v>2.7587205989233374</v>
      </c>
      <c r="T13">
        <v>2.6627075662728448</v>
      </c>
    </row>
    <row r="14" spans="1:20" x14ac:dyDescent="0.35">
      <c r="A14">
        <v>1.7191584273002514</v>
      </c>
      <c r="B14">
        <v>1.4536130497189963</v>
      </c>
      <c r="C14">
        <v>3.4965114809391848</v>
      </c>
      <c r="D14">
        <v>1.7336689619952386</v>
      </c>
      <c r="E14">
        <v>2.2163524908970382</v>
      </c>
      <c r="F14">
        <v>1.3935881531710181</v>
      </c>
      <c r="G14">
        <v>1.4831454254687317</v>
      </c>
      <c r="H14">
        <v>1.5209316109754298</v>
      </c>
      <c r="I14">
        <v>2.4213952268667285</v>
      </c>
      <c r="J14">
        <v>2.1706740720743074</v>
      </c>
      <c r="K14">
        <v>2.390532272975272</v>
      </c>
      <c r="L14">
        <v>0.11035690635393358</v>
      </c>
      <c r="M14">
        <v>1.0530805044602274</v>
      </c>
      <c r="N14">
        <v>1.6092938039153097</v>
      </c>
      <c r="O14">
        <v>3.5253342889537422</v>
      </c>
      <c r="P14">
        <v>2.9178976236468799</v>
      </c>
      <c r="Q14">
        <v>1.5179019144118142</v>
      </c>
      <c r="R14">
        <v>1.1226428760620526</v>
      </c>
      <c r="S14">
        <v>2.6335790912849428</v>
      </c>
      <c r="T14">
        <v>0.97301512259814515</v>
      </c>
    </row>
    <row r="15" spans="1:20" x14ac:dyDescent="0.35">
      <c r="A15">
        <v>1.2028446687464183</v>
      </c>
      <c r="B15">
        <v>2.7042501172422009</v>
      </c>
      <c r="C15">
        <v>3.4786895692504887</v>
      </c>
      <c r="D15">
        <v>3.7735364184729789</v>
      </c>
      <c r="E15">
        <v>2.1817939896683551</v>
      </c>
      <c r="F15">
        <v>1.9399502678844989</v>
      </c>
      <c r="G15">
        <v>2.8093596451384504</v>
      </c>
      <c r="H15">
        <v>1.6302965224133437</v>
      </c>
      <c r="I15">
        <v>2.5545383725757347</v>
      </c>
      <c r="J15">
        <v>1.1704687952616819</v>
      </c>
      <c r="K15">
        <v>2.9240412317516973</v>
      </c>
      <c r="L15">
        <v>2.1278106247282529</v>
      </c>
      <c r="M15">
        <v>2.1217279377380969</v>
      </c>
      <c r="N15">
        <v>1.0500456201451907</v>
      </c>
      <c r="O15">
        <v>2.2585012083997844</v>
      </c>
      <c r="P15">
        <v>0.61228340341133336</v>
      </c>
      <c r="Q15">
        <v>2.126250158445226</v>
      </c>
      <c r="R15">
        <v>2.5613542648481178</v>
      </c>
      <c r="S15">
        <v>1.1073622219655874</v>
      </c>
      <c r="T15">
        <v>2.0271182567765686</v>
      </c>
    </row>
    <row r="16" spans="1:20" x14ac:dyDescent="0.35">
      <c r="A16">
        <v>2.0519549091041798</v>
      </c>
      <c r="B16">
        <v>2.2649361662277858</v>
      </c>
      <c r="C16">
        <v>0.9593356615336488</v>
      </c>
      <c r="D16">
        <v>1.8497939144883344</v>
      </c>
      <c r="E16">
        <v>1.1539377445796717</v>
      </c>
      <c r="F16">
        <v>1.4863621488386678</v>
      </c>
      <c r="G16">
        <v>2.5870792496765267</v>
      </c>
      <c r="H16">
        <v>2.8011841769354557</v>
      </c>
      <c r="I16">
        <v>1.4978161656412068</v>
      </c>
      <c r="J16">
        <v>3.1655707499724812</v>
      </c>
      <c r="K16">
        <v>5.0848507433804091E-2</v>
      </c>
      <c r="L16">
        <v>0.55175483537746617</v>
      </c>
      <c r="M16">
        <v>1.3513128253193032</v>
      </c>
      <c r="N16">
        <v>1.3525414802767182</v>
      </c>
      <c r="O16">
        <v>1.6379699165566537</v>
      </c>
      <c r="P16">
        <v>1.1298089618337852</v>
      </c>
      <c r="Q16">
        <v>2.2077444175347134</v>
      </c>
      <c r="R16">
        <v>1.2711151118630339</v>
      </c>
      <c r="S16">
        <v>2.3823532243053238</v>
      </c>
      <c r="T16">
        <v>1.6823650159848225</v>
      </c>
    </row>
    <row r="17" spans="1:20" x14ac:dyDescent="0.35">
      <c r="A17">
        <v>1.5704957350796405</v>
      </c>
      <c r="B17">
        <v>0.97459869716204572</v>
      </c>
      <c r="C17">
        <v>1.480176408205444</v>
      </c>
      <c r="D17">
        <v>1.6534660042486053</v>
      </c>
      <c r="E17">
        <v>1.4047934410021714</v>
      </c>
      <c r="F17">
        <v>2.4107567377041796</v>
      </c>
      <c r="G17">
        <v>3.2020507736932471</v>
      </c>
      <c r="H17">
        <v>2.2439805637429484</v>
      </c>
      <c r="I17">
        <v>1.2815601403842103</v>
      </c>
      <c r="J17">
        <v>4.5635811955899825</v>
      </c>
      <c r="K17">
        <v>1.2788971312061101</v>
      </c>
      <c r="L17">
        <v>2.4001559673006594</v>
      </c>
      <c r="M17">
        <v>2.6373228144217622</v>
      </c>
      <c r="N17">
        <v>2.8783395215016059</v>
      </c>
      <c r="O17">
        <v>2.0539116022224082</v>
      </c>
      <c r="P17">
        <v>1.7934960024342472</v>
      </c>
      <c r="Q17">
        <v>2.680061517965592</v>
      </c>
      <c r="R17">
        <v>2.2400951159365277</v>
      </c>
      <c r="S17">
        <v>2.8618484601393641</v>
      </c>
      <c r="T17">
        <v>1.7062555274058604</v>
      </c>
    </row>
    <row r="18" spans="1:20" x14ac:dyDescent="0.35">
      <c r="A18">
        <v>2.3195659733343374</v>
      </c>
      <c r="B18">
        <v>3.9661472973580407</v>
      </c>
      <c r="C18">
        <v>2.3972116408548141</v>
      </c>
      <c r="D18">
        <v>0.81377630328933215</v>
      </c>
      <c r="E18">
        <v>1.4636526996057684</v>
      </c>
      <c r="F18">
        <v>-0.36202430187944312</v>
      </c>
      <c r="G18">
        <v>4.3666333282645082</v>
      </c>
      <c r="H18">
        <v>1.5497240355245272</v>
      </c>
      <c r="I18">
        <v>0.1777975426381424</v>
      </c>
      <c r="J18">
        <v>0.59430856642697383</v>
      </c>
      <c r="K18">
        <v>1.6827978736822107</v>
      </c>
      <c r="L18">
        <v>1.718579680428773</v>
      </c>
      <c r="M18">
        <v>1.9098402236646086</v>
      </c>
      <c r="N18">
        <v>2.6961287446740938</v>
      </c>
      <c r="O18">
        <v>0.29946796562244704</v>
      </c>
      <c r="P18">
        <v>1.0243658608522359</v>
      </c>
      <c r="Q18">
        <v>3.072606644325055</v>
      </c>
      <c r="R18">
        <v>1.3676242432862913</v>
      </c>
      <c r="S18">
        <v>4.0224215979700269</v>
      </c>
      <c r="T18">
        <v>3.4476476773962474</v>
      </c>
    </row>
    <row r="19" spans="1:20" x14ac:dyDescent="0.35">
      <c r="A19">
        <v>1.5260200393640151</v>
      </c>
      <c r="B19">
        <v>2.5368222483121854</v>
      </c>
      <c r="C19">
        <v>2.262227168649237</v>
      </c>
      <c r="D19">
        <v>1.5477569721902273</v>
      </c>
      <c r="E19">
        <v>0.64738125774482258</v>
      </c>
      <c r="F19">
        <v>0.70031800099234065</v>
      </c>
      <c r="G19">
        <v>1.2610784187594142</v>
      </c>
      <c r="H19">
        <v>0.53697336530351913</v>
      </c>
      <c r="I19">
        <v>1.3562738074401133</v>
      </c>
      <c r="J19">
        <v>2.1058967890960223</v>
      </c>
      <c r="K19">
        <v>0.99975694663302783</v>
      </c>
      <c r="L19">
        <v>0.80865352013455438</v>
      </c>
      <c r="M19">
        <v>1.1299257418952486</v>
      </c>
      <c r="N19">
        <v>3.2206392235960957</v>
      </c>
      <c r="O19">
        <v>1.6839932128539805</v>
      </c>
      <c r="P19">
        <v>2.2373778001306706</v>
      </c>
      <c r="Q19">
        <v>1.1623583348175299</v>
      </c>
      <c r="R19">
        <v>1.9327068939492924</v>
      </c>
      <c r="S19">
        <v>1.0984231767143386</v>
      </c>
      <c r="T19">
        <v>1.5068053289340795</v>
      </c>
    </row>
    <row r="20" spans="1:20" x14ac:dyDescent="0.35">
      <c r="A20">
        <v>2.7962125603970716</v>
      </c>
      <c r="B20">
        <v>2.1077926005373118</v>
      </c>
      <c r="C20">
        <v>1.9473609758983108</v>
      </c>
      <c r="D20">
        <v>1.1539107849928487</v>
      </c>
      <c r="E20">
        <v>1.7992492767673154</v>
      </c>
      <c r="F20">
        <v>2.9636319217017801</v>
      </c>
      <c r="G20">
        <v>4.847537695584613</v>
      </c>
      <c r="H20">
        <v>2.2536633484550657</v>
      </c>
      <c r="I20">
        <v>1.9051361736137538</v>
      </c>
      <c r="J20">
        <v>1.6030772682684131</v>
      </c>
      <c r="K20">
        <v>2.0524462489451043</v>
      </c>
      <c r="L20">
        <v>2.183549483458826</v>
      </c>
      <c r="M20">
        <v>1.5023819918825239</v>
      </c>
      <c r="N20">
        <v>2.1907248476952277</v>
      </c>
      <c r="O20">
        <v>1.6357954819531741</v>
      </c>
      <c r="P20">
        <v>4.3853280967214143</v>
      </c>
      <c r="Q20">
        <v>1.8843884348739499</v>
      </c>
      <c r="R20">
        <v>1.7273868353649533</v>
      </c>
      <c r="S20">
        <v>2.1313153142506489</v>
      </c>
      <c r="T20">
        <v>1.8299453175760259</v>
      </c>
    </row>
    <row r="21" spans="1:20" x14ac:dyDescent="0.35">
      <c r="A21" s="106">
        <v>1.9876830313770213</v>
      </c>
      <c r="B21" s="106">
        <v>-0.29229746783415411</v>
      </c>
      <c r="C21" s="106">
        <v>2.4540976999913253</v>
      </c>
      <c r="D21" s="106">
        <v>3.9813036749450905</v>
      </c>
      <c r="E21" s="106">
        <v>1.8142740644236492</v>
      </c>
      <c r="F21" s="106">
        <v>1.2140446858766456</v>
      </c>
      <c r="G21" s="106">
        <v>1.2593259061762061</v>
      </c>
      <c r="H21" s="106">
        <v>1.6207982793425058</v>
      </c>
      <c r="I21" s="106">
        <v>0.21387526399553747</v>
      </c>
      <c r="J21" s="106">
        <v>1.9833150841242917</v>
      </c>
      <c r="K21" s="106">
        <v>0.97189129397224305</v>
      </c>
      <c r="L21" s="106">
        <v>0.77946380484453481</v>
      </c>
      <c r="M21" s="106">
        <v>2.7164277461901936</v>
      </c>
      <c r="N21" s="106">
        <v>2.9014310707272069</v>
      </c>
      <c r="O21" s="106">
        <v>2.458034074745711</v>
      </c>
      <c r="P21" s="106">
        <v>0.79232731456903505</v>
      </c>
      <c r="Q21" s="106">
        <v>2.0018898217982857</v>
      </c>
      <c r="R21" s="106">
        <v>3.1743563481021253</v>
      </c>
      <c r="S21" s="106">
        <v>2.3439889744756095</v>
      </c>
      <c r="T21" s="106">
        <v>0.65646601575394903</v>
      </c>
    </row>
    <row r="22" spans="1:20" x14ac:dyDescent="0.35">
      <c r="A22" t="e">
        <f ca="1">MWTEST(A2:A11,A12:A21)</f>
        <v>#NAME?</v>
      </c>
      <c r="B22" t="e">
        <f ca="1">MWTEST(B2:B11,B12:B21)</f>
        <v>#NAME?</v>
      </c>
      <c r="C22" t="e">
        <f ca="1">MWTEST(C2:C11,C12:C21)</f>
        <v>#NAME?</v>
      </c>
      <c r="D22" t="e">
        <f ca="1">MWTEST(D2:D11,D12:D21)</f>
        <v>#NAME?</v>
      </c>
      <c r="E22" t="e">
        <f ca="1">MWTEST(E2:E11,E12:E21)</f>
        <v>#NAME?</v>
      </c>
      <c r="F22" t="e">
        <f ca="1">MWTEST(F2:F11,F12:F21)</f>
        <v>#NAME?</v>
      </c>
      <c r="G22" t="e">
        <f ca="1">MWTEST(G2:G11,G12:G21)</f>
        <v>#NAME?</v>
      </c>
      <c r="H22" t="e">
        <f ca="1">MWTEST(H2:H11,H12:H21)</f>
        <v>#NAME?</v>
      </c>
      <c r="I22" t="e">
        <f ca="1">MWTEST(I2:I11,I12:I21)</f>
        <v>#NAME?</v>
      </c>
      <c r="J22" t="e">
        <f ca="1">MWTEST(J2:J11,J12:J21)</f>
        <v>#NAME?</v>
      </c>
      <c r="K22" t="e">
        <f ca="1">MWTEST(K2:K11,K12:K21)</f>
        <v>#NAME?</v>
      </c>
      <c r="L22" t="e">
        <f ca="1">MWTEST(L2:L11,L12:L21)</f>
        <v>#NAME?</v>
      </c>
      <c r="M22" t="e">
        <f ca="1">MWTEST(M2:M11,M12:M21)</f>
        <v>#NAME?</v>
      </c>
      <c r="N22" t="e">
        <f ca="1">MWTEST(N2:N11,N12:N21)</f>
        <v>#NAME?</v>
      </c>
      <c r="O22" t="e">
        <f ca="1">MWTEST(O2:O11,O12:O21)</f>
        <v>#NAME?</v>
      </c>
      <c r="P22" t="e">
        <f ca="1">MWTEST(P2:P11,P12:P21)</f>
        <v>#NAME?</v>
      </c>
      <c r="Q22" t="e">
        <f ca="1">MWTEST(Q2:Q11,Q12:Q21)</f>
        <v>#NAME?</v>
      </c>
      <c r="R22" t="e">
        <f ca="1">MWTEST(R2:R11,R12:R21)</f>
        <v>#NAME?</v>
      </c>
      <c r="S22" t="e">
        <f ca="1">MWTEST(S2:S11,S12:S21)</f>
        <v>#NAME?</v>
      </c>
      <c r="T22" t="e">
        <f ca="1">MWTEST(T2:T11,T12:T21)</f>
        <v>#NAME?</v>
      </c>
    </row>
    <row r="23" spans="1:20" x14ac:dyDescent="0.35">
      <c r="A23" s="106" t="e">
        <f ca="1">IF(A22&lt;0.05,1,0)</f>
        <v>#NAME?</v>
      </c>
      <c r="B23" s="106" t="e">
        <f t="shared" ref="B23:T23" ca="1" si="1">IF(B22&lt;0.05,1,0)</f>
        <v>#NAME?</v>
      </c>
      <c r="C23" s="106" t="e">
        <f t="shared" ca="1" si="1"/>
        <v>#NAME?</v>
      </c>
      <c r="D23" s="106" t="e">
        <f t="shared" ca="1" si="1"/>
        <v>#NAME?</v>
      </c>
      <c r="E23" s="106" t="e">
        <f t="shared" ca="1" si="1"/>
        <v>#NAME?</v>
      </c>
      <c r="F23" s="106" t="e">
        <f t="shared" ca="1" si="1"/>
        <v>#NAME?</v>
      </c>
      <c r="G23" s="106" t="e">
        <f t="shared" ca="1" si="1"/>
        <v>#NAME?</v>
      </c>
      <c r="H23" s="106" t="e">
        <f t="shared" ca="1" si="1"/>
        <v>#NAME?</v>
      </c>
      <c r="I23" s="106" t="e">
        <f t="shared" ca="1" si="1"/>
        <v>#NAME?</v>
      </c>
      <c r="J23" s="106" t="e">
        <f t="shared" ca="1" si="1"/>
        <v>#NAME?</v>
      </c>
      <c r="K23" s="106" t="e">
        <f t="shared" ca="1" si="1"/>
        <v>#NAME?</v>
      </c>
      <c r="L23" s="106" t="e">
        <f t="shared" ca="1" si="1"/>
        <v>#NAME?</v>
      </c>
      <c r="M23" s="106" t="e">
        <f t="shared" ca="1" si="1"/>
        <v>#NAME?</v>
      </c>
      <c r="N23" s="106" t="e">
        <f t="shared" ca="1" si="1"/>
        <v>#NAME?</v>
      </c>
      <c r="O23" s="106" t="e">
        <f t="shared" ca="1" si="1"/>
        <v>#NAME?</v>
      </c>
      <c r="P23" s="106" t="e">
        <f t="shared" ca="1" si="1"/>
        <v>#NAME?</v>
      </c>
      <c r="Q23" s="106" t="e">
        <f t="shared" ca="1" si="1"/>
        <v>#NAME?</v>
      </c>
      <c r="R23" s="106" t="e">
        <f t="shared" ca="1" si="1"/>
        <v>#NAME?</v>
      </c>
      <c r="S23" s="106" t="e">
        <f t="shared" ca="1" si="1"/>
        <v>#NAME?</v>
      </c>
      <c r="T23" s="106" t="e">
        <f t="shared" ca="1" si="1"/>
        <v>#NAME?</v>
      </c>
    </row>
    <row r="25" spans="1:20" x14ac:dyDescent="0.35">
      <c r="A25" s="14" t="s">
        <v>341</v>
      </c>
    </row>
    <row r="26" spans="1:20" x14ac:dyDescent="0.35">
      <c r="A26" s="14" t="s">
        <v>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6"/>
  <dimension ref="A1:D22"/>
  <sheetViews>
    <sheetView workbookViewId="0"/>
  </sheetViews>
  <sheetFormatPr defaultRowHeight="14.5" x14ac:dyDescent="0.35"/>
  <cols>
    <col min="1" max="1" width="9.54296875" customWidth="1"/>
  </cols>
  <sheetData>
    <row r="1" spans="1:4" x14ac:dyDescent="0.35">
      <c r="A1" s="1" t="s">
        <v>343</v>
      </c>
    </row>
    <row r="3" spans="1:4" x14ac:dyDescent="0.35">
      <c r="A3" t="s">
        <v>94</v>
      </c>
      <c r="B3" s="117">
        <v>0.05</v>
      </c>
      <c r="C3" s="164">
        <v>0.05</v>
      </c>
      <c r="D3" s="118">
        <v>0.05</v>
      </c>
    </row>
    <row r="4" spans="1:4" x14ac:dyDescent="0.35">
      <c r="A4" t="s">
        <v>344</v>
      </c>
      <c r="B4" s="59">
        <v>1</v>
      </c>
      <c r="C4" s="7">
        <v>1</v>
      </c>
      <c r="D4" s="60">
        <v>1</v>
      </c>
    </row>
    <row r="5" spans="1:4" x14ac:dyDescent="0.35">
      <c r="A5" t="s">
        <v>345</v>
      </c>
      <c r="B5" s="59">
        <v>2</v>
      </c>
      <c r="C5" s="7">
        <v>2</v>
      </c>
      <c r="D5" s="60">
        <v>2</v>
      </c>
    </row>
    <row r="6" spans="1:4" x14ac:dyDescent="0.35">
      <c r="A6" t="s">
        <v>346</v>
      </c>
      <c r="B6" s="59">
        <v>10</v>
      </c>
      <c r="C6" s="7">
        <v>18</v>
      </c>
      <c r="D6" s="60">
        <v>30</v>
      </c>
    </row>
    <row r="7" spans="1:4" x14ac:dyDescent="0.35">
      <c r="A7" t="s">
        <v>347</v>
      </c>
      <c r="B7" s="59">
        <v>10</v>
      </c>
      <c r="C7" s="7">
        <v>18</v>
      </c>
      <c r="D7" s="60">
        <v>30</v>
      </c>
    </row>
    <row r="8" spans="1:4" x14ac:dyDescent="0.35">
      <c r="A8" t="s">
        <v>348</v>
      </c>
      <c r="B8" s="59">
        <v>10000</v>
      </c>
      <c r="C8" s="7">
        <v>10000</v>
      </c>
      <c r="D8" s="60">
        <v>10000</v>
      </c>
    </row>
    <row r="9" spans="1:4" x14ac:dyDescent="0.35">
      <c r="A9" t="s">
        <v>349</v>
      </c>
      <c r="B9" s="45">
        <v>0.5141</v>
      </c>
      <c r="C9" s="106">
        <v>0.80020000000000002</v>
      </c>
      <c r="D9" s="48">
        <v>0.95</v>
      </c>
    </row>
    <row r="11" spans="1:4" x14ac:dyDescent="0.35">
      <c r="B11" s="14" t="s">
        <v>350</v>
      </c>
    </row>
    <row r="13" spans="1:4" x14ac:dyDescent="0.35">
      <c r="A13" t="s">
        <v>94</v>
      </c>
      <c r="B13">
        <v>0.05</v>
      </c>
    </row>
    <row r="14" spans="1:4" x14ac:dyDescent="0.35">
      <c r="A14" t="s">
        <v>351</v>
      </c>
      <c r="B14">
        <v>1</v>
      </c>
    </row>
    <row r="15" spans="1:4" x14ac:dyDescent="0.35">
      <c r="B15" t="e">
        <f ca="1">T2_POWER(1,10,10)</f>
        <v>#NAME?</v>
      </c>
    </row>
    <row r="16" spans="1:4" x14ac:dyDescent="0.35">
      <c r="B16" t="e">
        <f ca="1">FTEXT(B15)</f>
        <v>#NAME?</v>
      </c>
    </row>
    <row r="18" spans="2:4" x14ac:dyDescent="0.35">
      <c r="B18" t="e">
        <f ca="1">T2_POWER(1,10*3/PI(),10*3/PI())</f>
        <v>#NAME?</v>
      </c>
    </row>
    <row r="19" spans="2:4" x14ac:dyDescent="0.35">
      <c r="B19" t="e">
        <f ca="1">FTEXT(B18)</f>
        <v>#NAME?</v>
      </c>
    </row>
    <row r="21" spans="2:4" x14ac:dyDescent="0.35">
      <c r="B21" t="e">
        <f ca="1">T2_SIZE(1,0.8)</f>
        <v>#NAME?</v>
      </c>
      <c r="D21" t="e">
        <f ca="1">T2_SIZE(1,0.95)</f>
        <v>#NAME?</v>
      </c>
    </row>
    <row r="22" spans="2:4" x14ac:dyDescent="0.35">
      <c r="B22" t="e">
        <f ca="1">FTEXT(B21)</f>
        <v>#NAME?</v>
      </c>
      <c r="D22" t="e">
        <f ca="1">FTEXT(D21)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96"/>
  <dimension ref="A1:V37"/>
  <sheetViews>
    <sheetView workbookViewId="0"/>
  </sheetViews>
  <sheetFormatPr defaultRowHeight="14.5" x14ac:dyDescent="0.35"/>
  <cols>
    <col min="2" max="4" width="10" customWidth="1"/>
    <col min="9" max="9" width="6.453125" customWidth="1"/>
    <col min="11" max="11" width="9.1796875" customWidth="1"/>
    <col min="12" max="12" width="3.453125" customWidth="1"/>
    <col min="13" max="13" width="22.54296875" customWidth="1"/>
    <col min="14" max="14" width="9.1796875" customWidth="1"/>
  </cols>
  <sheetData>
    <row r="1" spans="1:22" x14ac:dyDescent="0.35">
      <c r="A1" s="35" t="s">
        <v>153</v>
      </c>
    </row>
    <row r="3" spans="1:22" s="33" customFormat="1" ht="29" x14ac:dyDescent="0.35">
      <c r="A3" s="186" t="s">
        <v>66</v>
      </c>
      <c r="B3" s="186" t="s">
        <v>139</v>
      </c>
      <c r="C3" s="186" t="s">
        <v>140</v>
      </c>
      <c r="D3" s="186" t="s">
        <v>109</v>
      </c>
      <c r="E3" s="186" t="s">
        <v>133</v>
      </c>
      <c r="F3" s="186" t="s">
        <v>135</v>
      </c>
      <c r="G3" s="186" t="s">
        <v>136</v>
      </c>
      <c r="H3" s="186" t="s">
        <v>137</v>
      </c>
      <c r="I3" s="87"/>
      <c r="J3" s="87"/>
      <c r="K3"/>
      <c r="L3"/>
      <c r="M3"/>
      <c r="N3"/>
      <c r="O3"/>
      <c r="P3"/>
      <c r="Q3"/>
      <c r="R3"/>
      <c r="S3"/>
      <c r="T3"/>
      <c r="U3"/>
      <c r="V3"/>
    </row>
    <row r="4" spans="1:22" x14ac:dyDescent="0.35">
      <c r="A4" s="194">
        <v>1</v>
      </c>
      <c r="B4" s="194">
        <v>50</v>
      </c>
      <c r="C4" s="194">
        <v>47</v>
      </c>
      <c r="D4" s="194">
        <f>B4-C4</f>
        <v>3</v>
      </c>
      <c r="E4" s="194">
        <f>IF(D4=0,"",ABS(D4))</f>
        <v>3</v>
      </c>
      <c r="F4" s="194" t="e">
        <f ca="1">IF(D4&lt;&gt;0,RANK_AVG(E4,$E$4:$E$18,1),"")</f>
        <v>#NAME?</v>
      </c>
      <c r="G4" s="194" t="e">
        <f ca="1">IF(D4&gt;0,F4,"")</f>
        <v>#NAME?</v>
      </c>
      <c r="H4" s="194" t="str">
        <f>IF(D4&lt;0,F4,"")</f>
        <v/>
      </c>
      <c r="I4" s="87"/>
      <c r="J4" s="38" t="s">
        <v>34</v>
      </c>
      <c r="K4" s="173">
        <v>0.05</v>
      </c>
      <c r="L4" s="7"/>
      <c r="O4" s="186" t="s">
        <v>109</v>
      </c>
      <c r="T4" t="s">
        <v>134</v>
      </c>
    </row>
    <row r="5" spans="1:22" x14ac:dyDescent="0.35">
      <c r="A5" s="194">
        <f>A4+1</f>
        <v>2</v>
      </c>
      <c r="B5" s="194">
        <v>45</v>
      </c>
      <c r="C5" s="194">
        <v>45</v>
      </c>
      <c r="D5" s="194">
        <f t="shared" ref="D5:D18" si="0">B5-C5</f>
        <v>0</v>
      </c>
      <c r="E5" s="194" t="str">
        <f t="shared" ref="E5:E18" si="1">IF(D5=0,"",ABS(D5))</f>
        <v/>
      </c>
      <c r="F5" s="194" t="str">
        <f>IF(D5&lt;&gt;0,RANK_AVG(E5,$E$4:$E$18,1),"")</f>
        <v/>
      </c>
      <c r="G5" s="194" t="str">
        <f t="shared" ref="G5:G18" si="2">IF(D5&gt;0,F5,"")</f>
        <v/>
      </c>
      <c r="H5" s="194" t="str">
        <f t="shared" ref="H5:H18" si="3">IF(D5&lt;0,F5,"")</f>
        <v/>
      </c>
      <c r="I5" s="87"/>
      <c r="J5" s="38" t="s">
        <v>107</v>
      </c>
      <c r="K5" s="58">
        <v>2</v>
      </c>
      <c r="L5" s="7"/>
      <c r="N5" t="s">
        <v>35</v>
      </c>
      <c r="O5">
        <f>MIN(D4:D18)</f>
        <v>-10</v>
      </c>
    </row>
    <row r="6" spans="1:22" x14ac:dyDescent="0.35">
      <c r="A6" s="194">
        <f t="shared" ref="A6:A18" si="4">A5+1</f>
        <v>3</v>
      </c>
      <c r="B6" s="194">
        <v>33</v>
      </c>
      <c r="C6" s="194">
        <v>31</v>
      </c>
      <c r="D6" s="194">
        <f t="shared" si="0"/>
        <v>2</v>
      </c>
      <c r="E6" s="194">
        <f t="shared" si="1"/>
        <v>2</v>
      </c>
      <c r="F6" s="194" t="e">
        <f ca="1">IF(D6&lt;&gt;0,RANK_AVG(E6,$E$4:$E$18,1),"")</f>
        <v>#NAME?</v>
      </c>
      <c r="G6" s="194" t="e">
        <f t="shared" ca="1" si="2"/>
        <v>#NAME?</v>
      </c>
      <c r="H6" s="194" t="str">
        <f t="shared" si="3"/>
        <v/>
      </c>
      <c r="I6" s="87"/>
      <c r="J6" t="s">
        <v>26</v>
      </c>
      <c r="K6" s="58">
        <f>COUNT(E4:E18)</f>
        <v>14</v>
      </c>
      <c r="L6" s="7"/>
      <c r="N6" t="s">
        <v>36</v>
      </c>
      <c r="O6">
        <f>QUARTILE(D4:D18,1)-O5</f>
        <v>9</v>
      </c>
      <c r="U6" t="str">
        <f>B3</f>
        <v>Right</v>
      </c>
      <c r="V6" t="str">
        <f>C3</f>
        <v>Left</v>
      </c>
    </row>
    <row r="7" spans="1:22" x14ac:dyDescent="0.35">
      <c r="A7" s="194">
        <f t="shared" si="4"/>
        <v>4</v>
      </c>
      <c r="B7" s="194">
        <v>22</v>
      </c>
      <c r="C7" s="194">
        <v>24</v>
      </c>
      <c r="D7" s="194">
        <f t="shared" si="0"/>
        <v>-2</v>
      </c>
      <c r="E7" s="194">
        <f t="shared" si="1"/>
        <v>2</v>
      </c>
      <c r="F7" s="194" t="e">
        <f ca="1">IF(D7&lt;&gt;0,RANK_AVG(E7,$E$4:$E$18,1),"")</f>
        <v>#NAME?</v>
      </c>
      <c r="G7" s="194" t="str">
        <f t="shared" si="2"/>
        <v/>
      </c>
      <c r="H7" s="194" t="e">
        <f t="shared" ca="1" si="3"/>
        <v>#NAME?</v>
      </c>
      <c r="I7" s="87"/>
      <c r="J7" s="38" t="s">
        <v>103</v>
      </c>
      <c r="K7" s="58" t="e">
        <f ca="1">MIN(G19:H19)</f>
        <v>#NAME?</v>
      </c>
      <c r="L7" s="7"/>
      <c r="N7" t="s">
        <v>37</v>
      </c>
      <c r="O7">
        <f>MEDIAN(D4:D18)-QUARTILE(D4:D18,1)</f>
        <v>4</v>
      </c>
      <c r="T7" t="s">
        <v>106</v>
      </c>
      <c r="U7" s="167">
        <f>MEDIAN(B4:B18)</f>
        <v>45</v>
      </c>
      <c r="V7" s="166">
        <f>MEDIAN(C4:C18)</f>
        <v>45</v>
      </c>
    </row>
    <row r="8" spans="1:22" x14ac:dyDescent="0.35">
      <c r="A8" s="194">
        <f t="shared" si="4"/>
        <v>5</v>
      </c>
      <c r="B8" s="194">
        <v>99</v>
      </c>
      <c r="C8" s="194">
        <v>78</v>
      </c>
      <c r="D8" s="194">
        <f t="shared" si="0"/>
        <v>21</v>
      </c>
      <c r="E8" s="194">
        <f t="shared" si="1"/>
        <v>21</v>
      </c>
      <c r="F8" s="194" t="e">
        <f ca="1">IF(D8&lt;&gt;0,RANK_AVG(E8,$E$4:$E$18,1),"")</f>
        <v>#NAME?</v>
      </c>
      <c r="G8" s="194" t="e">
        <f t="shared" ca="1" si="2"/>
        <v>#NAME?</v>
      </c>
      <c r="H8" s="194" t="str">
        <f t="shared" si="3"/>
        <v/>
      </c>
      <c r="I8" s="87"/>
      <c r="J8" s="23" t="s">
        <v>138</v>
      </c>
      <c r="K8" s="58">
        <f>'Signed Rank Table'!D15</f>
        <v>21</v>
      </c>
      <c r="L8" s="7"/>
      <c r="N8" t="s">
        <v>38</v>
      </c>
      <c r="O8">
        <f>QUARTILE(D4:D18,3)-MEDIAN(D4:D18)</f>
        <v>1.5</v>
      </c>
    </row>
    <row r="9" spans="1:22" x14ac:dyDescent="0.35">
      <c r="A9" s="194">
        <f t="shared" si="4"/>
        <v>6</v>
      </c>
      <c r="B9" s="194">
        <v>79</v>
      </c>
      <c r="C9" s="194">
        <v>76</v>
      </c>
      <c r="D9" s="194">
        <f t="shared" si="0"/>
        <v>3</v>
      </c>
      <c r="E9" s="194">
        <f t="shared" si="1"/>
        <v>3</v>
      </c>
      <c r="F9" s="194" t="e">
        <f ca="1">IF(D9&lt;&gt;0,RANK_AVG(E9,$E$4:$E$18,1),"")</f>
        <v>#NAME?</v>
      </c>
      <c r="G9" s="194" t="e">
        <f t="shared" ca="1" si="2"/>
        <v>#NAME?</v>
      </c>
      <c r="H9" s="194" t="str">
        <f t="shared" si="3"/>
        <v/>
      </c>
      <c r="I9" s="87"/>
      <c r="J9" s="23" t="s">
        <v>104</v>
      </c>
      <c r="K9" s="47" t="e">
        <f ca="1">IF(K7&lt;K8,"yes","no")</f>
        <v>#NAME?</v>
      </c>
      <c r="L9" s="19"/>
      <c r="N9" t="s">
        <v>39</v>
      </c>
      <c r="O9">
        <f>MAX(D4:D18)-QUARTILE(D4:D18,3)</f>
        <v>16.5</v>
      </c>
      <c r="T9" t="s">
        <v>100</v>
      </c>
      <c r="U9" s="168">
        <f>SUMPRODUCT(--ISNUMBER(B4:B18),--ISNUMBER(C4:C18))</f>
        <v>15</v>
      </c>
    </row>
    <row r="10" spans="1:22" x14ac:dyDescent="0.35">
      <c r="A10" s="194">
        <f t="shared" si="4"/>
        <v>7</v>
      </c>
      <c r="B10" s="194">
        <v>4</v>
      </c>
      <c r="C10" s="194">
        <v>13</v>
      </c>
      <c r="D10" s="194">
        <f t="shared" si="0"/>
        <v>-9</v>
      </c>
      <c r="E10" s="194">
        <f t="shared" si="1"/>
        <v>9</v>
      </c>
      <c r="F10" s="194" t="e">
        <f ca="1">IF(D10&lt;&gt;0,RANK_AVG(E10,$E$4:$E$18,1),"")</f>
        <v>#NAME?</v>
      </c>
      <c r="G10" s="194" t="str">
        <f t="shared" si="2"/>
        <v/>
      </c>
      <c r="H10" s="194" t="e">
        <f t="shared" ca="1" si="3"/>
        <v>#NAME?</v>
      </c>
      <c r="I10" s="87"/>
      <c r="J10" s="194"/>
      <c r="T10" t="s">
        <v>176</v>
      </c>
      <c r="U10" s="101">
        <f>SUMPRODUCT(--ISNUMBER(B4:B18),--ISNUMBER(C4:C18),--(B4:B18&lt;&gt;C4:C18))</f>
        <v>14</v>
      </c>
    </row>
    <row r="11" spans="1:22" x14ac:dyDescent="0.35">
      <c r="A11" s="194">
        <f t="shared" si="4"/>
        <v>8</v>
      </c>
      <c r="B11" s="194">
        <v>36</v>
      </c>
      <c r="C11" s="194">
        <v>46</v>
      </c>
      <c r="D11" s="194">
        <f t="shared" si="0"/>
        <v>-10</v>
      </c>
      <c r="E11" s="194">
        <f t="shared" si="1"/>
        <v>10</v>
      </c>
      <c r="F11" s="194" t="e">
        <f ca="1">IF(D11&lt;&gt;0,RANK_AVG(E11,$E$4:$E$18,1),"")</f>
        <v>#NAME?</v>
      </c>
      <c r="G11" s="194" t="str">
        <f t="shared" si="2"/>
        <v/>
      </c>
      <c r="H11" s="194" t="e">
        <f t="shared" ca="1" si="3"/>
        <v>#NAME?</v>
      </c>
      <c r="I11" s="87"/>
      <c r="J11" s="194"/>
      <c r="T11" t="s">
        <v>177</v>
      </c>
      <c r="U11" s="101" t="e">
        <f ca="1">IF(U13&lt;=U16,U13,U10*(U10+1)/2)</f>
        <v>#NAME?</v>
      </c>
    </row>
    <row r="12" spans="1:22" x14ac:dyDescent="0.35">
      <c r="A12" s="194">
        <f t="shared" si="4"/>
        <v>9</v>
      </c>
      <c r="B12" s="194">
        <v>62</v>
      </c>
      <c r="C12" s="194">
        <v>45</v>
      </c>
      <c r="D12" s="194">
        <f t="shared" si="0"/>
        <v>17</v>
      </c>
      <c r="E12" s="194">
        <f t="shared" si="1"/>
        <v>17</v>
      </c>
      <c r="F12" s="194" t="e">
        <f ca="1">IF(D12&lt;&gt;0,RANK_AVG(E12,$E$4:$E$18,1),"")</f>
        <v>#NAME?</v>
      </c>
      <c r="G12" s="194" t="e">
        <f t="shared" ca="1" si="2"/>
        <v>#NAME?</v>
      </c>
      <c r="H12" s="194" t="str">
        <f t="shared" si="3"/>
        <v/>
      </c>
      <c r="I12" s="87"/>
      <c r="J12" t="s">
        <v>194</v>
      </c>
      <c r="T12" t="s">
        <v>178</v>
      </c>
      <c r="U12" s="101" t="e">
        <f ca="1">U10*(U10+1)/2-U11</f>
        <v>#NAME?</v>
      </c>
    </row>
    <row r="13" spans="1:22" x14ac:dyDescent="0.35">
      <c r="A13" s="194">
        <f t="shared" si="4"/>
        <v>10</v>
      </c>
      <c r="B13" s="194">
        <v>51</v>
      </c>
      <c r="C13" s="194">
        <v>44</v>
      </c>
      <c r="D13" s="194">
        <f t="shared" si="0"/>
        <v>7</v>
      </c>
      <c r="E13" s="194">
        <f t="shared" si="1"/>
        <v>7</v>
      </c>
      <c r="F13" s="194" t="e">
        <f ca="1">IF(D13&lt;&gt;0,RANK_AVG(E13,$E$4:$E$18,1),"")</f>
        <v>#NAME?</v>
      </c>
      <c r="G13" s="194" t="e">
        <f t="shared" ca="1" si="2"/>
        <v>#NAME?</v>
      </c>
      <c r="H13" s="194" t="str">
        <f t="shared" si="3"/>
        <v/>
      </c>
      <c r="I13" s="87"/>
      <c r="T13" t="s">
        <v>103</v>
      </c>
      <c r="U13" s="103" t="e">
        <f ca="1">SRANK(B4:B18,C4:C18)</f>
        <v>#NAME?</v>
      </c>
    </row>
    <row r="14" spans="1:22" x14ac:dyDescent="0.35">
      <c r="A14" s="194">
        <f t="shared" si="4"/>
        <v>11</v>
      </c>
      <c r="B14" s="194">
        <v>27</v>
      </c>
      <c r="C14" s="194">
        <v>23</v>
      </c>
      <c r="D14" s="194">
        <f t="shared" si="0"/>
        <v>4</v>
      </c>
      <c r="E14" s="194">
        <f t="shared" si="1"/>
        <v>4</v>
      </c>
      <c r="F14" s="194" t="e">
        <f ca="1">IF(D14&lt;&gt;0,RANK_AVG(E14,$E$4:$E$18,1),"")</f>
        <v>#NAME?</v>
      </c>
      <c r="G14" s="194" t="e">
        <f t="shared" ca="1" si="2"/>
        <v>#NAME?</v>
      </c>
      <c r="H14" s="194" t="str">
        <f t="shared" si="3"/>
        <v/>
      </c>
      <c r="I14" s="87"/>
      <c r="J14" t="s">
        <v>103</v>
      </c>
      <c r="K14" s="165" t="e">
        <f ca="1">SRANK(B4:C18)</f>
        <v>#NAME?</v>
      </c>
      <c r="L14" s="7"/>
      <c r="M14" t="e">
        <f ca="1">FTEXT(K14)</f>
        <v>#NAME?</v>
      </c>
    </row>
    <row r="15" spans="1:22" x14ac:dyDescent="0.35">
      <c r="A15" s="194">
        <f t="shared" si="4"/>
        <v>12</v>
      </c>
      <c r="B15" s="194">
        <v>15</v>
      </c>
      <c r="C15" s="194">
        <v>14</v>
      </c>
      <c r="D15" s="194">
        <f t="shared" si="0"/>
        <v>1</v>
      </c>
      <c r="E15" s="194">
        <f t="shared" si="1"/>
        <v>1</v>
      </c>
      <c r="F15" s="194" t="e">
        <f ca="1">IF(D15&lt;&gt;0,RANK_AVG(E15,$E$4:$E$18,1),"")</f>
        <v>#NAME?</v>
      </c>
      <c r="G15" s="194" t="e">
        <f t="shared" ca="1" si="2"/>
        <v>#NAME?</v>
      </c>
      <c r="H15" s="194" t="str">
        <f t="shared" si="3"/>
        <v/>
      </c>
      <c r="I15" s="87"/>
      <c r="J15" s="36" t="s">
        <v>138</v>
      </c>
      <c r="K15" s="58" t="e">
        <f ca="1">SRINV(K4,K6,K5)</f>
        <v>#NAME?</v>
      </c>
      <c r="L15" s="7"/>
      <c r="M15" t="e">
        <f ca="1">FTEXT(K15)</f>
        <v>#NAME?</v>
      </c>
      <c r="U15" s="194" t="s">
        <v>182</v>
      </c>
      <c r="V15" s="194" t="s">
        <v>183</v>
      </c>
    </row>
    <row r="16" spans="1:22" x14ac:dyDescent="0.35">
      <c r="A16" s="194">
        <f t="shared" si="4"/>
        <v>13</v>
      </c>
      <c r="B16" s="194">
        <v>26</v>
      </c>
      <c r="C16" s="194">
        <v>34</v>
      </c>
      <c r="D16" s="194">
        <f t="shared" si="0"/>
        <v>-8</v>
      </c>
      <c r="E16" s="194">
        <f t="shared" si="1"/>
        <v>8</v>
      </c>
      <c r="F16" s="194" t="e">
        <f ca="1">IF(D16&lt;&gt;0,RANK_AVG(E16,$E$4:$E$18,1),"")</f>
        <v>#NAME?</v>
      </c>
      <c r="G16" s="194" t="str">
        <f t="shared" si="2"/>
        <v/>
      </c>
      <c r="H16" s="194" t="e">
        <f t="shared" ca="1" si="3"/>
        <v>#NAME?</v>
      </c>
      <c r="I16" s="87"/>
      <c r="J16" s="36" t="s">
        <v>48</v>
      </c>
      <c r="K16" s="50" t="e">
        <f ca="1">SRDIST(K14,K6,K5)</f>
        <v>#NAME?</v>
      </c>
      <c r="L16" s="7"/>
      <c r="M16" t="e">
        <f ca="1">FTEXT(K16)</f>
        <v>#NAME?</v>
      </c>
      <c r="T16" t="s">
        <v>2</v>
      </c>
      <c r="U16" s="168">
        <f>U10*(U10+1)/4</f>
        <v>52.5</v>
      </c>
    </row>
    <row r="17" spans="1:22" x14ac:dyDescent="0.35">
      <c r="A17" s="194">
        <f t="shared" si="4"/>
        <v>14</v>
      </c>
      <c r="B17" s="194">
        <v>83</v>
      </c>
      <c r="C17" s="194">
        <v>79</v>
      </c>
      <c r="D17" s="194">
        <f t="shared" si="0"/>
        <v>4</v>
      </c>
      <c r="E17" s="194">
        <f t="shared" si="1"/>
        <v>4</v>
      </c>
      <c r="F17" s="194" t="e">
        <f ca="1">IF(D17&lt;&gt;0,RANK_AVG(E17,$E$4:$E$18,1),"")</f>
        <v>#NAME?</v>
      </c>
      <c r="G17" s="194" t="e">
        <f t="shared" ca="1" si="2"/>
        <v>#NAME?</v>
      </c>
      <c r="H17" s="194" t="str">
        <f t="shared" si="3"/>
        <v/>
      </c>
      <c r="I17" s="87"/>
      <c r="J17" s="194"/>
      <c r="T17" t="s">
        <v>56</v>
      </c>
      <c r="U17" s="101" t="e">
        <f ca="1">SQRT(U16*(2*U10+1)/6-TiesCorrection(B4:B18,C4:C18,1)/48)</f>
        <v>#NAME?</v>
      </c>
      <c r="V17" t="s">
        <v>246</v>
      </c>
    </row>
    <row r="18" spans="1:22" x14ac:dyDescent="0.35">
      <c r="A18" s="195">
        <f t="shared" si="4"/>
        <v>15</v>
      </c>
      <c r="B18" s="195">
        <v>86</v>
      </c>
      <c r="C18" s="195">
        <v>81</v>
      </c>
      <c r="D18" s="195">
        <f t="shared" si="0"/>
        <v>5</v>
      </c>
      <c r="E18" s="195">
        <f t="shared" si="1"/>
        <v>5</v>
      </c>
      <c r="F18" s="195" t="e">
        <f ca="1">IF(D18&lt;&gt;0,RANK_AVG(E18,$E$4:$E$18,1),"")</f>
        <v>#NAME?</v>
      </c>
      <c r="G18" s="195" t="e">
        <f t="shared" ca="1" si="2"/>
        <v>#NAME?</v>
      </c>
      <c r="H18" s="195" t="str">
        <f t="shared" si="3"/>
        <v/>
      </c>
      <c r="I18" s="87"/>
      <c r="J18" s="40" t="e">
        <f t="array" aca="1" ref="J18:K23" ca="1">SR_TEST(B4:C18,,TRUE)</f>
        <v>#NAME?</v>
      </c>
      <c r="K18" s="198" t="e">
        <f ca="1"/>
        <v>#NAME?</v>
      </c>
      <c r="L18" s="161"/>
      <c r="M18" s="40" t="e">
        <f ca="1">FTEXT(J18)</f>
        <v>#NAME?</v>
      </c>
      <c r="T18" t="s">
        <v>115</v>
      </c>
      <c r="U18" s="101" t="e">
        <f ca="1">ABS(ABS(U13-U16)-1/2)/U17</f>
        <v>#NAME?</v>
      </c>
      <c r="V18" t="s">
        <v>273</v>
      </c>
    </row>
    <row r="19" spans="1:22" x14ac:dyDescent="0.35">
      <c r="A19" s="194" t="s">
        <v>103</v>
      </c>
      <c r="B19" s="194"/>
      <c r="C19" s="194"/>
      <c r="F19" s="194"/>
      <c r="G19" s="193" t="e">
        <f ca="1">SUM(G4:G18)</f>
        <v>#NAME?</v>
      </c>
      <c r="H19" s="193" t="e">
        <f ca="1">SUM(H4:H18)</f>
        <v>#NAME?</v>
      </c>
      <c r="I19" s="87"/>
      <c r="J19" s="41" t="e">
        <f ca="1"/>
        <v>#NAME?</v>
      </c>
      <c r="K19" s="199" t="e">
        <f ca="1"/>
        <v>#NAME?</v>
      </c>
      <c r="L19" s="193"/>
      <c r="M19" s="193"/>
      <c r="T19" t="s">
        <v>111</v>
      </c>
      <c r="U19" s="101" t="e">
        <f ca="1">U18/SQRT(2*U9)</f>
        <v>#NAME?</v>
      </c>
    </row>
    <row r="20" spans="1:22" x14ac:dyDescent="0.35">
      <c r="A20" s="194"/>
      <c r="B20" s="194"/>
      <c r="C20" s="194"/>
      <c r="I20" s="87"/>
      <c r="J20" s="36" t="e">
        <f ca="1"/>
        <v>#NAME?</v>
      </c>
      <c r="K20" s="68" t="e">
        <f ca="1"/>
        <v>#NAME?</v>
      </c>
      <c r="T20" t="s">
        <v>274</v>
      </c>
      <c r="U20" s="168" t="e">
        <f ca="1">1-NORMSDIST(U18)</f>
        <v>#NAME?</v>
      </c>
      <c r="V20" s="169" t="e">
        <f ca="1">2*U20</f>
        <v>#NAME?</v>
      </c>
    </row>
    <row r="21" spans="1:22" x14ac:dyDescent="0.35">
      <c r="A21" s="194"/>
      <c r="J21" s="36" t="e">
        <f ca="1"/>
        <v>#NAME?</v>
      </c>
      <c r="K21" s="68" t="e">
        <f ca="1"/>
        <v>#NAME?</v>
      </c>
      <c r="T21" t="s">
        <v>275</v>
      </c>
      <c r="U21" s="101" t="e">
        <f ca="1">SRDIST(U13,U10,1)</f>
        <v>#NAME?</v>
      </c>
      <c r="V21" s="37" t="e">
        <f ca="1">2*U21</f>
        <v>#NAME?</v>
      </c>
    </row>
    <row r="22" spans="1:22" x14ac:dyDescent="0.35">
      <c r="J22" s="36" t="e">
        <f ca="1"/>
        <v>#NAME?</v>
      </c>
      <c r="K22" s="68" t="e">
        <f ca="1"/>
        <v>#NAME?</v>
      </c>
      <c r="T22" t="s">
        <v>276</v>
      </c>
      <c r="U22" s="103" t="e">
        <f t="array" aca="1" ref="U22:V22" ca="1">TRANSPOSE(SUBMATRIX(SR_SIMUL(B4:B18,C4:C18,TRUE,10000),3,2,2,1))</f>
        <v>#NAME?</v>
      </c>
      <c r="V22" s="105" t="e">
        <f ca="1"/>
        <v>#NAME?</v>
      </c>
    </row>
    <row r="23" spans="1:22" x14ac:dyDescent="0.35">
      <c r="J23" s="36" t="e">
        <f ca="1"/>
        <v>#NAME?</v>
      </c>
      <c r="K23" s="47" t="e">
        <f ca="1"/>
        <v>#NAME?</v>
      </c>
    </row>
    <row r="25" spans="1:22" x14ac:dyDescent="0.35">
      <c r="J25" t="e">
        <f t="array" aca="1" ref="J25:K30" ca="1">SR_TEST(B4:C18,,TRUE,,FALSE,FALSE)</f>
        <v>#NAME?</v>
      </c>
      <c r="K25" s="173" t="e">
        <f ca="1"/>
        <v>#NAME?</v>
      </c>
      <c r="M25" t="e">
        <f ca="1">FTEXT(K25)</f>
        <v>#NAME?</v>
      </c>
      <c r="P25" t="e">
        <f t="array" aca="1" ref="P25:Q28" ca="1">SR_SIMUL(B4:C18,,TRUE)</f>
        <v>#NAME?</v>
      </c>
      <c r="Q25" s="173" t="e">
        <f ca="1"/>
        <v>#NAME?</v>
      </c>
    </row>
    <row r="26" spans="1:22" x14ac:dyDescent="0.35">
      <c r="J26" t="e">
        <f ca="1"/>
        <v>#NAME?</v>
      </c>
      <c r="K26" s="58" t="e">
        <f ca="1"/>
        <v>#NAME?</v>
      </c>
      <c r="P26" t="e">
        <f ca="1"/>
        <v>#NAME?</v>
      </c>
      <c r="Q26" s="58" t="e">
        <f ca="1"/>
        <v>#NAME?</v>
      </c>
    </row>
    <row r="27" spans="1:22" x14ac:dyDescent="0.35">
      <c r="J27" t="e">
        <f ca="1"/>
        <v>#NAME?</v>
      </c>
      <c r="K27" s="58" t="e">
        <f ca="1"/>
        <v>#NAME?</v>
      </c>
      <c r="P27" t="e">
        <f ca="1"/>
        <v>#NAME?</v>
      </c>
      <c r="Q27" s="58" t="e">
        <f ca="1"/>
        <v>#NAME?</v>
      </c>
    </row>
    <row r="28" spans="1:22" x14ac:dyDescent="0.35">
      <c r="J28" t="e">
        <f ca="1"/>
        <v>#NAME?</v>
      </c>
      <c r="K28" s="58" t="e">
        <f ca="1"/>
        <v>#NAME?</v>
      </c>
      <c r="P28" t="e">
        <f ca="1"/>
        <v>#NAME?</v>
      </c>
      <c r="Q28" s="50" t="e">
        <f ca="1"/>
        <v>#NAME?</v>
      </c>
    </row>
    <row r="29" spans="1:22" x14ac:dyDescent="0.35">
      <c r="J29" t="e">
        <f ca="1"/>
        <v>#NAME?</v>
      </c>
      <c r="K29" s="58" t="e">
        <f ca="1"/>
        <v>#NAME?</v>
      </c>
    </row>
    <row r="30" spans="1:22" x14ac:dyDescent="0.35">
      <c r="J30" t="e">
        <f ca="1"/>
        <v>#NAME?</v>
      </c>
      <c r="K30" s="50" t="e">
        <f ca="1"/>
        <v>#NAME?</v>
      </c>
    </row>
    <row r="32" spans="1:22" x14ac:dyDescent="0.35">
      <c r="J32" t="e">
        <f t="array" aca="1" ref="J32:K37" ca="1">SR_TEST(B4:B18,C4:C18,TRUE,1)</f>
        <v>#NAME?</v>
      </c>
      <c r="K32" s="173" t="e">
        <f ca="1"/>
        <v>#NAME?</v>
      </c>
      <c r="M32" t="e">
        <f ca="1">FTEXT(K32)</f>
        <v>#NAME?</v>
      </c>
    </row>
    <row r="33" spans="10:11" x14ac:dyDescent="0.35">
      <c r="J33" t="e">
        <f ca="1"/>
        <v>#NAME?</v>
      </c>
      <c r="K33" s="58" t="e">
        <f ca="1"/>
        <v>#NAME?</v>
      </c>
    </row>
    <row r="34" spans="10:11" x14ac:dyDescent="0.35">
      <c r="J34" t="e">
        <f ca="1"/>
        <v>#NAME?</v>
      </c>
      <c r="K34" s="58" t="e">
        <f ca="1"/>
        <v>#NAME?</v>
      </c>
    </row>
    <row r="35" spans="10:11" x14ac:dyDescent="0.35">
      <c r="J35" t="e">
        <f ca="1"/>
        <v>#NAME?</v>
      </c>
      <c r="K35" s="58" t="e">
        <f ca="1"/>
        <v>#NAME?</v>
      </c>
    </row>
    <row r="36" spans="10:11" x14ac:dyDescent="0.35">
      <c r="J36" t="e">
        <f ca="1"/>
        <v>#NAME?</v>
      </c>
      <c r="K36" s="58" t="e">
        <f ca="1"/>
        <v>#NAME?</v>
      </c>
    </row>
    <row r="37" spans="10:11" x14ac:dyDescent="0.35">
      <c r="J37" t="e">
        <f ca="1"/>
        <v>#NAME?</v>
      </c>
      <c r="K37" s="50" t="e">
        <f ca="1"/>
        <v>#NAME?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8"/>
  <dimension ref="A1:AA34"/>
  <sheetViews>
    <sheetView zoomScaleNormal="100" workbookViewId="0"/>
  </sheetViews>
  <sheetFormatPr defaultRowHeight="14.5" x14ac:dyDescent="0.35"/>
  <cols>
    <col min="1" max="1" width="7.26953125" customWidth="1"/>
    <col min="2" max="2" width="7.1796875" customWidth="1"/>
    <col min="3" max="3" width="9.453125" customWidth="1"/>
    <col min="4" max="4" width="5.81640625" customWidth="1"/>
    <col min="5" max="5" width="7" customWidth="1"/>
    <col min="7" max="8" width="8.81640625" customWidth="1"/>
    <col min="9" max="9" width="3.81640625" customWidth="1"/>
    <col min="10" max="10" width="11.1796875" customWidth="1"/>
    <col min="11" max="11" width="9.54296875" customWidth="1"/>
    <col min="12" max="12" width="3.26953125" customWidth="1"/>
    <col min="13" max="13" width="35.7265625" bestFit="1" customWidth="1"/>
    <col min="15" max="15" width="12" customWidth="1"/>
    <col min="20" max="20" width="11" customWidth="1"/>
    <col min="23" max="23" width="9.1796875" customWidth="1"/>
  </cols>
  <sheetData>
    <row r="1" spans="1:27" x14ac:dyDescent="0.35">
      <c r="A1" s="35" t="s">
        <v>134</v>
      </c>
    </row>
    <row r="2" spans="1:27" x14ac:dyDescent="0.35">
      <c r="O2" t="s">
        <v>184</v>
      </c>
      <c r="T2" t="s">
        <v>253</v>
      </c>
      <c r="Z2" t="s">
        <v>210</v>
      </c>
    </row>
    <row r="3" spans="1:27" s="33" customFormat="1" ht="29" x14ac:dyDescent="0.35">
      <c r="A3" s="200" t="s">
        <v>141</v>
      </c>
      <c r="B3" s="200" t="s">
        <v>142</v>
      </c>
      <c r="C3" s="200" t="s">
        <v>143</v>
      </c>
      <c r="D3" s="200" t="s">
        <v>109</v>
      </c>
      <c r="E3" s="200" t="s">
        <v>133</v>
      </c>
      <c r="F3" s="200" t="s">
        <v>135</v>
      </c>
      <c r="G3" s="200" t="s">
        <v>136</v>
      </c>
      <c r="H3" s="200" t="s">
        <v>137</v>
      </c>
      <c r="I3" s="87"/>
      <c r="J3"/>
      <c r="K3"/>
      <c r="L3"/>
      <c r="M3"/>
      <c r="N3"/>
      <c r="O3"/>
      <c r="P3"/>
      <c r="Q3"/>
    </row>
    <row r="4" spans="1:27" x14ac:dyDescent="0.35">
      <c r="A4" s="42">
        <v>1</v>
      </c>
      <c r="B4" s="161">
        <v>15</v>
      </c>
      <c r="C4" s="161">
        <v>17</v>
      </c>
      <c r="D4" s="161">
        <f>B4-C4</f>
        <v>-2</v>
      </c>
      <c r="E4" s="161">
        <f>IF(D4=0,"",ABS(D4))</f>
        <v>2</v>
      </c>
      <c r="F4" s="161" t="e">
        <f ca="1">IF(D4&lt;&gt;0,RANK_AVG(E4,$E$4:$E$33,1),"")</f>
        <v>#NAME?</v>
      </c>
      <c r="G4" s="161" t="str">
        <f>IF(D4&gt;0,F4,"")</f>
        <v/>
      </c>
      <c r="H4" s="161" t="e">
        <f ca="1">IF(D4&lt;0,F4,"")</f>
        <v>#NAME?</v>
      </c>
      <c r="I4" s="194"/>
      <c r="J4" s="38" t="s">
        <v>34</v>
      </c>
      <c r="K4" s="173">
        <v>0.05</v>
      </c>
      <c r="O4" t="s">
        <v>134</v>
      </c>
      <c r="R4" s="33"/>
      <c r="T4" t="s">
        <v>134</v>
      </c>
      <c r="Z4" t="s">
        <v>281</v>
      </c>
    </row>
    <row r="5" spans="1:27" x14ac:dyDescent="0.35">
      <c r="A5" s="42">
        <f>A4+1</f>
        <v>2</v>
      </c>
      <c r="B5" s="161">
        <v>8</v>
      </c>
      <c r="C5" s="161">
        <v>19</v>
      </c>
      <c r="D5" s="161">
        <f t="shared" ref="D5:D33" si="0">B5-C5</f>
        <v>-11</v>
      </c>
      <c r="E5" s="161">
        <f t="shared" ref="E5:E33" si="1">IF(D5=0,"",ABS(D5))</f>
        <v>11</v>
      </c>
      <c r="F5" s="161" t="e">
        <f ca="1">IF(D5&lt;&gt;0,RANK_AVG(E5,$E$4:$E$33,1),"")</f>
        <v>#NAME?</v>
      </c>
      <c r="G5" s="161" t="str">
        <f t="shared" ref="G5:G33" si="2">IF(D5&gt;0,F5,"")</f>
        <v/>
      </c>
      <c r="H5" s="161" t="e">
        <f t="shared" ref="H5:H33" ca="1" si="3">IF(D5&lt;0,F5,"")</f>
        <v>#NAME?</v>
      </c>
      <c r="I5" s="194"/>
      <c r="J5" s="38" t="s">
        <v>107</v>
      </c>
      <c r="K5" s="58">
        <v>2</v>
      </c>
      <c r="R5" s="33"/>
    </row>
    <row r="6" spans="1:27" x14ac:dyDescent="0.35">
      <c r="A6" s="42">
        <f t="shared" ref="A6:A33" si="4">A5+1</f>
        <v>3</v>
      </c>
      <c r="B6" s="161">
        <v>11</v>
      </c>
      <c r="C6" s="161">
        <v>18</v>
      </c>
      <c r="D6" s="161">
        <f t="shared" si="0"/>
        <v>-7</v>
      </c>
      <c r="E6" s="161">
        <f t="shared" si="1"/>
        <v>7</v>
      </c>
      <c r="F6" s="161" t="e">
        <f ca="1">IF(D6&lt;&gt;0,RANK_AVG(E6,$E$4:$E$33,1),"")</f>
        <v>#NAME?</v>
      </c>
      <c r="G6" s="161" t="str">
        <f t="shared" si="2"/>
        <v/>
      </c>
      <c r="H6" s="161" t="e">
        <f t="shared" ca="1" si="3"/>
        <v>#NAME?</v>
      </c>
      <c r="I6" s="194"/>
      <c r="J6" t="s">
        <v>26</v>
      </c>
      <c r="K6" s="58">
        <f>COUNT(E4:E33)</f>
        <v>28</v>
      </c>
      <c r="M6" t="e">
        <f ca="1">FTEXT(K6)</f>
        <v>#NAME?</v>
      </c>
      <c r="P6" t="str">
        <f>B3</f>
        <v>Wife</v>
      </c>
      <c r="Q6" t="str">
        <f>C3</f>
        <v>Husband</v>
      </c>
      <c r="R6" s="33"/>
      <c r="U6" t="str">
        <f>B3</f>
        <v>Wife</v>
      </c>
      <c r="V6" t="str">
        <f>C3</f>
        <v>Husband</v>
      </c>
      <c r="Z6" t="e">
        <f t="array" aca="1" ref="Z6:AA11" ca="1">SR_TEST(B4:B33,C4:C33,TRUE)</f>
        <v>#NAME?</v>
      </c>
      <c r="AA6" s="173" t="e">
        <f ca="1"/>
        <v>#NAME?</v>
      </c>
    </row>
    <row r="7" spans="1:27" x14ac:dyDescent="0.35">
      <c r="A7" s="42">
        <f t="shared" si="4"/>
        <v>4</v>
      </c>
      <c r="B7" s="161">
        <v>19</v>
      </c>
      <c r="C7" s="161">
        <v>19</v>
      </c>
      <c r="D7" s="161">
        <f t="shared" si="0"/>
        <v>0</v>
      </c>
      <c r="E7" s="161" t="str">
        <f t="shared" si="1"/>
        <v/>
      </c>
      <c r="F7" s="161" t="str">
        <f>IF(D7&lt;&gt;0,RANK_AVG(E7,$E$4:$E$33,1),"")</f>
        <v/>
      </c>
      <c r="G7" s="161" t="str">
        <f t="shared" si="2"/>
        <v/>
      </c>
      <c r="H7" s="161" t="str">
        <f t="shared" si="3"/>
        <v/>
      </c>
      <c r="I7" s="194"/>
      <c r="J7" s="38" t="s">
        <v>103</v>
      </c>
      <c r="K7" s="58" t="e">
        <f ca="1">MIN(G34:H34)</f>
        <v>#NAME?</v>
      </c>
      <c r="M7" t="e">
        <f ca="1">FTEXT(K7)</f>
        <v>#NAME?</v>
      </c>
      <c r="O7" t="s">
        <v>106</v>
      </c>
      <c r="P7" s="167">
        <f>MEDIAN(B4:B33)</f>
        <v>11</v>
      </c>
      <c r="Q7" s="166">
        <f>MEDIAN(C4:C33)</f>
        <v>12.5</v>
      </c>
      <c r="R7" s="33"/>
      <c r="T7" t="s">
        <v>106</v>
      </c>
      <c r="U7" s="167">
        <f>MEDIAN(B4:B33)</f>
        <v>11</v>
      </c>
      <c r="V7" s="166">
        <f>MEDIAN(C4:C33)</f>
        <v>12.5</v>
      </c>
      <c r="Z7" t="e">
        <f ca="1"/>
        <v>#NAME?</v>
      </c>
      <c r="AA7" s="58" t="e">
        <f ca="1"/>
        <v>#NAME?</v>
      </c>
    </row>
    <row r="8" spans="1:27" x14ac:dyDescent="0.35">
      <c r="A8" s="42">
        <f t="shared" si="4"/>
        <v>5</v>
      </c>
      <c r="B8" s="161">
        <v>13</v>
      </c>
      <c r="C8" s="161">
        <v>17</v>
      </c>
      <c r="D8" s="161">
        <f t="shared" si="0"/>
        <v>-4</v>
      </c>
      <c r="E8" s="161">
        <f t="shared" si="1"/>
        <v>4</v>
      </c>
      <c r="F8" s="161" t="e">
        <f ca="1">IF(D8&lt;&gt;0,RANK_AVG(E8,$E$4:$E$33,1),"")</f>
        <v>#NAME?</v>
      </c>
      <c r="G8" s="161" t="str">
        <f t="shared" si="2"/>
        <v/>
      </c>
      <c r="H8" s="161" t="e">
        <f t="shared" ca="1" si="3"/>
        <v>#NAME?</v>
      </c>
      <c r="I8" s="194"/>
      <c r="J8" s="23" t="s">
        <v>138</v>
      </c>
      <c r="K8" s="58">
        <f>'Signed Rank Table'!D29</f>
        <v>116</v>
      </c>
      <c r="M8" t="s">
        <v>282</v>
      </c>
      <c r="R8" s="33"/>
      <c r="Z8" t="e">
        <f ca="1"/>
        <v>#NAME?</v>
      </c>
      <c r="AA8" s="58" t="e">
        <f ca="1"/>
        <v>#NAME?</v>
      </c>
    </row>
    <row r="9" spans="1:27" x14ac:dyDescent="0.35">
      <c r="A9" s="42">
        <f t="shared" si="4"/>
        <v>6</v>
      </c>
      <c r="B9" s="161">
        <v>4</v>
      </c>
      <c r="C9" s="161">
        <v>5</v>
      </c>
      <c r="D9" s="161">
        <f t="shared" si="0"/>
        <v>-1</v>
      </c>
      <c r="E9" s="161">
        <f t="shared" si="1"/>
        <v>1</v>
      </c>
      <c r="F9" s="161" t="e">
        <f ca="1">IF(D9&lt;&gt;0,RANK_AVG(E9,$E$4:$E$33,1),"")</f>
        <v>#NAME?</v>
      </c>
      <c r="G9" s="161" t="str">
        <f t="shared" si="2"/>
        <v/>
      </c>
      <c r="H9" s="161" t="e">
        <f t="shared" ca="1" si="3"/>
        <v>#NAME?</v>
      </c>
      <c r="I9" s="194"/>
      <c r="J9" s="23" t="s">
        <v>2</v>
      </c>
      <c r="K9" s="58">
        <f>K6*(K6+1)/4</f>
        <v>203</v>
      </c>
      <c r="M9" t="e">
        <f ca="1">FTEXT(K9)</f>
        <v>#NAME?</v>
      </c>
      <c r="O9" t="s">
        <v>100</v>
      </c>
      <c r="P9" s="168">
        <f>SUMPRODUCT(--ISNUMBER(B4:B33),--ISNUMBER(C4:C33))</f>
        <v>30</v>
      </c>
      <c r="R9" s="33"/>
      <c r="T9" t="s">
        <v>100</v>
      </c>
      <c r="U9" s="168">
        <f>SUMPRODUCT(--ISNUMBER(B4:B33),--ISNUMBER(C4:C33))</f>
        <v>30</v>
      </c>
      <c r="Z9" t="e">
        <f ca="1"/>
        <v>#NAME?</v>
      </c>
      <c r="AA9" s="58" t="e">
        <f ca="1"/>
        <v>#NAME?</v>
      </c>
    </row>
    <row r="10" spans="1:27" x14ac:dyDescent="0.35">
      <c r="A10" s="42">
        <f t="shared" si="4"/>
        <v>7</v>
      </c>
      <c r="B10" s="161">
        <v>16</v>
      </c>
      <c r="C10" s="161">
        <v>13</v>
      </c>
      <c r="D10" s="161">
        <f t="shared" si="0"/>
        <v>3</v>
      </c>
      <c r="E10" s="161">
        <f t="shared" si="1"/>
        <v>3</v>
      </c>
      <c r="F10" s="161" t="e">
        <f ca="1">IF(D10&lt;&gt;0,RANK_AVG(E10,$E$4:$E$33,1),"")</f>
        <v>#NAME?</v>
      </c>
      <c r="G10" s="161" t="e">
        <f t="shared" ca="1" si="2"/>
        <v>#NAME?</v>
      </c>
      <c r="H10" s="161" t="str">
        <f t="shared" si="3"/>
        <v/>
      </c>
      <c r="I10" s="194"/>
      <c r="J10" s="23" t="s">
        <v>113</v>
      </c>
      <c r="K10" s="58">
        <f>K9*(2*K6+1)/6</f>
        <v>1928.5</v>
      </c>
      <c r="M10" t="e">
        <f ca="1">FTEXT(K10)</f>
        <v>#NAME?</v>
      </c>
      <c r="O10" t="s">
        <v>176</v>
      </c>
      <c r="P10" s="101">
        <f>SUMPRODUCT(--ISNUMBER(B4:B33),--ISNUMBER(C4:C33),--(B4:B33&lt;&gt;C4:C33))</f>
        <v>28</v>
      </c>
      <c r="R10" s="33"/>
      <c r="T10" t="s">
        <v>176</v>
      </c>
      <c r="U10" s="101">
        <f>SUMPRODUCT(--ISNUMBER(B4:B33),--ISNUMBER(C4:C33),--(B4:B33&lt;&gt;C4:C33))</f>
        <v>28</v>
      </c>
      <c r="Z10" t="e">
        <f ca="1"/>
        <v>#NAME?</v>
      </c>
      <c r="AA10" s="44" t="e">
        <f ca="1"/>
        <v>#NAME?</v>
      </c>
    </row>
    <row r="11" spans="1:27" x14ac:dyDescent="0.35">
      <c r="A11" s="42">
        <f t="shared" si="4"/>
        <v>8</v>
      </c>
      <c r="B11" s="161">
        <v>5</v>
      </c>
      <c r="C11" s="161">
        <v>0</v>
      </c>
      <c r="D11" s="161">
        <f t="shared" si="0"/>
        <v>5</v>
      </c>
      <c r="E11" s="161">
        <f t="shared" si="1"/>
        <v>5</v>
      </c>
      <c r="F11" s="161" t="e">
        <f ca="1">IF(D11&lt;&gt;0,RANK_AVG(E11,$E$4:$E$33,1),"")</f>
        <v>#NAME?</v>
      </c>
      <c r="G11" s="161" t="e">
        <f t="shared" ca="1" si="2"/>
        <v>#NAME?</v>
      </c>
      <c r="H11" s="161" t="str">
        <f t="shared" si="3"/>
        <v/>
      </c>
      <c r="I11" s="194"/>
      <c r="J11" s="23" t="s">
        <v>56</v>
      </c>
      <c r="K11" s="44">
        <f>SQRT(K10)</f>
        <v>43.914690025092973</v>
      </c>
      <c r="M11" t="e">
        <f ca="1">FTEXT(K11)</f>
        <v>#NAME?</v>
      </c>
      <c r="O11" t="s">
        <v>177</v>
      </c>
      <c r="P11" s="101" t="e">
        <f ca="1">IF(P13&lt;=P16,P13,P10*(P10+1)/2)</f>
        <v>#NAME?</v>
      </c>
      <c r="R11" s="33"/>
      <c r="T11" t="s">
        <v>177</v>
      </c>
      <c r="U11" s="101" t="e">
        <f ca="1">IF(U13&lt;=U16,U13,U10*(U10+1)/2)</f>
        <v>#NAME?</v>
      </c>
      <c r="Z11" t="e">
        <f ca="1"/>
        <v>#NAME?</v>
      </c>
      <c r="AA11" s="50" t="e">
        <f ca="1"/>
        <v>#NAME?</v>
      </c>
    </row>
    <row r="12" spans="1:27" x14ac:dyDescent="0.35">
      <c r="A12" s="42">
        <f t="shared" si="4"/>
        <v>9</v>
      </c>
      <c r="B12" s="161">
        <v>9</v>
      </c>
      <c r="C12" s="161">
        <v>16</v>
      </c>
      <c r="D12" s="161">
        <f t="shared" si="0"/>
        <v>-7</v>
      </c>
      <c r="E12" s="161">
        <f t="shared" si="1"/>
        <v>7</v>
      </c>
      <c r="F12" s="161" t="e">
        <f ca="1">IF(D12&lt;&gt;0,RANK_AVG(E12,$E$4:$E$33,1),"")</f>
        <v>#NAME?</v>
      </c>
      <c r="G12" s="161" t="str">
        <f t="shared" si="2"/>
        <v/>
      </c>
      <c r="H12" s="161" t="e">
        <f t="shared" ca="1" si="3"/>
        <v>#NAME?</v>
      </c>
      <c r="I12" s="194"/>
      <c r="J12" s="23" t="s">
        <v>115</v>
      </c>
      <c r="K12" s="58" t="e">
        <f ca="1">ABS(K7-K9)/K11</f>
        <v>#NAME?</v>
      </c>
      <c r="M12" t="e">
        <f ca="1">FTEXT(K12)</f>
        <v>#NAME?</v>
      </c>
      <c r="O12" t="s">
        <v>178</v>
      </c>
      <c r="P12" s="101" t="e">
        <f ca="1">P10*(P10+1)/2-P11</f>
        <v>#NAME?</v>
      </c>
      <c r="R12" s="33"/>
      <c r="T12" t="s">
        <v>178</v>
      </c>
      <c r="U12" s="101" t="e">
        <f ca="1">U10*(U10+1)/2-U11</f>
        <v>#NAME?</v>
      </c>
    </row>
    <row r="13" spans="1:27" x14ac:dyDescent="0.35">
      <c r="A13" s="42">
        <f t="shared" si="4"/>
        <v>10</v>
      </c>
      <c r="B13" s="161">
        <v>15</v>
      </c>
      <c r="C13" s="161">
        <v>21</v>
      </c>
      <c r="D13" s="161">
        <f t="shared" si="0"/>
        <v>-6</v>
      </c>
      <c r="E13" s="161">
        <f t="shared" si="1"/>
        <v>6</v>
      </c>
      <c r="F13" s="161" t="e">
        <f ca="1">IF(D13&lt;&gt;0,RANK_AVG(E13,$E$4:$E$33,1),"")</f>
        <v>#NAME?</v>
      </c>
      <c r="G13" s="161" t="str">
        <f t="shared" si="2"/>
        <v/>
      </c>
      <c r="H13" s="161" t="e">
        <f t="shared" ca="1" si="3"/>
        <v>#NAME?</v>
      </c>
      <c r="I13" s="194"/>
      <c r="J13" s="23" t="s">
        <v>138</v>
      </c>
      <c r="K13" s="58">
        <f>K9+K11*NORMSINV(K4/2)-0.05</f>
        <v>116.87878915857742</v>
      </c>
      <c r="M13" s="14" t="s">
        <v>244</v>
      </c>
      <c r="O13" t="s">
        <v>103</v>
      </c>
      <c r="P13" s="103" t="e">
        <f ca="1">SRANK(B4:B33,C4:C33)</f>
        <v>#NAME?</v>
      </c>
      <c r="T13" t="s">
        <v>103</v>
      </c>
      <c r="U13" s="103" t="e">
        <f ca="1">SRANK(B4:B33,C4:C33)</f>
        <v>#NAME?</v>
      </c>
    </row>
    <row r="14" spans="1:27" x14ac:dyDescent="0.35">
      <c r="A14" s="42">
        <f t="shared" si="4"/>
        <v>11</v>
      </c>
      <c r="B14" s="161">
        <v>12</v>
      </c>
      <c r="C14" s="161">
        <v>12</v>
      </c>
      <c r="D14" s="161">
        <f t="shared" si="0"/>
        <v>0</v>
      </c>
      <c r="E14" s="161" t="str">
        <f t="shared" si="1"/>
        <v/>
      </c>
      <c r="F14" s="161" t="str">
        <f>IF(D14&lt;&gt;0,RANK_AVG(E14,$E$4:$E$33,1),"")</f>
        <v/>
      </c>
      <c r="G14" s="161" t="str">
        <f t="shared" si="2"/>
        <v/>
      </c>
      <c r="H14" s="161" t="str">
        <f t="shared" si="3"/>
        <v/>
      </c>
      <c r="I14" s="194"/>
      <c r="J14" s="23" t="s">
        <v>48</v>
      </c>
      <c r="K14" s="58" t="e">
        <f ca="1">K5*(1-NORMSDIST(K12))</f>
        <v>#NAME?</v>
      </c>
      <c r="M14" s="14" t="s">
        <v>245</v>
      </c>
      <c r="Z14" t="s">
        <v>283</v>
      </c>
    </row>
    <row r="15" spans="1:27" x14ac:dyDescent="0.35">
      <c r="A15" s="42">
        <f t="shared" si="4"/>
        <v>12</v>
      </c>
      <c r="B15" s="161">
        <v>11</v>
      </c>
      <c r="C15" s="161">
        <v>9</v>
      </c>
      <c r="D15" s="161">
        <f t="shared" si="0"/>
        <v>2</v>
      </c>
      <c r="E15" s="161">
        <f t="shared" si="1"/>
        <v>2</v>
      </c>
      <c r="F15" s="161" t="e">
        <f ca="1">IF(D15&lt;&gt;0,RANK_AVG(E15,$E$4:$E$33,1),"")</f>
        <v>#NAME?</v>
      </c>
      <c r="G15" s="161" t="e">
        <f t="shared" ca="1" si="2"/>
        <v>#NAME?</v>
      </c>
      <c r="H15" s="161" t="str">
        <f t="shared" si="3"/>
        <v/>
      </c>
      <c r="I15" s="194"/>
      <c r="J15" s="23" t="s">
        <v>104</v>
      </c>
      <c r="K15" s="47" t="e">
        <f ca="1">IF(K14&lt;K4,"yes","no")</f>
        <v>#NAME?</v>
      </c>
      <c r="M15" t="e">
        <f ca="1">FTEXT(K15)</f>
        <v>#NAME?</v>
      </c>
      <c r="P15" s="194" t="s">
        <v>182</v>
      </c>
      <c r="Q15" s="194" t="s">
        <v>183</v>
      </c>
      <c r="U15" s="194" t="s">
        <v>182</v>
      </c>
      <c r="V15" s="194" t="s">
        <v>183</v>
      </c>
    </row>
    <row r="16" spans="1:27" x14ac:dyDescent="0.35">
      <c r="A16" s="42">
        <f t="shared" si="4"/>
        <v>13</v>
      </c>
      <c r="B16" s="161">
        <v>14</v>
      </c>
      <c r="C16" s="161">
        <v>10</v>
      </c>
      <c r="D16" s="161">
        <f t="shared" si="0"/>
        <v>4</v>
      </c>
      <c r="E16" s="161">
        <f t="shared" si="1"/>
        <v>4</v>
      </c>
      <c r="F16" s="161" t="e">
        <f ca="1">IF(D16&lt;&gt;0,RANK_AVG(E16,$E$4:$E$33,1),"")</f>
        <v>#NAME?</v>
      </c>
      <c r="G16" s="161" t="e">
        <f t="shared" ca="1" si="2"/>
        <v>#NAME?</v>
      </c>
      <c r="H16" s="161" t="str">
        <f t="shared" si="3"/>
        <v/>
      </c>
      <c r="I16" s="194"/>
      <c r="O16" t="s">
        <v>2</v>
      </c>
      <c r="P16" s="168">
        <f>P10*(P10+1)/4</f>
        <v>203</v>
      </c>
      <c r="T16" t="s">
        <v>2</v>
      </c>
      <c r="U16" s="168">
        <f>U10*(U10+1)/4</f>
        <v>203</v>
      </c>
      <c r="Z16" t="e">
        <f t="array" aca="1" ref="Z16:AA21" ca="1">SR_TEST(B4:B33,C4:C33,TRUE,,FALSE,FALSE)</f>
        <v>#NAME?</v>
      </c>
      <c r="AA16" s="173" t="e">
        <f ca="1"/>
        <v>#NAME?</v>
      </c>
    </row>
    <row r="17" spans="1:27" x14ac:dyDescent="0.35">
      <c r="A17" s="42">
        <f t="shared" si="4"/>
        <v>14</v>
      </c>
      <c r="B17" s="161">
        <v>4</v>
      </c>
      <c r="C17" s="161">
        <v>17</v>
      </c>
      <c r="D17" s="161">
        <f t="shared" si="0"/>
        <v>-13</v>
      </c>
      <c r="E17" s="161">
        <f t="shared" si="1"/>
        <v>13</v>
      </c>
      <c r="F17" s="161" t="e">
        <f ca="1">IF(D17&lt;&gt;0,RANK_AVG(E17,$E$4:$E$33,1),"")</f>
        <v>#NAME?</v>
      </c>
      <c r="G17" s="161" t="str">
        <f t="shared" si="2"/>
        <v/>
      </c>
      <c r="H17" s="161" t="e">
        <f t="shared" ca="1" si="3"/>
        <v>#NAME?</v>
      </c>
      <c r="I17" s="194"/>
      <c r="J17" t="s">
        <v>284</v>
      </c>
      <c r="O17" t="s">
        <v>56</v>
      </c>
      <c r="P17" s="101">
        <f>SQRT(P16*(2*P10+1)/6)</f>
        <v>43.914690025092973</v>
      </c>
      <c r="T17" t="s">
        <v>56</v>
      </c>
      <c r="U17" s="101" t="e">
        <f ca="1">SQRT(U16*(2*U10+1)/6-TiesCorrection(B4:B33,C4:C33,1)/48)</f>
        <v>#NAME?</v>
      </c>
      <c r="V17" t="s">
        <v>246</v>
      </c>
      <c r="Z17" t="e">
        <f ca="1"/>
        <v>#NAME?</v>
      </c>
      <c r="AA17" s="44" t="e">
        <f ca="1"/>
        <v>#NAME?</v>
      </c>
    </row>
    <row r="18" spans="1:27" x14ac:dyDescent="0.35">
      <c r="A18" s="42">
        <f t="shared" si="4"/>
        <v>15</v>
      </c>
      <c r="B18" s="161">
        <v>11</v>
      </c>
      <c r="C18" s="161">
        <v>12</v>
      </c>
      <c r="D18" s="161">
        <f t="shared" si="0"/>
        <v>-1</v>
      </c>
      <c r="E18" s="161">
        <f t="shared" si="1"/>
        <v>1</v>
      </c>
      <c r="F18" s="161" t="e">
        <f ca="1">IF(D18&lt;&gt;0,RANK_AVG(E18,$E$4:$E$33,1),"")</f>
        <v>#NAME?</v>
      </c>
      <c r="G18" s="161" t="str">
        <f t="shared" si="2"/>
        <v/>
      </c>
      <c r="H18" s="161" t="e">
        <f t="shared" ca="1" si="3"/>
        <v>#NAME?</v>
      </c>
      <c r="I18" s="161"/>
      <c r="O18" t="s">
        <v>115</v>
      </c>
      <c r="P18" s="101" t="e">
        <f ca="1">ABS(STANDARDIZE(P13,P16,P17))</f>
        <v>#NAME?</v>
      </c>
      <c r="T18" t="s">
        <v>115</v>
      </c>
      <c r="U18" s="101" t="e">
        <f ca="1">ABS(ABS(U13-U16)-1/2)/U17</f>
        <v>#NAME?</v>
      </c>
      <c r="V18" t="s">
        <v>273</v>
      </c>
      <c r="Z18" t="e">
        <f ca="1"/>
        <v>#NAME?</v>
      </c>
      <c r="AA18" s="44" t="e">
        <f ca="1"/>
        <v>#NAME?</v>
      </c>
    </row>
    <row r="19" spans="1:27" x14ac:dyDescent="0.35">
      <c r="A19" s="42">
        <f t="shared" si="4"/>
        <v>16</v>
      </c>
      <c r="B19" s="161">
        <v>17</v>
      </c>
      <c r="C19" s="161">
        <v>24</v>
      </c>
      <c r="D19" s="161">
        <f t="shared" si="0"/>
        <v>-7</v>
      </c>
      <c r="E19" s="161">
        <f t="shared" si="1"/>
        <v>7</v>
      </c>
      <c r="F19" s="161" t="e">
        <f ca="1">IF(D19&lt;&gt;0,RANK_AVG(E19,$E$4:$E$33,1),"")</f>
        <v>#NAME?</v>
      </c>
      <c r="G19" s="161" t="str">
        <f t="shared" si="2"/>
        <v/>
      </c>
      <c r="H19" s="161" t="e">
        <f t="shared" ca="1" si="3"/>
        <v>#NAME?</v>
      </c>
      <c r="I19" s="193"/>
      <c r="J19" t="s">
        <v>103</v>
      </c>
      <c r="K19" s="173" t="e">
        <f ca="1">SRANK(B4:C33)</f>
        <v>#NAME?</v>
      </c>
      <c r="M19" t="e">
        <f ca="1">FTEXT(K19)</f>
        <v>#NAME?</v>
      </c>
      <c r="O19" t="s">
        <v>111</v>
      </c>
      <c r="P19" s="101" t="e">
        <f ca="1">P18/SQRT(2*P9)</f>
        <v>#NAME?</v>
      </c>
      <c r="T19" t="s">
        <v>111</v>
      </c>
      <c r="U19" s="101" t="e">
        <f ca="1">U18/SQRT(2*U9)</f>
        <v>#NAME?</v>
      </c>
      <c r="Z19" t="e">
        <f ca="1"/>
        <v>#NAME?</v>
      </c>
      <c r="AA19" s="44" t="e">
        <f ca="1"/>
        <v>#NAME?</v>
      </c>
    </row>
    <row r="20" spans="1:27" x14ac:dyDescent="0.35">
      <c r="A20" s="42">
        <f t="shared" si="4"/>
        <v>17</v>
      </c>
      <c r="B20" s="161">
        <v>14</v>
      </c>
      <c r="C20" s="161">
        <v>12</v>
      </c>
      <c r="D20" s="161">
        <f t="shared" si="0"/>
        <v>2</v>
      </c>
      <c r="E20" s="161">
        <f t="shared" si="1"/>
        <v>2</v>
      </c>
      <c r="F20" s="161" t="e">
        <f ca="1">IF(D20&lt;&gt;0,RANK_AVG(E20,$E$4:$E$33,1),"")</f>
        <v>#NAME?</v>
      </c>
      <c r="G20" s="161" t="e">
        <f t="shared" ca="1" si="2"/>
        <v>#NAME?</v>
      </c>
      <c r="H20" s="161" t="str">
        <f t="shared" si="3"/>
        <v/>
      </c>
      <c r="J20" t="s">
        <v>285</v>
      </c>
      <c r="K20" s="44" t="e">
        <f ca="1">SRTEST(B4:B33,C4:C33,1,FALSE,FALSE)</f>
        <v>#NAME?</v>
      </c>
      <c r="M20" t="e">
        <f ca="1">FTEXT(K20)</f>
        <v>#NAME?</v>
      </c>
      <c r="O20" t="s">
        <v>274</v>
      </c>
      <c r="P20" s="168" t="e">
        <f ca="1">1-NORMSDIST(P18)</f>
        <v>#NAME?</v>
      </c>
      <c r="Q20" s="169" t="e">
        <f ca="1">2*P20</f>
        <v>#NAME?</v>
      </c>
      <c r="T20" t="s">
        <v>274</v>
      </c>
      <c r="U20" s="168" t="e">
        <f ca="1">1-NORMSDIST(U18)</f>
        <v>#NAME?</v>
      </c>
      <c r="V20" s="169" t="e">
        <f ca="1">2*U20</f>
        <v>#NAME?</v>
      </c>
      <c r="Z20" t="e">
        <f ca="1"/>
        <v>#NAME?</v>
      </c>
      <c r="AA20" s="44" t="e">
        <f ca="1"/>
        <v>#NAME?</v>
      </c>
    </row>
    <row r="21" spans="1:27" x14ac:dyDescent="0.35">
      <c r="A21" s="42">
        <f t="shared" si="4"/>
        <v>18</v>
      </c>
      <c r="B21" s="161">
        <v>5</v>
      </c>
      <c r="C21" s="161">
        <v>12</v>
      </c>
      <c r="D21" s="161">
        <f t="shared" si="0"/>
        <v>-7</v>
      </c>
      <c r="E21" s="161">
        <f t="shared" si="1"/>
        <v>7</v>
      </c>
      <c r="F21" s="161" t="e">
        <f ca="1">IF(D21&lt;&gt;0,RANK_AVG(E21,$E$4:$E$33,1),"")</f>
        <v>#NAME?</v>
      </c>
      <c r="G21" s="161" t="str">
        <f t="shared" si="2"/>
        <v/>
      </c>
      <c r="H21" s="161" t="e">
        <f t="shared" ca="1" si="3"/>
        <v>#NAME?</v>
      </c>
      <c r="J21" t="s">
        <v>286</v>
      </c>
      <c r="K21" s="50" t="e">
        <f ca="1">SRTEST(B4:C33,,2,FALSE,FALSE)</f>
        <v>#NAME?</v>
      </c>
      <c r="M21" t="e">
        <f ca="1">FTEXT(K21)</f>
        <v>#NAME?</v>
      </c>
      <c r="O21" t="s">
        <v>275</v>
      </c>
      <c r="P21" s="101" t="e">
        <f ca="1">SRDIST(P13,P10,1)</f>
        <v>#NAME?</v>
      </c>
      <c r="Q21" s="37" t="e">
        <f ca="1">2*P21</f>
        <v>#NAME?</v>
      </c>
      <c r="T21" t="s">
        <v>275</v>
      </c>
      <c r="U21" s="101" t="e">
        <f ca="1">SRDIST(U13,U10,1)</f>
        <v>#NAME?</v>
      </c>
      <c r="V21" s="37" t="e">
        <f ca="1">2*U21</f>
        <v>#NAME?</v>
      </c>
      <c r="Z21" t="e">
        <f ca="1"/>
        <v>#NAME?</v>
      </c>
      <c r="AA21" s="50" t="e">
        <f ca="1"/>
        <v>#NAME?</v>
      </c>
    </row>
    <row r="22" spans="1:27" x14ac:dyDescent="0.35">
      <c r="A22" s="42">
        <f t="shared" si="4"/>
        <v>19</v>
      </c>
      <c r="B22" s="161">
        <v>9</v>
      </c>
      <c r="C22" s="161">
        <v>8</v>
      </c>
      <c r="D22" s="161">
        <f t="shared" si="0"/>
        <v>1</v>
      </c>
      <c r="E22" s="161">
        <f t="shared" si="1"/>
        <v>1</v>
      </c>
      <c r="F22" s="161" t="e">
        <f ca="1">IF(D22&lt;&gt;0,RANK_AVG(E22,$E$4:$E$33,1),"")</f>
        <v>#NAME?</v>
      </c>
      <c r="G22" s="161" t="e">
        <f t="shared" ca="1" si="2"/>
        <v>#NAME?</v>
      </c>
      <c r="H22" s="161" t="str">
        <f t="shared" si="3"/>
        <v/>
      </c>
      <c r="O22" t="s">
        <v>276</v>
      </c>
      <c r="P22" s="103" t="e">
        <f t="array" aca="1" ref="P22:Q22" ca="1">TRANSPOSE(SUBMATRIX(SR_SIMUL(B4:B33,C4:C33,TRUE,10000),3,2,2,1))</f>
        <v>#NAME?</v>
      </c>
      <c r="Q22" s="105" t="e">
        <f ca="1"/>
        <v>#NAME?</v>
      </c>
      <c r="T22" t="s">
        <v>276</v>
      </c>
      <c r="U22" s="103" t="e">
        <f t="array" aca="1" ref="U22:V22" ca="1">TRANSPOSE(SUBMATRIX(SR_SIMUL(B4:B33,C4:C33,TRUE,10000),3,2,2,1))</f>
        <v>#NAME?</v>
      </c>
      <c r="V22" s="105" t="e">
        <f ca="1"/>
        <v>#NAME?</v>
      </c>
    </row>
    <row r="23" spans="1:27" x14ac:dyDescent="0.35">
      <c r="A23" s="42">
        <f t="shared" si="4"/>
        <v>20</v>
      </c>
      <c r="B23" s="161">
        <v>8</v>
      </c>
      <c r="C23" s="161">
        <v>16</v>
      </c>
      <c r="D23" s="161">
        <f t="shared" si="0"/>
        <v>-8</v>
      </c>
      <c r="E23" s="161">
        <f t="shared" si="1"/>
        <v>8</v>
      </c>
      <c r="F23" s="161" t="e">
        <f ca="1">IF(D23&lt;&gt;0,RANK_AVG(E23,$E$4:$E$33,1),"")</f>
        <v>#NAME?</v>
      </c>
      <c r="G23" s="161" t="str">
        <f t="shared" si="2"/>
        <v/>
      </c>
      <c r="H23" s="161" t="e">
        <f t="shared" ca="1" si="3"/>
        <v>#NAME?</v>
      </c>
      <c r="J23" t="s">
        <v>287</v>
      </c>
      <c r="Z23" t="s">
        <v>288</v>
      </c>
    </row>
    <row r="24" spans="1:27" x14ac:dyDescent="0.35">
      <c r="A24" s="42">
        <f t="shared" si="4"/>
        <v>21</v>
      </c>
      <c r="B24" s="161">
        <v>9</v>
      </c>
      <c r="C24" s="161">
        <v>12</v>
      </c>
      <c r="D24" s="161">
        <f t="shared" si="0"/>
        <v>-3</v>
      </c>
      <c r="E24" s="161">
        <f t="shared" si="1"/>
        <v>3</v>
      </c>
      <c r="F24" s="161" t="e">
        <f ca="1">IF(D24&lt;&gt;0,RANK_AVG(E24,$E$4:$E$33,1),"")</f>
        <v>#NAME?</v>
      </c>
      <c r="G24" s="161" t="str">
        <f t="shared" si="2"/>
        <v/>
      </c>
      <c r="H24" s="161" t="e">
        <f t="shared" ca="1" si="3"/>
        <v>#NAME?</v>
      </c>
    </row>
    <row r="25" spans="1:27" x14ac:dyDescent="0.35">
      <c r="A25" s="42">
        <f t="shared" si="4"/>
        <v>22</v>
      </c>
      <c r="B25" s="161">
        <v>11</v>
      </c>
      <c r="C25" s="161">
        <v>7</v>
      </c>
      <c r="D25" s="161">
        <f t="shared" si="0"/>
        <v>4</v>
      </c>
      <c r="E25" s="161">
        <f t="shared" si="1"/>
        <v>4</v>
      </c>
      <c r="F25" s="161" t="e">
        <f ca="1">IF(D25&lt;&gt;0,RANK_AVG(E25,$E$4:$E$33,1),"")</f>
        <v>#NAME?</v>
      </c>
      <c r="G25" s="161" t="e">
        <f t="shared" ca="1" si="2"/>
        <v>#NAME?</v>
      </c>
      <c r="H25" s="161" t="str">
        <f t="shared" si="3"/>
        <v/>
      </c>
      <c r="J25" t="s">
        <v>103</v>
      </c>
      <c r="K25" s="173" t="e">
        <f ca="1">SRANK(B4:C33)</f>
        <v>#NAME?</v>
      </c>
      <c r="M25" t="e">
        <f ca="1">FTEXT(K25)</f>
        <v>#NAME?</v>
      </c>
      <c r="Z25" t="e">
        <f t="array" aca="1" ref="Z25:AA28" ca="1">SR_SIMUL(B4:C33,,TRUE)</f>
        <v>#NAME?</v>
      </c>
      <c r="AA25" s="173" t="e">
        <f ca="1"/>
        <v>#NAME?</v>
      </c>
    </row>
    <row r="26" spans="1:27" x14ac:dyDescent="0.35">
      <c r="A26" s="42">
        <f t="shared" si="4"/>
        <v>23</v>
      </c>
      <c r="B26" s="161">
        <v>11</v>
      </c>
      <c r="C26" s="161">
        <v>17</v>
      </c>
      <c r="D26" s="161">
        <f t="shared" si="0"/>
        <v>-6</v>
      </c>
      <c r="E26" s="161">
        <f t="shared" si="1"/>
        <v>6</v>
      </c>
      <c r="F26" s="161" t="e">
        <f ca="1">IF(D26&lt;&gt;0,RANK_AVG(E26,$E$4:$E$33,1),"")</f>
        <v>#NAME?</v>
      </c>
      <c r="G26" s="161" t="str">
        <f t="shared" si="2"/>
        <v/>
      </c>
      <c r="H26" s="161" t="e">
        <f t="shared" ca="1" si="3"/>
        <v>#NAME?</v>
      </c>
      <c r="J26" t="s">
        <v>285</v>
      </c>
      <c r="K26" s="58" t="e">
        <f ca="1">SRTEST(B4:B33,C4:C33,1)</f>
        <v>#NAME?</v>
      </c>
      <c r="M26" t="e">
        <f ca="1">FTEXT(K26)</f>
        <v>#NAME?</v>
      </c>
      <c r="Z26" t="e">
        <f ca="1"/>
        <v>#NAME?</v>
      </c>
      <c r="AA26" s="58" t="e">
        <f ca="1"/>
        <v>#NAME?</v>
      </c>
    </row>
    <row r="27" spans="1:27" x14ac:dyDescent="0.35">
      <c r="A27" s="42">
        <f t="shared" si="4"/>
        <v>24</v>
      </c>
      <c r="B27" s="161">
        <v>12</v>
      </c>
      <c r="C27" s="161">
        <v>13</v>
      </c>
      <c r="D27" s="161">
        <f t="shared" si="0"/>
        <v>-1</v>
      </c>
      <c r="E27" s="161">
        <f t="shared" si="1"/>
        <v>1</v>
      </c>
      <c r="F27" s="161" t="e">
        <f ca="1">IF(D27&lt;&gt;0,RANK_AVG(E27,$E$4:$E$33,1),"")</f>
        <v>#NAME?</v>
      </c>
      <c r="G27" s="161" t="str">
        <f t="shared" si="2"/>
        <v/>
      </c>
      <c r="H27" s="161" t="e">
        <f t="shared" ca="1" si="3"/>
        <v>#NAME?</v>
      </c>
      <c r="J27" t="s">
        <v>286</v>
      </c>
      <c r="K27" s="50" t="e">
        <f ca="1">SRTEST(B4:C33)</f>
        <v>#NAME?</v>
      </c>
      <c r="M27" t="e">
        <f ca="1">FTEXT(K27)</f>
        <v>#NAME?</v>
      </c>
      <c r="Z27" t="e">
        <f ca="1"/>
        <v>#NAME?</v>
      </c>
      <c r="AA27" s="58" t="e">
        <f ca="1"/>
        <v>#NAME?</v>
      </c>
    </row>
    <row r="28" spans="1:27" x14ac:dyDescent="0.35">
      <c r="A28" s="42">
        <f t="shared" si="4"/>
        <v>25</v>
      </c>
      <c r="B28" s="161">
        <v>17</v>
      </c>
      <c r="C28" s="161">
        <v>20</v>
      </c>
      <c r="D28" s="161">
        <f t="shared" si="0"/>
        <v>-3</v>
      </c>
      <c r="E28" s="161">
        <f t="shared" si="1"/>
        <v>3</v>
      </c>
      <c r="F28" s="161" t="e">
        <f ca="1">IF(D28&lt;&gt;0,RANK_AVG(E28,$E$4:$E$33,1),"")</f>
        <v>#NAME?</v>
      </c>
      <c r="G28" s="161" t="str">
        <f t="shared" si="2"/>
        <v/>
      </c>
      <c r="H28" s="161" t="e">
        <f t="shared" ca="1" si="3"/>
        <v>#NAME?</v>
      </c>
      <c r="Z28" t="e">
        <f ca="1"/>
        <v>#NAME?</v>
      </c>
      <c r="AA28" s="50" t="e">
        <f ca="1"/>
        <v>#NAME?</v>
      </c>
    </row>
    <row r="29" spans="1:27" x14ac:dyDescent="0.35">
      <c r="A29" s="42">
        <f t="shared" si="4"/>
        <v>26</v>
      </c>
      <c r="B29" s="161">
        <v>12</v>
      </c>
      <c r="C29" s="161">
        <v>9</v>
      </c>
      <c r="D29" s="161">
        <f t="shared" si="0"/>
        <v>3</v>
      </c>
      <c r="E29" s="161">
        <f t="shared" si="1"/>
        <v>3</v>
      </c>
      <c r="F29" s="161" t="e">
        <f ca="1">IF(D29&lt;&gt;0,RANK_AVG(E29,$E$4:$E$33,1),"")</f>
        <v>#NAME?</v>
      </c>
      <c r="G29" s="161" t="e">
        <f t="shared" ca="1" si="2"/>
        <v>#NAME?</v>
      </c>
      <c r="H29" s="161" t="str">
        <f t="shared" si="3"/>
        <v/>
      </c>
      <c r="J29" t="s">
        <v>97</v>
      </c>
    </row>
    <row r="30" spans="1:27" x14ac:dyDescent="0.35">
      <c r="A30" s="42">
        <f t="shared" si="4"/>
        <v>27</v>
      </c>
      <c r="B30" s="161">
        <v>5</v>
      </c>
      <c r="C30" s="161">
        <v>13</v>
      </c>
      <c r="D30" s="161">
        <f t="shared" si="0"/>
        <v>-8</v>
      </c>
      <c r="E30" s="161">
        <f t="shared" si="1"/>
        <v>8</v>
      </c>
      <c r="F30" s="161" t="e">
        <f ca="1">IF(D30&lt;&gt;0,RANK_AVG(E30,$E$4:$E$33,1),"")</f>
        <v>#NAME?</v>
      </c>
      <c r="G30" s="161" t="str">
        <f t="shared" si="2"/>
        <v/>
      </c>
      <c r="H30" s="161" t="e">
        <f t="shared" ca="1" si="3"/>
        <v>#NAME?</v>
      </c>
    </row>
    <row r="31" spans="1:27" x14ac:dyDescent="0.35">
      <c r="A31" s="42">
        <f t="shared" si="4"/>
        <v>28</v>
      </c>
      <c r="B31" s="161">
        <v>5</v>
      </c>
      <c r="C31" s="161">
        <v>11</v>
      </c>
      <c r="D31" s="161">
        <f t="shared" si="0"/>
        <v>-6</v>
      </c>
      <c r="E31" s="161">
        <f t="shared" si="1"/>
        <v>6</v>
      </c>
      <c r="F31" s="161" t="e">
        <f ca="1">IF(D31&lt;&gt;0,RANK_AVG(E31,$E$4:$E$33,1),"")</f>
        <v>#NAME?</v>
      </c>
      <c r="G31" s="161" t="str">
        <f t="shared" si="2"/>
        <v/>
      </c>
      <c r="H31" s="161" t="e">
        <f t="shared" ca="1" si="3"/>
        <v>#NAME?</v>
      </c>
      <c r="J31" t="s">
        <v>96</v>
      </c>
      <c r="K31" s="88" t="e">
        <f ca="1">K12/SQRT(2*A33)</f>
        <v>#NAME?</v>
      </c>
      <c r="M31" t="e">
        <f ca="1">FTEXT(K31)</f>
        <v>#NAME?</v>
      </c>
    </row>
    <row r="32" spans="1:27" x14ac:dyDescent="0.35">
      <c r="A32" s="42">
        <f t="shared" si="4"/>
        <v>29</v>
      </c>
      <c r="B32" s="161">
        <v>15</v>
      </c>
      <c r="C32" s="161">
        <v>11</v>
      </c>
      <c r="D32" s="161">
        <f t="shared" si="0"/>
        <v>4</v>
      </c>
      <c r="E32" s="161">
        <f t="shared" si="1"/>
        <v>4</v>
      </c>
      <c r="F32" s="161" t="e">
        <f ca="1">IF(D32&lt;&gt;0,RANK_AVG(E32,$E$4:$E$33,1),"")</f>
        <v>#NAME?</v>
      </c>
      <c r="G32" s="161" t="e">
        <f t="shared" ca="1" si="2"/>
        <v>#NAME?</v>
      </c>
      <c r="H32" s="161" t="str">
        <f t="shared" si="3"/>
        <v/>
      </c>
    </row>
    <row r="33" spans="1:8" x14ac:dyDescent="0.35">
      <c r="A33" s="201">
        <f t="shared" si="4"/>
        <v>30</v>
      </c>
      <c r="B33" s="201">
        <v>0</v>
      </c>
      <c r="C33" s="201">
        <v>12</v>
      </c>
      <c r="D33" s="195">
        <f t="shared" si="0"/>
        <v>-12</v>
      </c>
      <c r="E33" s="195">
        <f t="shared" si="1"/>
        <v>12</v>
      </c>
      <c r="F33" s="195" t="e">
        <f ca="1">IF(D33&lt;&gt;0,RANK_AVG(E33,$E$4:$E$33,1),"")</f>
        <v>#NAME?</v>
      </c>
      <c r="G33" s="195" t="str">
        <f t="shared" si="2"/>
        <v/>
      </c>
      <c r="H33" s="195" t="e">
        <f t="shared" ca="1" si="3"/>
        <v>#NAME?</v>
      </c>
    </row>
    <row r="34" spans="1:8" x14ac:dyDescent="0.35">
      <c r="G34" s="193" t="e">
        <f ca="1">SUM(G4:G33)</f>
        <v>#NAME?</v>
      </c>
      <c r="H34" s="193" t="e">
        <f ca="1">SUM(H4:H33)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99"/>
  <dimension ref="A1:S34"/>
  <sheetViews>
    <sheetView workbookViewId="0"/>
  </sheetViews>
  <sheetFormatPr defaultRowHeight="14.5" x14ac:dyDescent="0.35"/>
  <cols>
    <col min="2" max="2" width="3" customWidth="1"/>
    <col min="3" max="3" width="10" customWidth="1"/>
    <col min="4" max="4" width="3" customWidth="1"/>
    <col min="5" max="5" width="10" customWidth="1"/>
    <col min="6" max="6" width="3.26953125" customWidth="1"/>
    <col min="7" max="7" width="10" customWidth="1"/>
    <col min="12" max="12" width="6.453125" customWidth="1"/>
    <col min="16" max="16" width="10" customWidth="1"/>
    <col min="17" max="17" width="9.54296875" customWidth="1"/>
  </cols>
  <sheetData>
    <row r="1" spans="1:19" x14ac:dyDescent="0.35">
      <c r="A1" s="35" t="s">
        <v>134</v>
      </c>
      <c r="B1" s="35"/>
    </row>
    <row r="3" spans="1:19" s="33" customFormat="1" ht="29" x14ac:dyDescent="0.35">
      <c r="A3" s="203" t="s">
        <v>141</v>
      </c>
      <c r="B3" s="203"/>
      <c r="C3" s="203" t="s">
        <v>142</v>
      </c>
      <c r="D3" s="203"/>
      <c r="E3" s="203" t="s">
        <v>143</v>
      </c>
      <c r="F3" s="203"/>
      <c r="G3" s="203" t="s">
        <v>109</v>
      </c>
      <c r="H3" s="203" t="s">
        <v>133</v>
      </c>
      <c r="I3" s="203" t="s">
        <v>135</v>
      </c>
      <c r="J3" s="203" t="s">
        <v>136</v>
      </c>
      <c r="K3" s="203" t="s">
        <v>137</v>
      </c>
      <c r="L3" s="87"/>
      <c r="M3" s="87"/>
      <c r="N3"/>
      <c r="O3"/>
      <c r="P3"/>
      <c r="Q3"/>
      <c r="R3"/>
      <c r="S3"/>
    </row>
    <row r="4" spans="1:19" x14ac:dyDescent="0.35">
      <c r="A4" s="42">
        <v>1</v>
      </c>
      <c r="B4" s="42"/>
      <c r="C4" s="161">
        <v>15</v>
      </c>
      <c r="D4" s="161"/>
      <c r="E4" s="161">
        <v>17</v>
      </c>
      <c r="F4" s="161"/>
      <c r="G4" s="161">
        <f>C4-E4</f>
        <v>-2</v>
      </c>
      <c r="H4" s="161">
        <f>IF(G4=0,"",ABS(G4))</f>
        <v>2</v>
      </c>
      <c r="I4" s="161" t="e">
        <f ca="1">IF(G4&lt;&gt;0,RANK_AVG(H4,$H$4:$H$33,1),"")</f>
        <v>#NAME?</v>
      </c>
      <c r="J4" s="161" t="str">
        <f>IF(G4&gt;0,I4,"")</f>
        <v/>
      </c>
      <c r="K4" s="161" t="e">
        <f ca="1">IF(G4&lt;0,I4,"")</f>
        <v>#NAME?</v>
      </c>
      <c r="L4" s="194"/>
      <c r="M4" s="38" t="s">
        <v>34</v>
      </c>
      <c r="N4" s="173">
        <v>0.05</v>
      </c>
      <c r="P4" s="38" t="s">
        <v>34</v>
      </c>
      <c r="Q4" s="173">
        <v>0.05</v>
      </c>
    </row>
    <row r="5" spans="1:19" x14ac:dyDescent="0.35">
      <c r="A5" s="42">
        <f>A4+1</f>
        <v>2</v>
      </c>
      <c r="B5" s="42"/>
      <c r="C5" s="161">
        <v>8</v>
      </c>
      <c r="D5" s="161"/>
      <c r="E5" s="161">
        <v>19</v>
      </c>
      <c r="F5" s="161"/>
      <c r="G5" s="161">
        <f t="shared" ref="G5:G33" si="0">C5-E5</f>
        <v>-11</v>
      </c>
      <c r="H5" s="161">
        <f t="shared" ref="H5:H33" si="1">IF(G5=0,"",ABS(G5))</f>
        <v>11</v>
      </c>
      <c r="I5" s="161" t="e">
        <f ca="1">IF(G5&lt;&gt;0,RANK_AVG(H5,$H$4:$H$33,1),"")</f>
        <v>#NAME?</v>
      </c>
      <c r="J5" s="161" t="str">
        <f t="shared" ref="J5:J33" si="2">IF(G5&gt;0,I5,"")</f>
        <v/>
      </c>
      <c r="K5" s="161" t="e">
        <f t="shared" ref="K5:K33" ca="1" si="3">IF(G5&lt;0,I5,"")</f>
        <v>#NAME?</v>
      </c>
      <c r="L5" s="194"/>
      <c r="M5" s="38" t="s">
        <v>107</v>
      </c>
      <c r="N5" s="58">
        <v>1</v>
      </c>
      <c r="P5" s="38" t="s">
        <v>107</v>
      </c>
      <c r="Q5" s="58">
        <v>1</v>
      </c>
    </row>
    <row r="6" spans="1:19" x14ac:dyDescent="0.35">
      <c r="A6" s="42">
        <f t="shared" ref="A6:A33" si="4">A5+1</f>
        <v>3</v>
      </c>
      <c r="B6" s="42"/>
      <c r="C6" s="161">
        <v>11</v>
      </c>
      <c r="D6" s="161"/>
      <c r="E6" s="161">
        <v>18</v>
      </c>
      <c r="F6" s="161"/>
      <c r="G6" s="161">
        <f t="shared" si="0"/>
        <v>-7</v>
      </c>
      <c r="H6" s="161">
        <f t="shared" si="1"/>
        <v>7</v>
      </c>
      <c r="I6" s="161" t="e">
        <f ca="1">IF(G6&lt;&gt;0,RANK_AVG(H6,$H$4:$H$33,1),"")</f>
        <v>#NAME?</v>
      </c>
      <c r="J6" s="161" t="str">
        <f t="shared" si="2"/>
        <v/>
      </c>
      <c r="K6" s="161" t="e">
        <f t="shared" ca="1" si="3"/>
        <v>#NAME?</v>
      </c>
      <c r="L6" s="194"/>
      <c r="M6" t="s">
        <v>26</v>
      </c>
      <c r="N6" s="58">
        <f>COUNT(H4:H33)</f>
        <v>28</v>
      </c>
      <c r="P6" t="s">
        <v>26</v>
      </c>
      <c r="Q6" s="58">
        <f>COUNT(H4:H33)</f>
        <v>28</v>
      </c>
    </row>
    <row r="7" spans="1:19" x14ac:dyDescent="0.35">
      <c r="A7" s="42">
        <f t="shared" si="4"/>
        <v>4</v>
      </c>
      <c r="B7" s="42"/>
      <c r="C7" s="161">
        <v>19</v>
      </c>
      <c r="D7" s="161"/>
      <c r="E7" s="161">
        <v>19</v>
      </c>
      <c r="F7" s="161"/>
      <c r="G7" s="161">
        <f t="shared" si="0"/>
        <v>0</v>
      </c>
      <c r="H7" s="161" t="str">
        <f t="shared" si="1"/>
        <v/>
      </c>
      <c r="I7" s="161" t="str">
        <f>IF(G7&lt;&gt;0,RANK_AVG(H7,$H$4:$H$33,1),"")</f>
        <v/>
      </c>
      <c r="J7" s="161" t="str">
        <f t="shared" si="2"/>
        <v/>
      </c>
      <c r="K7" s="161" t="str">
        <f t="shared" si="3"/>
        <v/>
      </c>
      <c r="L7" s="194"/>
      <c r="M7" s="38" t="s">
        <v>103</v>
      </c>
      <c r="N7" s="58" t="e">
        <f ca="1">MIN(J34:K34)</f>
        <v>#NAME?</v>
      </c>
      <c r="P7" s="38" t="s">
        <v>103</v>
      </c>
      <c r="Q7" s="58" t="e">
        <f ca="1">MIN(J34:K34)</f>
        <v>#NAME?</v>
      </c>
    </row>
    <row r="8" spans="1:19" x14ac:dyDescent="0.35">
      <c r="A8" s="42">
        <f t="shared" si="4"/>
        <v>5</v>
      </c>
      <c r="B8" s="42"/>
      <c r="C8" s="161">
        <v>13</v>
      </c>
      <c r="D8" s="161"/>
      <c r="E8" s="161">
        <v>17</v>
      </c>
      <c r="F8" s="161"/>
      <c r="G8" s="161">
        <f t="shared" si="0"/>
        <v>-4</v>
      </c>
      <c r="H8" s="161">
        <f t="shared" si="1"/>
        <v>4</v>
      </c>
      <c r="I8" s="161" t="e">
        <f ca="1">IF(G8&lt;&gt;0,RANK_AVG(H8,$H$4:$H$33,1),"")</f>
        <v>#NAME?</v>
      </c>
      <c r="J8" s="161" t="str">
        <f t="shared" si="2"/>
        <v/>
      </c>
      <c r="K8" s="161" t="e">
        <f t="shared" ca="1" si="3"/>
        <v>#NAME?</v>
      </c>
      <c r="L8" s="194"/>
      <c r="M8" s="23" t="s">
        <v>138</v>
      </c>
      <c r="N8" s="58" t="e">
        <f ca="1">SRINV(N4,N6,N5)</f>
        <v>#NAME?</v>
      </c>
      <c r="P8" s="23" t="s">
        <v>2</v>
      </c>
      <c r="Q8" s="58">
        <f>Q6*(Q6+1)/4</f>
        <v>203</v>
      </c>
    </row>
    <row r="9" spans="1:19" x14ac:dyDescent="0.35">
      <c r="A9" s="42">
        <f t="shared" si="4"/>
        <v>6</v>
      </c>
      <c r="B9" s="42"/>
      <c r="C9" s="161">
        <v>4</v>
      </c>
      <c r="D9" s="161"/>
      <c r="E9" s="161">
        <v>5</v>
      </c>
      <c r="F9" s="161"/>
      <c r="G9" s="161">
        <f t="shared" si="0"/>
        <v>-1</v>
      </c>
      <c r="H9" s="161">
        <f t="shared" si="1"/>
        <v>1</v>
      </c>
      <c r="I9" s="161" t="e">
        <f ca="1">IF(G9&lt;&gt;0,RANK_AVG(H9,$H$4:$H$33,1),"")</f>
        <v>#NAME?</v>
      </c>
      <c r="J9" s="161" t="str">
        <f t="shared" si="2"/>
        <v/>
      </c>
      <c r="K9" s="161" t="e">
        <f t="shared" ca="1" si="3"/>
        <v>#NAME?</v>
      </c>
      <c r="L9" s="194"/>
      <c r="M9" s="23" t="s">
        <v>104</v>
      </c>
      <c r="N9" s="47" t="e">
        <f ca="1">IF(N7&lt;N8,"yes","no")</f>
        <v>#NAME?</v>
      </c>
      <c r="P9" s="23" t="s">
        <v>113</v>
      </c>
      <c r="Q9" s="58">
        <f>Q8*(2*Q6+1)/6</f>
        <v>1928.5</v>
      </c>
    </row>
    <row r="10" spans="1:19" x14ac:dyDescent="0.35">
      <c r="A10" s="42">
        <f t="shared" si="4"/>
        <v>7</v>
      </c>
      <c r="B10" s="42"/>
      <c r="C10" s="161">
        <v>16</v>
      </c>
      <c r="D10" s="161"/>
      <c r="E10" s="161">
        <v>13</v>
      </c>
      <c r="F10" s="161"/>
      <c r="G10" s="161">
        <f t="shared" si="0"/>
        <v>3</v>
      </c>
      <c r="H10" s="161">
        <f t="shared" si="1"/>
        <v>3</v>
      </c>
      <c r="I10" s="161" t="e">
        <f ca="1">IF(G10&lt;&gt;0,RANK_AVG(H10,$H$4:$H$33,1),"")</f>
        <v>#NAME?</v>
      </c>
      <c r="J10" s="161" t="e">
        <f t="shared" ca="1" si="2"/>
        <v>#NAME?</v>
      </c>
      <c r="K10" s="161" t="str">
        <f t="shared" si="3"/>
        <v/>
      </c>
      <c r="L10" s="194"/>
      <c r="M10" s="194"/>
      <c r="P10" s="23" t="s">
        <v>56</v>
      </c>
      <c r="Q10" s="58">
        <f>SQRT(Q9)</f>
        <v>43.914690025092973</v>
      </c>
    </row>
    <row r="11" spans="1:19" x14ac:dyDescent="0.35">
      <c r="A11" s="42">
        <f t="shared" si="4"/>
        <v>8</v>
      </c>
      <c r="B11" s="42"/>
      <c r="C11" s="161">
        <v>5</v>
      </c>
      <c r="D11" s="161"/>
      <c r="E11" s="161">
        <v>0</v>
      </c>
      <c r="F11" s="161"/>
      <c r="G11" s="161">
        <f t="shared" si="0"/>
        <v>5</v>
      </c>
      <c r="H11" s="161">
        <f t="shared" si="1"/>
        <v>5</v>
      </c>
      <c r="I11" s="161" t="e">
        <f ca="1">IF(G11&lt;&gt;0,RANK_AVG(H11,$H$4:$H$33,1),"")</f>
        <v>#NAME?</v>
      </c>
      <c r="J11" s="161" t="e">
        <f t="shared" ca="1" si="2"/>
        <v>#NAME?</v>
      </c>
      <c r="K11" s="161" t="str">
        <f t="shared" si="3"/>
        <v/>
      </c>
      <c r="L11" s="194"/>
      <c r="M11" s="194"/>
      <c r="P11" s="23" t="s">
        <v>115</v>
      </c>
      <c r="Q11" s="58" t="e">
        <f ca="1">ABS(Q7-Q8)/Q10</f>
        <v>#NAME?</v>
      </c>
    </row>
    <row r="12" spans="1:19" x14ac:dyDescent="0.35">
      <c r="A12" s="42">
        <f t="shared" si="4"/>
        <v>9</v>
      </c>
      <c r="B12" s="42"/>
      <c r="C12" s="161">
        <v>9</v>
      </c>
      <c r="D12" s="161"/>
      <c r="E12" s="161">
        <v>16</v>
      </c>
      <c r="F12" s="161"/>
      <c r="G12" s="161">
        <f t="shared" si="0"/>
        <v>-7</v>
      </c>
      <c r="H12" s="161">
        <f t="shared" si="1"/>
        <v>7</v>
      </c>
      <c r="I12" s="161" t="e">
        <f ca="1">IF(G12&lt;&gt;0,RANK_AVG(H12,$H$4:$H$33,1),"")</f>
        <v>#NAME?</v>
      </c>
      <c r="J12" s="161" t="str">
        <f t="shared" si="2"/>
        <v/>
      </c>
      <c r="K12" s="161" t="e">
        <f t="shared" ca="1" si="3"/>
        <v>#NAME?</v>
      </c>
      <c r="L12" s="194"/>
      <c r="M12" s="194"/>
      <c r="P12" s="23" t="s">
        <v>48</v>
      </c>
      <c r="Q12" s="58" t="e">
        <f ca="1">1-NORMSDIST(Q11)</f>
        <v>#NAME?</v>
      </c>
    </row>
    <row r="13" spans="1:19" x14ac:dyDescent="0.35">
      <c r="A13" s="42">
        <f t="shared" si="4"/>
        <v>10</v>
      </c>
      <c r="B13" s="42"/>
      <c r="C13" s="161">
        <v>15</v>
      </c>
      <c r="D13" s="161"/>
      <c r="E13" s="161">
        <v>21</v>
      </c>
      <c r="F13" s="161"/>
      <c r="G13" s="161">
        <f t="shared" si="0"/>
        <v>-6</v>
      </c>
      <c r="H13" s="161">
        <f t="shared" si="1"/>
        <v>6</v>
      </c>
      <c r="I13" s="161" t="e">
        <f ca="1">IF(G13&lt;&gt;0,RANK_AVG(H13,$H$4:$H$33,1),"")</f>
        <v>#NAME?</v>
      </c>
      <c r="J13" s="161" t="str">
        <f t="shared" si="2"/>
        <v/>
      </c>
      <c r="K13" s="161" t="e">
        <f t="shared" ca="1" si="3"/>
        <v>#NAME?</v>
      </c>
      <c r="L13" s="194"/>
      <c r="M13" s="194"/>
      <c r="P13" s="23" t="s">
        <v>104</v>
      </c>
      <c r="Q13" s="47" t="e">
        <f ca="1">IF(Q12&lt;Q4,"yes","no")</f>
        <v>#NAME?</v>
      </c>
    </row>
    <row r="14" spans="1:19" x14ac:dyDescent="0.35">
      <c r="A14" s="42">
        <f t="shared" si="4"/>
        <v>11</v>
      </c>
      <c r="B14" s="42"/>
      <c r="C14" s="161">
        <v>12</v>
      </c>
      <c r="D14" s="161"/>
      <c r="E14" s="161">
        <v>12</v>
      </c>
      <c r="F14" s="161"/>
      <c r="G14" s="161">
        <f t="shared" si="0"/>
        <v>0</v>
      </c>
      <c r="H14" s="161" t="str">
        <f t="shared" si="1"/>
        <v/>
      </c>
      <c r="I14" s="161" t="str">
        <f>IF(G14&lt;&gt;0,RANK_AVG(H14,$H$4:$H$33,1),"")</f>
        <v/>
      </c>
      <c r="J14" s="161" t="str">
        <f t="shared" si="2"/>
        <v/>
      </c>
      <c r="K14" s="161" t="str">
        <f t="shared" si="3"/>
        <v/>
      </c>
      <c r="L14" s="194"/>
      <c r="M14" s="194"/>
    </row>
    <row r="15" spans="1:19" x14ac:dyDescent="0.35">
      <c r="A15" s="42">
        <f t="shared" si="4"/>
        <v>12</v>
      </c>
      <c r="B15" s="42"/>
      <c r="C15" s="161">
        <v>11</v>
      </c>
      <c r="D15" s="161"/>
      <c r="E15" s="161">
        <v>9</v>
      </c>
      <c r="F15" s="161"/>
      <c r="G15" s="161">
        <f t="shared" si="0"/>
        <v>2</v>
      </c>
      <c r="H15" s="161">
        <f t="shared" si="1"/>
        <v>2</v>
      </c>
      <c r="I15" s="161" t="e">
        <f ca="1">IF(G15&lt;&gt;0,RANK_AVG(H15,$H$4:$H$33,1),"")</f>
        <v>#NAME?</v>
      </c>
      <c r="J15" s="161" t="e">
        <f t="shared" ca="1" si="2"/>
        <v>#NAME?</v>
      </c>
      <c r="K15" s="161" t="str">
        <f t="shared" si="3"/>
        <v/>
      </c>
      <c r="L15" s="194"/>
      <c r="M15" s="194"/>
    </row>
    <row r="16" spans="1:19" x14ac:dyDescent="0.35">
      <c r="A16" s="42">
        <f t="shared" si="4"/>
        <v>13</v>
      </c>
      <c r="B16" s="42"/>
      <c r="C16" s="161">
        <v>14</v>
      </c>
      <c r="D16" s="161"/>
      <c r="E16" s="161">
        <v>10</v>
      </c>
      <c r="F16" s="161"/>
      <c r="G16" s="161">
        <f t="shared" si="0"/>
        <v>4</v>
      </c>
      <c r="H16" s="161">
        <f t="shared" si="1"/>
        <v>4</v>
      </c>
      <c r="I16" s="161" t="e">
        <f ca="1">IF(G16&lt;&gt;0,RANK_AVG(H16,$H$4:$H$33,1),"")</f>
        <v>#NAME?</v>
      </c>
      <c r="J16" s="161" t="e">
        <f t="shared" ca="1" si="2"/>
        <v>#NAME?</v>
      </c>
      <c r="K16" s="161" t="str">
        <f t="shared" si="3"/>
        <v/>
      </c>
      <c r="L16" s="194"/>
      <c r="M16" s="194"/>
      <c r="P16" t="s">
        <v>194</v>
      </c>
    </row>
    <row r="17" spans="1:17" x14ac:dyDescent="0.35">
      <c r="A17" s="42">
        <f t="shared" si="4"/>
        <v>14</v>
      </c>
      <c r="B17" s="42"/>
      <c r="C17" s="161">
        <v>4</v>
      </c>
      <c r="D17" s="161"/>
      <c r="E17" s="161">
        <v>17</v>
      </c>
      <c r="F17" s="161"/>
      <c r="G17" s="161">
        <f t="shared" si="0"/>
        <v>-13</v>
      </c>
      <c r="H17" s="161">
        <f t="shared" si="1"/>
        <v>13</v>
      </c>
      <c r="I17" s="161" t="e">
        <f ca="1">IF(G17&lt;&gt;0,RANK_AVG(H17,$H$4:$H$33,1),"")</f>
        <v>#NAME?</v>
      </c>
      <c r="J17" s="161" t="str">
        <f t="shared" si="2"/>
        <v/>
      </c>
      <c r="K17" s="161" t="e">
        <f t="shared" ca="1" si="3"/>
        <v>#NAME?</v>
      </c>
      <c r="L17" s="194"/>
      <c r="M17" s="194"/>
    </row>
    <row r="18" spans="1:17" x14ac:dyDescent="0.35">
      <c r="A18" s="42">
        <f t="shared" si="4"/>
        <v>15</v>
      </c>
      <c r="B18" s="42"/>
      <c r="C18" s="161">
        <v>11</v>
      </c>
      <c r="D18" s="161"/>
      <c r="E18" s="161">
        <v>12</v>
      </c>
      <c r="F18" s="161"/>
      <c r="G18" s="161">
        <f t="shared" si="0"/>
        <v>-1</v>
      </c>
      <c r="H18" s="161">
        <f t="shared" si="1"/>
        <v>1</v>
      </c>
      <c r="I18" s="161" t="e">
        <f ca="1">IF(G18&lt;&gt;0,RANK_AVG(H18,$H$4:$H$33,1),"")</f>
        <v>#NAME?</v>
      </c>
      <c r="J18" s="161" t="str">
        <f t="shared" si="2"/>
        <v/>
      </c>
      <c r="K18" s="161" t="e">
        <f t="shared" ca="1" si="3"/>
        <v>#NAME?</v>
      </c>
      <c r="L18" s="161"/>
      <c r="M18" s="161"/>
      <c r="P18" t="s">
        <v>151</v>
      </c>
      <c r="Q18" s="173" t="e">
        <f ca="1">SRANK(C4:C33,E4:E33)</f>
        <v>#NAME?</v>
      </c>
    </row>
    <row r="19" spans="1:17" x14ac:dyDescent="0.35">
      <c r="A19" s="42">
        <f t="shared" si="4"/>
        <v>16</v>
      </c>
      <c r="B19" s="42"/>
      <c r="C19" s="161">
        <v>17</v>
      </c>
      <c r="D19" s="161"/>
      <c r="E19" s="161">
        <v>24</v>
      </c>
      <c r="F19" s="161"/>
      <c r="G19" s="161">
        <f t="shared" si="0"/>
        <v>-7</v>
      </c>
      <c r="H19" s="161">
        <f t="shared" si="1"/>
        <v>7</v>
      </c>
      <c r="I19" s="161" t="e">
        <f ca="1">IF(G19&lt;&gt;0,RANK_AVG(H19,$H$4:$H$33,1),"")</f>
        <v>#NAME?</v>
      </c>
      <c r="J19" s="161" t="str">
        <f t="shared" si="2"/>
        <v/>
      </c>
      <c r="K19" s="161" t="e">
        <f t="shared" ca="1" si="3"/>
        <v>#NAME?</v>
      </c>
      <c r="L19" s="193"/>
      <c r="M19" s="193"/>
      <c r="P19" t="s">
        <v>285</v>
      </c>
      <c r="Q19" s="58" t="e">
        <f ca="1">SRTEST(C4:C33,E4:E33,1)</f>
        <v>#NAME?</v>
      </c>
    </row>
    <row r="20" spans="1:17" x14ac:dyDescent="0.35">
      <c r="A20" s="42">
        <f t="shared" si="4"/>
        <v>17</v>
      </c>
      <c r="B20" s="42"/>
      <c r="C20" s="161">
        <v>14</v>
      </c>
      <c r="D20" s="161"/>
      <c r="E20" s="161">
        <v>12</v>
      </c>
      <c r="F20" s="161"/>
      <c r="G20" s="161">
        <f t="shared" si="0"/>
        <v>2</v>
      </c>
      <c r="H20" s="161">
        <f t="shared" si="1"/>
        <v>2</v>
      </c>
      <c r="I20" s="161" t="e">
        <f ca="1">IF(G20&lt;&gt;0,RANK_AVG(H20,$H$4:$H$33,1),"")</f>
        <v>#NAME?</v>
      </c>
      <c r="J20" s="161" t="e">
        <f t="shared" ca="1" si="2"/>
        <v>#NAME?</v>
      </c>
      <c r="K20" s="161" t="str">
        <f t="shared" si="3"/>
        <v/>
      </c>
      <c r="P20" t="s">
        <v>290</v>
      </c>
      <c r="Q20" s="50" t="e">
        <f ca="1">SRTEST(C4:C33,E4:E33,2)</f>
        <v>#NAME?</v>
      </c>
    </row>
    <row r="21" spans="1:17" x14ac:dyDescent="0.35">
      <c r="A21" s="42">
        <f t="shared" si="4"/>
        <v>18</v>
      </c>
      <c r="B21" s="42"/>
      <c r="C21" s="161">
        <v>5</v>
      </c>
      <c r="D21" s="161"/>
      <c r="E21" s="161">
        <v>12</v>
      </c>
      <c r="F21" s="161"/>
      <c r="G21" s="161">
        <f t="shared" si="0"/>
        <v>-7</v>
      </c>
      <c r="H21" s="161">
        <f t="shared" si="1"/>
        <v>7</v>
      </c>
      <c r="I21" s="161" t="e">
        <f ca="1">IF(G21&lt;&gt;0,RANK_AVG(H21,$H$4:$H$33,1),"")</f>
        <v>#NAME?</v>
      </c>
      <c r="J21" s="161" t="str">
        <f t="shared" si="2"/>
        <v/>
      </c>
      <c r="K21" s="161" t="e">
        <f t="shared" ca="1" si="3"/>
        <v>#NAME?</v>
      </c>
    </row>
    <row r="22" spans="1:17" x14ac:dyDescent="0.35">
      <c r="A22" s="42">
        <f t="shared" si="4"/>
        <v>19</v>
      </c>
      <c r="B22" s="42"/>
      <c r="C22" s="161">
        <v>9</v>
      </c>
      <c r="D22" s="161"/>
      <c r="E22" s="161">
        <v>8</v>
      </c>
      <c r="F22" s="161"/>
      <c r="G22" s="161">
        <f t="shared" si="0"/>
        <v>1</v>
      </c>
      <c r="H22" s="161">
        <f t="shared" si="1"/>
        <v>1</v>
      </c>
      <c r="I22" s="161" t="e">
        <f ca="1">IF(G22&lt;&gt;0,RANK_AVG(H22,$H$4:$H$33,1),"")</f>
        <v>#NAME?</v>
      </c>
      <c r="J22" s="161" t="e">
        <f t="shared" ca="1" si="2"/>
        <v>#NAME?</v>
      </c>
      <c r="K22" s="161" t="str">
        <f t="shared" si="3"/>
        <v/>
      </c>
    </row>
    <row r="23" spans="1:17" x14ac:dyDescent="0.35">
      <c r="A23" s="42">
        <f t="shared" si="4"/>
        <v>20</v>
      </c>
      <c r="B23" s="42"/>
      <c r="C23" s="161">
        <v>8</v>
      </c>
      <c r="D23" s="161"/>
      <c r="E23" s="161">
        <v>16</v>
      </c>
      <c r="F23" s="161"/>
      <c r="G23" s="161">
        <f t="shared" si="0"/>
        <v>-8</v>
      </c>
      <c r="H23" s="161">
        <f t="shared" si="1"/>
        <v>8</v>
      </c>
      <c r="I23" s="161" t="e">
        <f ca="1">IF(G23&lt;&gt;0,RANK_AVG(H23,$H$4:$H$33,1),"")</f>
        <v>#NAME?</v>
      </c>
      <c r="J23" s="161" t="str">
        <f t="shared" si="2"/>
        <v/>
      </c>
      <c r="K23" s="161" t="e">
        <f t="shared" ca="1" si="3"/>
        <v>#NAME?</v>
      </c>
    </row>
    <row r="24" spans="1:17" x14ac:dyDescent="0.35">
      <c r="A24" s="42">
        <f t="shared" si="4"/>
        <v>21</v>
      </c>
      <c r="B24" s="42"/>
      <c r="C24" s="161">
        <v>9</v>
      </c>
      <c r="D24" s="161"/>
      <c r="E24" s="161">
        <v>12</v>
      </c>
      <c r="F24" s="161"/>
      <c r="G24" s="161">
        <f t="shared" si="0"/>
        <v>-3</v>
      </c>
      <c r="H24" s="161">
        <f t="shared" si="1"/>
        <v>3</v>
      </c>
      <c r="I24" s="161" t="e">
        <f ca="1">IF(G24&lt;&gt;0,RANK_AVG(H24,$H$4:$H$33,1),"")</f>
        <v>#NAME?</v>
      </c>
      <c r="J24" s="161" t="str">
        <f t="shared" si="2"/>
        <v/>
      </c>
      <c r="K24" s="161" t="e">
        <f t="shared" ca="1" si="3"/>
        <v>#NAME?</v>
      </c>
    </row>
    <row r="25" spans="1:17" x14ac:dyDescent="0.35">
      <c r="A25" s="42">
        <f t="shared" si="4"/>
        <v>22</v>
      </c>
      <c r="B25" s="42"/>
      <c r="C25" s="161">
        <v>11</v>
      </c>
      <c r="D25" s="161"/>
      <c r="E25" s="161">
        <v>7</v>
      </c>
      <c r="F25" s="161"/>
      <c r="G25" s="161">
        <f t="shared" si="0"/>
        <v>4</v>
      </c>
      <c r="H25" s="161">
        <f t="shared" si="1"/>
        <v>4</v>
      </c>
      <c r="I25" s="161" t="e">
        <f ca="1">IF(G25&lt;&gt;0,RANK_AVG(H25,$H$4:$H$33,1),"")</f>
        <v>#NAME?</v>
      </c>
      <c r="J25" s="161" t="e">
        <f t="shared" ca="1" si="2"/>
        <v>#NAME?</v>
      </c>
      <c r="K25" s="161" t="str">
        <f t="shared" si="3"/>
        <v/>
      </c>
    </row>
    <row r="26" spans="1:17" x14ac:dyDescent="0.35">
      <c r="A26" s="42">
        <f t="shared" si="4"/>
        <v>23</v>
      </c>
      <c r="B26" s="42"/>
      <c r="C26" s="161">
        <v>11</v>
      </c>
      <c r="D26" s="161"/>
      <c r="E26" s="161">
        <v>17</v>
      </c>
      <c r="F26" s="161"/>
      <c r="G26" s="161">
        <f t="shared" si="0"/>
        <v>-6</v>
      </c>
      <c r="H26" s="161">
        <f t="shared" si="1"/>
        <v>6</v>
      </c>
      <c r="I26" s="161" t="e">
        <f ca="1">IF(G26&lt;&gt;0,RANK_AVG(H26,$H$4:$H$33,1),"")</f>
        <v>#NAME?</v>
      </c>
      <c r="J26" s="161" t="str">
        <f t="shared" si="2"/>
        <v/>
      </c>
      <c r="K26" s="161" t="e">
        <f t="shared" ca="1" si="3"/>
        <v>#NAME?</v>
      </c>
    </row>
    <row r="27" spans="1:17" x14ac:dyDescent="0.35">
      <c r="A27" s="42">
        <f t="shared" si="4"/>
        <v>24</v>
      </c>
      <c r="B27" s="42"/>
      <c r="C27" s="161">
        <v>12</v>
      </c>
      <c r="D27" s="161"/>
      <c r="E27" s="161">
        <v>13</v>
      </c>
      <c r="F27" s="161"/>
      <c r="G27" s="161">
        <f t="shared" si="0"/>
        <v>-1</v>
      </c>
      <c r="H27" s="161">
        <f t="shared" si="1"/>
        <v>1</v>
      </c>
      <c r="I27" s="161" t="e">
        <f ca="1">IF(G27&lt;&gt;0,RANK_AVG(H27,$H$4:$H$33,1),"")</f>
        <v>#NAME?</v>
      </c>
      <c r="J27" s="161" t="str">
        <f t="shared" si="2"/>
        <v/>
      </c>
      <c r="K27" s="161" t="e">
        <f t="shared" ca="1" si="3"/>
        <v>#NAME?</v>
      </c>
    </row>
    <row r="28" spans="1:17" x14ac:dyDescent="0.35">
      <c r="A28" s="42">
        <f t="shared" si="4"/>
        <v>25</v>
      </c>
      <c r="B28" s="42"/>
      <c r="C28" s="161">
        <v>17</v>
      </c>
      <c r="D28" s="161"/>
      <c r="E28" s="161">
        <v>20</v>
      </c>
      <c r="F28" s="161"/>
      <c r="G28" s="161">
        <f t="shared" si="0"/>
        <v>-3</v>
      </c>
      <c r="H28" s="161">
        <f t="shared" si="1"/>
        <v>3</v>
      </c>
      <c r="I28" s="161" t="e">
        <f ca="1">IF(G28&lt;&gt;0,RANK_AVG(H28,$H$4:$H$33,1),"")</f>
        <v>#NAME?</v>
      </c>
      <c r="J28" s="161" t="str">
        <f t="shared" si="2"/>
        <v/>
      </c>
      <c r="K28" s="161" t="e">
        <f t="shared" ca="1" si="3"/>
        <v>#NAME?</v>
      </c>
    </row>
    <row r="29" spans="1:17" x14ac:dyDescent="0.35">
      <c r="A29" s="42">
        <f t="shared" si="4"/>
        <v>26</v>
      </c>
      <c r="B29" s="42"/>
      <c r="C29" s="161">
        <v>12</v>
      </c>
      <c r="D29" s="161"/>
      <c r="E29" s="161">
        <v>9</v>
      </c>
      <c r="F29" s="161"/>
      <c r="G29" s="161">
        <f t="shared" si="0"/>
        <v>3</v>
      </c>
      <c r="H29" s="161">
        <f t="shared" si="1"/>
        <v>3</v>
      </c>
      <c r="I29" s="161" t="e">
        <f ca="1">IF(G29&lt;&gt;0,RANK_AVG(H29,$H$4:$H$33,1),"")</f>
        <v>#NAME?</v>
      </c>
      <c r="J29" s="161" t="e">
        <f t="shared" ca="1" si="2"/>
        <v>#NAME?</v>
      </c>
      <c r="K29" s="161" t="str">
        <f t="shared" si="3"/>
        <v/>
      </c>
    </row>
    <row r="30" spans="1:17" x14ac:dyDescent="0.35">
      <c r="A30" s="42">
        <f t="shared" si="4"/>
        <v>27</v>
      </c>
      <c r="B30" s="42"/>
      <c r="C30" s="161">
        <v>5</v>
      </c>
      <c r="D30" s="161"/>
      <c r="E30" s="161">
        <v>13</v>
      </c>
      <c r="F30" s="161"/>
      <c r="G30" s="161">
        <f t="shared" si="0"/>
        <v>-8</v>
      </c>
      <c r="H30" s="161">
        <f t="shared" si="1"/>
        <v>8</v>
      </c>
      <c r="I30" s="161" t="e">
        <f ca="1">IF(G30&lt;&gt;0,RANK_AVG(H30,$H$4:$H$33,1),"")</f>
        <v>#NAME?</v>
      </c>
      <c r="J30" s="161" t="str">
        <f t="shared" si="2"/>
        <v/>
      </c>
      <c r="K30" s="161" t="e">
        <f t="shared" ca="1" si="3"/>
        <v>#NAME?</v>
      </c>
    </row>
    <row r="31" spans="1:17" x14ac:dyDescent="0.35">
      <c r="A31" s="42">
        <f t="shared" si="4"/>
        <v>28</v>
      </c>
      <c r="B31" s="42"/>
      <c r="C31" s="161">
        <v>5</v>
      </c>
      <c r="D31" s="161"/>
      <c r="E31" s="161">
        <v>11</v>
      </c>
      <c r="F31" s="161"/>
      <c r="G31" s="161">
        <f t="shared" si="0"/>
        <v>-6</v>
      </c>
      <c r="H31" s="161">
        <f t="shared" si="1"/>
        <v>6</v>
      </c>
      <c r="I31" s="161" t="e">
        <f ca="1">IF(G31&lt;&gt;0,RANK_AVG(H31,$H$4:$H$33,1),"")</f>
        <v>#NAME?</v>
      </c>
      <c r="J31" s="161" t="str">
        <f t="shared" si="2"/>
        <v/>
      </c>
      <c r="K31" s="161" t="e">
        <f t="shared" ca="1" si="3"/>
        <v>#NAME?</v>
      </c>
    </row>
    <row r="32" spans="1:17" x14ac:dyDescent="0.35">
      <c r="A32" s="42">
        <f t="shared" si="4"/>
        <v>29</v>
      </c>
      <c r="B32" s="42"/>
      <c r="C32" s="161">
        <v>15</v>
      </c>
      <c r="D32" s="161"/>
      <c r="E32" s="161">
        <v>11</v>
      </c>
      <c r="F32" s="161"/>
      <c r="G32" s="161">
        <f t="shared" si="0"/>
        <v>4</v>
      </c>
      <c r="H32" s="161">
        <f t="shared" si="1"/>
        <v>4</v>
      </c>
      <c r="I32" s="161" t="e">
        <f ca="1">IF(G32&lt;&gt;0,RANK_AVG(H32,$H$4:$H$33,1),"")</f>
        <v>#NAME?</v>
      </c>
      <c r="J32" s="161" t="e">
        <f t="shared" ca="1" si="2"/>
        <v>#NAME?</v>
      </c>
      <c r="K32" s="161" t="str">
        <f t="shared" si="3"/>
        <v/>
      </c>
    </row>
    <row r="33" spans="1:11" x14ac:dyDescent="0.35">
      <c r="A33" s="201">
        <f t="shared" si="4"/>
        <v>30</v>
      </c>
      <c r="B33" s="201"/>
      <c r="C33" s="201">
        <v>0</v>
      </c>
      <c r="D33" s="201"/>
      <c r="E33" s="201">
        <v>12</v>
      </c>
      <c r="F33" s="201"/>
      <c r="G33" s="195">
        <f t="shared" si="0"/>
        <v>-12</v>
      </c>
      <c r="H33" s="195">
        <f t="shared" si="1"/>
        <v>12</v>
      </c>
      <c r="I33" s="195" t="e">
        <f ca="1">IF(G33&lt;&gt;0,RANK_AVG(H33,$H$4:$H$33,1),"")</f>
        <v>#NAME?</v>
      </c>
      <c r="J33" s="195" t="str">
        <f t="shared" si="2"/>
        <v/>
      </c>
      <c r="K33" s="195" t="e">
        <f t="shared" ca="1" si="3"/>
        <v>#NAME?</v>
      </c>
    </row>
    <row r="34" spans="1:11" x14ac:dyDescent="0.35">
      <c r="J34" s="193" t="e">
        <f ca="1">SUM(J4:J33)</f>
        <v>#NAME?</v>
      </c>
      <c r="K34" s="193" t="e">
        <f ca="1">SUM(K4:K33)</f>
        <v>#NAME?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06"/>
  <dimension ref="A1:AG18"/>
  <sheetViews>
    <sheetView workbookViewId="0"/>
  </sheetViews>
  <sheetFormatPr defaultRowHeight="14.5" x14ac:dyDescent="0.35"/>
  <cols>
    <col min="1" max="1" width="7.1796875" customWidth="1"/>
    <col min="2" max="4" width="6" customWidth="1"/>
    <col min="5" max="5" width="3" customWidth="1"/>
    <col min="6" max="6" width="4" customWidth="1"/>
    <col min="7" max="22" width="4.453125" customWidth="1"/>
    <col min="25" max="25" width="2.453125" customWidth="1"/>
    <col min="26" max="26" width="19.26953125" customWidth="1"/>
    <col min="30" max="30" width="2.453125" customWidth="1"/>
    <col min="31" max="31" width="18" customWidth="1"/>
    <col min="34" max="34" width="3" customWidth="1"/>
    <col min="35" max="35" width="17.1796875" customWidth="1"/>
  </cols>
  <sheetData>
    <row r="1" spans="1:33" x14ac:dyDescent="0.35">
      <c r="A1" s="35" t="s">
        <v>251</v>
      </c>
    </row>
    <row r="3" spans="1:33" x14ac:dyDescent="0.35">
      <c r="A3" s="160" t="s">
        <v>66</v>
      </c>
      <c r="B3" s="160" t="s">
        <v>139</v>
      </c>
      <c r="C3" s="160" t="s">
        <v>140</v>
      </c>
      <c r="D3" s="160" t="s">
        <v>109</v>
      </c>
      <c r="E3" s="87"/>
      <c r="G3">
        <f t="array" ref="G3:U3">TRANSPOSE(F4:F18)</f>
        <v>3</v>
      </c>
      <c r="H3">
        <v>0</v>
      </c>
      <c r="I3">
        <v>2</v>
      </c>
      <c r="J3">
        <v>-2</v>
      </c>
      <c r="K3">
        <v>21</v>
      </c>
      <c r="L3">
        <v>3</v>
      </c>
      <c r="M3">
        <v>-9</v>
      </c>
      <c r="N3">
        <v>-10</v>
      </c>
      <c r="O3">
        <v>17</v>
      </c>
      <c r="P3">
        <v>7</v>
      </c>
      <c r="Q3">
        <v>4</v>
      </c>
      <c r="R3">
        <v>1</v>
      </c>
      <c r="S3">
        <v>-8</v>
      </c>
      <c r="T3">
        <v>4</v>
      </c>
      <c r="U3">
        <v>5</v>
      </c>
      <c r="W3" t="s">
        <v>94</v>
      </c>
      <c r="X3" s="88">
        <v>0.05</v>
      </c>
      <c r="AB3" t="e">
        <f ca="1">FTEXT(AB5)</f>
        <v>#NAME?</v>
      </c>
      <c r="AF3" t="e">
        <f ca="1">FTEXT(AF5)</f>
        <v>#NAME?</v>
      </c>
    </row>
    <row r="4" spans="1:33" x14ac:dyDescent="0.35">
      <c r="A4" s="194">
        <v>1</v>
      </c>
      <c r="B4" s="194">
        <v>50</v>
      </c>
      <c r="C4" s="194">
        <v>47</v>
      </c>
      <c r="D4" s="194">
        <f>B4-C4</f>
        <v>3</v>
      </c>
      <c r="E4" s="194"/>
      <c r="F4">
        <f t="shared" ref="F4:F18" si="0">D4</f>
        <v>3</v>
      </c>
      <c r="G4" s="172">
        <f>IF(ROW(F4:F18)-ROW($F$4)&lt;=COLUMN(G3:U3)-COLUMN($G$3),($F4+G$3)/2,"")</f>
        <v>3</v>
      </c>
      <c r="H4" s="164">
        <f>IF(ROW(G4:G18)-ROW($F$4)&lt;=COLUMN(H3:V3)-COLUMN($G$3),($F4+H$3)/2,"")</f>
        <v>1.5</v>
      </c>
      <c r="I4" s="164">
        <f t="shared" ref="I4:I14" si="1">IF(ROW(H4:H18)-ROW($F$4)&lt;=COLUMN(I3:V3)-COLUMN($G$3),($F4+I$3)/2,"")</f>
        <v>2.5</v>
      </c>
      <c r="J4" s="164">
        <f t="shared" ref="J4:J14" si="2">IF(ROW(I4:I18)-ROW($F$4)&lt;=COLUMN(J3:V3)-COLUMN($G$3),($F4+J$3)/2,"")</f>
        <v>0.5</v>
      </c>
      <c r="K4" s="164">
        <f t="shared" ref="K4:K14" si="3">IF(ROW(J4:J18)-ROW($F$4)&lt;=COLUMN(K3:V3)-COLUMN($G$3),($F4+K$3)/2,"")</f>
        <v>12</v>
      </c>
      <c r="L4" s="164">
        <f t="shared" ref="L4:L14" si="4">IF(ROW(K4:K18)-ROW($F$4)&lt;=COLUMN(L3:V3)-COLUMN($G$3),($F4+L$3)/2,"")</f>
        <v>3</v>
      </c>
      <c r="M4" s="164">
        <f t="shared" ref="M4:M14" si="5">IF(ROW(L4:L18)-ROW($F$4)&lt;=COLUMN(M3:V3)-COLUMN($G$3),($F4+M$3)/2,"")</f>
        <v>-3</v>
      </c>
      <c r="N4" s="164">
        <f t="shared" ref="N4:N14" si="6">IF(ROW(M4:M18)-ROW($F$4)&lt;=COLUMN(N3:V3)-COLUMN($G$3),($F4+N$3)/2,"")</f>
        <v>-3.5</v>
      </c>
      <c r="O4" s="164">
        <f t="shared" ref="O4:O14" si="7">IF(ROW(N4:N18)-ROW($F$4)&lt;=COLUMN(O3:V3)-COLUMN($G$3),($F4+O$3)/2,"")</f>
        <v>10</v>
      </c>
      <c r="P4" s="164">
        <f t="shared" ref="P4:P14" si="8">IF(ROW(O4:O18)-ROW($F$4)&lt;=COLUMN(P3:V3)-COLUMN($G$3),($F4+P$3)/2,"")</f>
        <v>5</v>
      </c>
      <c r="Q4" s="164">
        <f>IF(ROW(P4:P18)-ROW($F$4)&lt;=COLUMN(Q3:V3)-COLUMN($G$3),($F4+Q$3)/2,"")</f>
        <v>3.5</v>
      </c>
      <c r="R4" s="164">
        <f>IF(ROW(Q4:Q18)-ROW($F$4)&lt;=COLUMN(R3:AE3)-COLUMN($G$3),($F4+R$3)/2,"")</f>
        <v>2</v>
      </c>
      <c r="S4" s="164">
        <f>IF(ROW(R4:R18)-ROW($F$4)&lt;=COLUMN(S3:AF3)-COLUMN($G$3),($F4+S$3)/2,"")</f>
        <v>-2.5</v>
      </c>
      <c r="T4" s="164">
        <f t="shared" ref="T4:T13" si="9">IF(ROW(S4:S18)-ROW($F$4)&lt;=COLUMN(T3:AF3)-COLUMN($G$3),($F4+T$3)/2,"")</f>
        <v>3.5</v>
      </c>
      <c r="U4" s="163">
        <f t="shared" ref="U4:U13" si="10">IF(ROW(T4:T18)-ROW($F$4)&lt;=COLUMN(U3:AF3)-COLUMN($G$3),($F4+U$3)/2,"")</f>
        <v>4</v>
      </c>
    </row>
    <row r="5" spans="1:33" x14ac:dyDescent="0.35">
      <c r="A5" s="194">
        <f>A4+1</f>
        <v>2</v>
      </c>
      <c r="B5" s="194">
        <v>45</v>
      </c>
      <c r="C5" s="194">
        <v>45</v>
      </c>
      <c r="D5" s="194">
        <f t="shared" ref="D5:D18" si="11">B5-C5</f>
        <v>0</v>
      </c>
      <c r="E5" s="194"/>
      <c r="F5">
        <f t="shared" si="0"/>
        <v>0</v>
      </c>
      <c r="G5" s="59" t="str">
        <f t="shared" ref="G5:I18" si="12">IF(ROW(F5:F19)-ROW($F$4)&lt;=COLUMN(G4:U4)-COLUMN($G$3),($F5+G$3)/2,"")</f>
        <v/>
      </c>
      <c r="H5" s="7">
        <f t="shared" si="12"/>
        <v>0</v>
      </c>
      <c r="I5" s="7">
        <f t="shared" si="1"/>
        <v>1</v>
      </c>
      <c r="J5" s="7">
        <f t="shared" si="2"/>
        <v>-1</v>
      </c>
      <c r="K5" s="7">
        <f t="shared" si="3"/>
        <v>10.5</v>
      </c>
      <c r="L5" s="7">
        <f t="shared" si="4"/>
        <v>1.5</v>
      </c>
      <c r="M5" s="7">
        <f t="shared" si="5"/>
        <v>-4.5</v>
      </c>
      <c r="N5" s="7">
        <f t="shared" si="6"/>
        <v>-5</v>
      </c>
      <c r="O5" s="7">
        <f t="shared" si="7"/>
        <v>8.5</v>
      </c>
      <c r="P5" s="7">
        <f t="shared" si="8"/>
        <v>3.5</v>
      </c>
      <c r="Q5" s="7">
        <f>IF(ROW(P5:P19)-ROW($F$4)&lt;=COLUMN(Q4:V4)-COLUMN($G$3),($F5+Q$3)/2,"")</f>
        <v>2</v>
      </c>
      <c r="R5" s="7">
        <f>IF(ROW(Q5:Q19)-ROW($F$4)&lt;=COLUMN(R4:AE4)-COLUMN($G$3),($F5+R$3)/2,"")</f>
        <v>0.5</v>
      </c>
      <c r="S5" s="7">
        <f t="shared" ref="S5" si="13">IF(ROW(R5:R19)-ROW($F$4)&lt;=COLUMN(S4:AF4)-COLUMN($G$3),($F5+S$3)/2,"")</f>
        <v>-4</v>
      </c>
      <c r="T5" s="7">
        <f t="shared" si="9"/>
        <v>2</v>
      </c>
      <c r="U5" s="60">
        <f t="shared" si="10"/>
        <v>2.5</v>
      </c>
      <c r="W5" t="s">
        <v>138</v>
      </c>
      <c r="X5" s="173" t="e">
        <f ca="1">SRINV(X3,A18)</f>
        <v>#NAME?</v>
      </c>
      <c r="Z5" t="e">
        <f ca="1">FTEXT(X5)</f>
        <v>#NAME?</v>
      </c>
      <c r="AB5" t="e">
        <f t="array" aca="1" ref="AB5:AC13" ca="1">SR_CONF(B4:B18,C4:C18,TRUE,1,,FALSE)</f>
        <v>#NAME?</v>
      </c>
      <c r="AC5" s="173" t="e">
        <f ca="1"/>
        <v>#NAME?</v>
      </c>
      <c r="AF5" t="e">
        <f t="array" aca="1" ref="AF5:AG13" ca="1">SR_CONF(B4:B18,C4:C18,TRUE,0,,FALSE)</f>
        <v>#NAME?</v>
      </c>
      <c r="AG5" s="173" t="e">
        <f ca="1"/>
        <v>#NAME?</v>
      </c>
    </row>
    <row r="6" spans="1:33" x14ac:dyDescent="0.35">
      <c r="A6" s="194">
        <f t="shared" ref="A6:A18" si="14">A5+1</f>
        <v>3</v>
      </c>
      <c r="B6" s="194">
        <v>33</v>
      </c>
      <c r="C6" s="194">
        <v>31</v>
      </c>
      <c r="D6" s="194">
        <f t="shared" si="11"/>
        <v>2</v>
      </c>
      <c r="E6" s="194"/>
      <c r="F6">
        <f t="shared" si="0"/>
        <v>2</v>
      </c>
      <c r="G6" s="59" t="str">
        <f t="shared" si="12"/>
        <v/>
      </c>
      <c r="H6" s="7" t="str">
        <f t="shared" si="12"/>
        <v/>
      </c>
      <c r="I6" s="7">
        <f t="shared" si="1"/>
        <v>2</v>
      </c>
      <c r="J6" s="7">
        <f t="shared" si="2"/>
        <v>0</v>
      </c>
      <c r="K6" s="7">
        <f t="shared" si="3"/>
        <v>11.5</v>
      </c>
      <c r="L6" s="7">
        <f t="shared" si="4"/>
        <v>2.5</v>
      </c>
      <c r="M6" s="7">
        <f t="shared" si="5"/>
        <v>-3.5</v>
      </c>
      <c r="N6" s="7">
        <f t="shared" si="6"/>
        <v>-4</v>
      </c>
      <c r="O6" s="7">
        <f t="shared" si="7"/>
        <v>9.5</v>
      </c>
      <c r="P6" s="7">
        <f t="shared" si="8"/>
        <v>4.5</v>
      </c>
      <c r="Q6" s="7">
        <f t="shared" ref="J6:S18" si="15">IF(ROW(P6:P20)-ROW($F$4)&lt;=COLUMN(Q5:AD5)-COLUMN($G$3),($F6+Q$3)/2,"")</f>
        <v>3</v>
      </c>
      <c r="R6" s="7">
        <f t="shared" si="15"/>
        <v>1.5</v>
      </c>
      <c r="S6" s="7">
        <f t="shared" si="15"/>
        <v>-3</v>
      </c>
      <c r="T6" s="7">
        <f t="shared" si="9"/>
        <v>3</v>
      </c>
      <c r="U6" s="60">
        <f t="shared" si="10"/>
        <v>3.5</v>
      </c>
      <c r="W6" t="s">
        <v>94</v>
      </c>
      <c r="X6" s="58" t="e">
        <f ca="1">SRDIST(X5,A18)</f>
        <v>#NAME?</v>
      </c>
      <c r="Z6" t="e">
        <f ca="1">FTEXT(X6)</f>
        <v>#NAME?</v>
      </c>
      <c r="AB6" t="e">
        <f ca="1"/>
        <v>#NAME?</v>
      </c>
      <c r="AC6" s="58" t="e">
        <f ca="1"/>
        <v>#NAME?</v>
      </c>
      <c r="AF6" t="e">
        <f ca="1"/>
        <v>#NAME?</v>
      </c>
      <c r="AG6" s="58" t="e">
        <f ca="1"/>
        <v>#NAME?</v>
      </c>
    </row>
    <row r="7" spans="1:33" x14ac:dyDescent="0.35">
      <c r="A7" s="194">
        <f t="shared" si="14"/>
        <v>4</v>
      </c>
      <c r="B7" s="194">
        <v>22</v>
      </c>
      <c r="C7" s="194">
        <v>24</v>
      </c>
      <c r="D7" s="194">
        <f t="shared" si="11"/>
        <v>-2</v>
      </c>
      <c r="E7" s="194"/>
      <c r="F7">
        <f t="shared" si="0"/>
        <v>-2</v>
      </c>
      <c r="G7" s="59" t="str">
        <f t="shared" si="12"/>
        <v/>
      </c>
      <c r="H7" s="7" t="str">
        <f t="shared" si="12"/>
        <v/>
      </c>
      <c r="I7" s="7" t="str">
        <f t="shared" si="1"/>
        <v/>
      </c>
      <c r="J7" s="7">
        <f t="shared" si="2"/>
        <v>-2</v>
      </c>
      <c r="K7" s="7">
        <f t="shared" si="3"/>
        <v>9.5</v>
      </c>
      <c r="L7" s="7">
        <f t="shared" si="4"/>
        <v>0.5</v>
      </c>
      <c r="M7" s="7">
        <f t="shared" si="5"/>
        <v>-5.5</v>
      </c>
      <c r="N7" s="7">
        <f t="shared" si="6"/>
        <v>-6</v>
      </c>
      <c r="O7" s="7">
        <f t="shared" si="7"/>
        <v>7.5</v>
      </c>
      <c r="P7" s="7">
        <f t="shared" si="8"/>
        <v>2.5</v>
      </c>
      <c r="Q7" s="7">
        <f t="shared" si="15"/>
        <v>1</v>
      </c>
      <c r="R7" s="7">
        <f t="shared" si="15"/>
        <v>-0.5</v>
      </c>
      <c r="S7" s="7">
        <f t="shared" si="15"/>
        <v>-5</v>
      </c>
      <c r="T7" s="7">
        <f t="shared" si="9"/>
        <v>1</v>
      </c>
      <c r="U7" s="60">
        <f t="shared" si="10"/>
        <v>1.5</v>
      </c>
      <c r="W7" t="s">
        <v>24</v>
      </c>
      <c r="X7" s="58" t="e">
        <f ca="1">SMALL(G4:U18,X5)</f>
        <v>#NAME?</v>
      </c>
      <c r="Z7" t="e">
        <f ca="1">FTEXT(X7)</f>
        <v>#NAME?</v>
      </c>
      <c r="AB7" t="e">
        <f ca="1"/>
        <v>#NAME?</v>
      </c>
      <c r="AC7" s="58" t="e">
        <f ca="1"/>
        <v>#NAME?</v>
      </c>
      <c r="AF7" t="e">
        <f ca="1"/>
        <v>#NAME?</v>
      </c>
      <c r="AG7" s="58" t="e">
        <f ca="1"/>
        <v>#NAME?</v>
      </c>
    </row>
    <row r="8" spans="1:33" x14ac:dyDescent="0.35">
      <c r="A8" s="194">
        <f t="shared" si="14"/>
        <v>5</v>
      </c>
      <c r="B8" s="194">
        <v>99</v>
      </c>
      <c r="C8" s="194">
        <v>78</v>
      </c>
      <c r="D8" s="194">
        <f t="shared" si="11"/>
        <v>21</v>
      </c>
      <c r="E8" s="194"/>
      <c r="F8">
        <f t="shared" si="0"/>
        <v>21</v>
      </c>
      <c r="G8" s="59" t="str">
        <f t="shared" si="12"/>
        <v/>
      </c>
      <c r="H8" s="7" t="str">
        <f t="shared" si="12"/>
        <v/>
      </c>
      <c r="I8" s="7" t="str">
        <f t="shared" si="1"/>
        <v/>
      </c>
      <c r="J8" s="7" t="str">
        <f t="shared" si="2"/>
        <v/>
      </c>
      <c r="K8" s="7">
        <f t="shared" si="3"/>
        <v>21</v>
      </c>
      <c r="L8" s="7">
        <f t="shared" si="4"/>
        <v>12</v>
      </c>
      <c r="M8" s="7">
        <f t="shared" si="5"/>
        <v>6</v>
      </c>
      <c r="N8" s="7">
        <f t="shared" si="6"/>
        <v>5.5</v>
      </c>
      <c r="O8" s="7">
        <f t="shared" si="7"/>
        <v>19</v>
      </c>
      <c r="P8" s="7">
        <f t="shared" si="8"/>
        <v>14</v>
      </c>
      <c r="Q8" s="7">
        <f t="shared" si="15"/>
        <v>12.5</v>
      </c>
      <c r="R8" s="7">
        <f t="shared" si="15"/>
        <v>11</v>
      </c>
      <c r="S8" s="7">
        <f t="shared" si="15"/>
        <v>6.5</v>
      </c>
      <c r="T8" s="7">
        <f t="shared" si="9"/>
        <v>12.5</v>
      </c>
      <c r="U8" s="60">
        <f t="shared" si="10"/>
        <v>13</v>
      </c>
      <c r="W8" t="s">
        <v>25</v>
      </c>
      <c r="X8" s="58" t="e">
        <f ca="1">LARGE(G4:U18,X5)</f>
        <v>#NAME?</v>
      </c>
      <c r="Z8" t="e">
        <f ca="1">FTEXT(X8)</f>
        <v>#NAME?</v>
      </c>
      <c r="AB8" t="e">
        <f ca="1"/>
        <v>#NAME?</v>
      </c>
      <c r="AC8" s="58" t="e">
        <f ca="1"/>
        <v>#NAME?</v>
      </c>
      <c r="AF8" t="e">
        <f ca="1"/>
        <v>#NAME?</v>
      </c>
      <c r="AG8" s="58" t="e">
        <f ca="1"/>
        <v>#NAME?</v>
      </c>
    </row>
    <row r="9" spans="1:33" x14ac:dyDescent="0.35">
      <c r="A9" s="194">
        <f t="shared" si="14"/>
        <v>6</v>
      </c>
      <c r="B9" s="194">
        <v>79</v>
      </c>
      <c r="C9" s="194">
        <v>76</v>
      </c>
      <c r="D9" s="194">
        <f t="shared" si="11"/>
        <v>3</v>
      </c>
      <c r="E9" s="194"/>
      <c r="F9">
        <f t="shared" si="0"/>
        <v>3</v>
      </c>
      <c r="G9" s="59" t="str">
        <f t="shared" si="12"/>
        <v/>
      </c>
      <c r="H9" s="7" t="str">
        <f t="shared" si="12"/>
        <v/>
      </c>
      <c r="I9" s="7" t="str">
        <f t="shared" si="1"/>
        <v/>
      </c>
      <c r="J9" s="7" t="str">
        <f t="shared" si="2"/>
        <v/>
      </c>
      <c r="K9" s="7" t="str">
        <f t="shared" si="3"/>
        <v/>
      </c>
      <c r="L9" s="7">
        <f t="shared" si="4"/>
        <v>3</v>
      </c>
      <c r="M9" s="7">
        <f t="shared" si="5"/>
        <v>-3</v>
      </c>
      <c r="N9" s="7">
        <f t="shared" si="6"/>
        <v>-3.5</v>
      </c>
      <c r="O9" s="7">
        <f t="shared" si="7"/>
        <v>10</v>
      </c>
      <c r="P9" s="7">
        <f t="shared" si="8"/>
        <v>5</v>
      </c>
      <c r="Q9" s="7">
        <f t="shared" si="15"/>
        <v>3.5</v>
      </c>
      <c r="R9" s="7">
        <f t="shared" si="15"/>
        <v>2</v>
      </c>
      <c r="S9" s="7">
        <f t="shared" si="15"/>
        <v>-2.5</v>
      </c>
      <c r="T9" s="7">
        <f t="shared" si="9"/>
        <v>3.5</v>
      </c>
      <c r="U9" s="60">
        <f t="shared" si="10"/>
        <v>4</v>
      </c>
      <c r="W9" t="s">
        <v>106</v>
      </c>
      <c r="X9" s="58">
        <f>MEDIAN(G4:U18)</f>
        <v>2.5</v>
      </c>
      <c r="Z9" t="e">
        <f ca="1">FTEXT(X9)</f>
        <v>#NAME?</v>
      </c>
      <c r="AB9" t="e">
        <f ca="1"/>
        <v>#NAME?</v>
      </c>
      <c r="AC9" s="58" t="e">
        <f ca="1"/>
        <v>#NAME?</v>
      </c>
      <c r="AF9" t="e">
        <f ca="1"/>
        <v>#NAME?</v>
      </c>
      <c r="AG9" s="58" t="e">
        <f ca="1"/>
        <v>#NAME?</v>
      </c>
    </row>
    <row r="10" spans="1:33" x14ac:dyDescent="0.35">
      <c r="A10" s="194">
        <f t="shared" si="14"/>
        <v>7</v>
      </c>
      <c r="B10" s="194">
        <v>4</v>
      </c>
      <c r="C10" s="194">
        <v>13</v>
      </c>
      <c r="D10" s="194">
        <f t="shared" si="11"/>
        <v>-9</v>
      </c>
      <c r="E10" s="194"/>
      <c r="F10">
        <f t="shared" si="0"/>
        <v>-9</v>
      </c>
      <c r="G10" s="59" t="str">
        <f t="shared" si="12"/>
        <v/>
      </c>
      <c r="H10" s="7" t="str">
        <f t="shared" si="12"/>
        <v/>
      </c>
      <c r="I10" s="7" t="str">
        <f t="shared" si="1"/>
        <v/>
      </c>
      <c r="J10" s="7" t="str">
        <f t="shared" si="2"/>
        <v/>
      </c>
      <c r="K10" s="7" t="str">
        <f t="shared" si="3"/>
        <v/>
      </c>
      <c r="L10" s="7" t="str">
        <f t="shared" si="4"/>
        <v/>
      </c>
      <c r="M10" s="7">
        <f t="shared" si="5"/>
        <v>-9</v>
      </c>
      <c r="N10" s="7">
        <f t="shared" si="6"/>
        <v>-9.5</v>
      </c>
      <c r="O10" s="7">
        <f t="shared" si="7"/>
        <v>4</v>
      </c>
      <c r="P10" s="7">
        <f t="shared" si="8"/>
        <v>-1</v>
      </c>
      <c r="Q10" s="7">
        <f t="shared" si="15"/>
        <v>-2.5</v>
      </c>
      <c r="R10" s="7">
        <f t="shared" si="15"/>
        <v>-4</v>
      </c>
      <c r="S10" s="7">
        <f t="shared" si="15"/>
        <v>-8.5</v>
      </c>
      <c r="T10" s="7">
        <f t="shared" si="9"/>
        <v>-2.5</v>
      </c>
      <c r="U10" s="60">
        <f t="shared" si="10"/>
        <v>-2</v>
      </c>
      <c r="W10" t="s">
        <v>264</v>
      </c>
      <c r="X10" s="58" t="e">
        <f ca="1">X5+1</f>
        <v>#NAME?</v>
      </c>
      <c r="Z10" t="e">
        <f ca="1">FTEXT(X10)</f>
        <v>#NAME?</v>
      </c>
      <c r="AB10" t="e">
        <f ca="1"/>
        <v>#NAME?</v>
      </c>
      <c r="AC10" s="58" t="e">
        <f ca="1"/>
        <v>#NAME?</v>
      </c>
      <c r="AF10" t="e">
        <f ca="1"/>
        <v>#NAME?</v>
      </c>
      <c r="AG10" s="58" t="e">
        <f ca="1"/>
        <v>#NAME?</v>
      </c>
    </row>
    <row r="11" spans="1:33" x14ac:dyDescent="0.35">
      <c r="A11" s="194">
        <f t="shared" si="14"/>
        <v>8</v>
      </c>
      <c r="B11" s="194">
        <v>36</v>
      </c>
      <c r="C11" s="194">
        <v>46</v>
      </c>
      <c r="D11" s="194">
        <f t="shared" si="11"/>
        <v>-10</v>
      </c>
      <c r="E11" s="194"/>
      <c r="F11">
        <f t="shared" si="0"/>
        <v>-10</v>
      </c>
      <c r="G11" s="59" t="str">
        <f t="shared" si="12"/>
        <v/>
      </c>
      <c r="H11" s="7" t="str">
        <f t="shared" si="12"/>
        <v/>
      </c>
      <c r="I11" s="7" t="str">
        <f t="shared" si="1"/>
        <v/>
      </c>
      <c r="J11" s="7" t="str">
        <f t="shared" si="2"/>
        <v/>
      </c>
      <c r="K11" s="7" t="str">
        <f t="shared" si="3"/>
        <v/>
      </c>
      <c r="L11" s="7" t="str">
        <f t="shared" si="4"/>
        <v/>
      </c>
      <c r="M11" s="7" t="str">
        <f t="shared" si="5"/>
        <v/>
      </c>
      <c r="N11" s="7">
        <f t="shared" si="6"/>
        <v>-10</v>
      </c>
      <c r="O11" s="7">
        <f t="shared" si="7"/>
        <v>3.5</v>
      </c>
      <c r="P11" s="7">
        <f t="shared" si="8"/>
        <v>-1.5</v>
      </c>
      <c r="Q11" s="7">
        <f t="shared" si="15"/>
        <v>-3</v>
      </c>
      <c r="R11" s="7">
        <f t="shared" si="15"/>
        <v>-4.5</v>
      </c>
      <c r="S11" s="7">
        <f t="shared" si="15"/>
        <v>-9</v>
      </c>
      <c r="T11" s="7">
        <f t="shared" si="9"/>
        <v>-3</v>
      </c>
      <c r="U11" s="60">
        <f t="shared" si="10"/>
        <v>-2.5</v>
      </c>
      <c r="W11" t="s">
        <v>94</v>
      </c>
      <c r="X11" s="58" t="e">
        <f ca="1">SRDIST(X10,A18)</f>
        <v>#NAME?</v>
      </c>
      <c r="Z11" t="e">
        <f ca="1">FTEXT(X11)</f>
        <v>#NAME?</v>
      </c>
      <c r="AB11" t="e">
        <f ca="1"/>
        <v>#NAME?</v>
      </c>
      <c r="AC11" s="58" t="e">
        <f ca="1"/>
        <v>#NAME?</v>
      </c>
      <c r="AF11" t="e">
        <f ca="1"/>
        <v>#NAME?</v>
      </c>
      <c r="AG11" s="58" t="e">
        <f ca="1"/>
        <v>#NAME?</v>
      </c>
    </row>
    <row r="12" spans="1:33" x14ac:dyDescent="0.35">
      <c r="A12" s="194">
        <f t="shared" si="14"/>
        <v>9</v>
      </c>
      <c r="B12" s="194">
        <v>62</v>
      </c>
      <c r="C12" s="194">
        <v>45</v>
      </c>
      <c r="D12" s="194">
        <f t="shared" si="11"/>
        <v>17</v>
      </c>
      <c r="E12" s="194"/>
      <c r="F12">
        <f t="shared" si="0"/>
        <v>17</v>
      </c>
      <c r="G12" s="59" t="str">
        <f t="shared" si="12"/>
        <v/>
      </c>
      <c r="H12" s="7" t="str">
        <f t="shared" si="12"/>
        <v/>
      </c>
      <c r="I12" s="7" t="str">
        <f t="shared" si="1"/>
        <v/>
      </c>
      <c r="J12" s="7" t="str">
        <f t="shared" si="2"/>
        <v/>
      </c>
      <c r="K12" s="7" t="str">
        <f t="shared" si="3"/>
        <v/>
      </c>
      <c r="L12" s="7" t="str">
        <f t="shared" si="4"/>
        <v/>
      </c>
      <c r="M12" s="7" t="str">
        <f t="shared" si="5"/>
        <v/>
      </c>
      <c r="N12" s="7" t="str">
        <f t="shared" si="6"/>
        <v/>
      </c>
      <c r="O12" s="7">
        <f t="shared" si="7"/>
        <v>17</v>
      </c>
      <c r="P12" s="7">
        <f t="shared" si="8"/>
        <v>12</v>
      </c>
      <c r="Q12" s="7">
        <f t="shared" si="15"/>
        <v>10.5</v>
      </c>
      <c r="R12" s="7">
        <f t="shared" si="15"/>
        <v>9</v>
      </c>
      <c r="S12" s="7">
        <f t="shared" si="15"/>
        <v>4.5</v>
      </c>
      <c r="T12" s="7">
        <f t="shared" si="9"/>
        <v>10.5</v>
      </c>
      <c r="U12" s="60">
        <f t="shared" si="10"/>
        <v>11</v>
      </c>
      <c r="W12" t="s">
        <v>24</v>
      </c>
      <c r="X12" s="58" t="e">
        <f ca="1">SMALL(G4:U18,X10)</f>
        <v>#NAME?</v>
      </c>
      <c r="Z12" t="e">
        <f ca="1">FTEXT(X12)</f>
        <v>#NAME?</v>
      </c>
      <c r="AB12" t="e">
        <f ca="1"/>
        <v>#NAME?</v>
      </c>
      <c r="AC12" s="58" t="e">
        <f ca="1"/>
        <v>#NAME?</v>
      </c>
      <c r="AF12" t="e">
        <f ca="1"/>
        <v>#NAME?</v>
      </c>
      <c r="AG12" s="58" t="e">
        <f ca="1"/>
        <v>#NAME?</v>
      </c>
    </row>
    <row r="13" spans="1:33" x14ac:dyDescent="0.35">
      <c r="A13" s="194">
        <f t="shared" si="14"/>
        <v>10</v>
      </c>
      <c r="B13" s="194">
        <v>51</v>
      </c>
      <c r="C13" s="194">
        <v>44</v>
      </c>
      <c r="D13" s="194">
        <f t="shared" si="11"/>
        <v>7</v>
      </c>
      <c r="E13" s="194"/>
      <c r="F13">
        <f t="shared" si="0"/>
        <v>7</v>
      </c>
      <c r="G13" s="59" t="str">
        <f t="shared" si="12"/>
        <v/>
      </c>
      <c r="H13" s="7" t="str">
        <f t="shared" si="12"/>
        <v/>
      </c>
      <c r="I13" s="7" t="str">
        <f t="shared" si="1"/>
        <v/>
      </c>
      <c r="J13" s="7" t="str">
        <f t="shared" si="2"/>
        <v/>
      </c>
      <c r="K13" s="7" t="str">
        <f t="shared" si="3"/>
        <v/>
      </c>
      <c r="L13" s="7" t="str">
        <f t="shared" si="4"/>
        <v/>
      </c>
      <c r="M13" s="7" t="str">
        <f t="shared" si="5"/>
        <v/>
      </c>
      <c r="N13" s="7" t="str">
        <f t="shared" si="6"/>
        <v/>
      </c>
      <c r="O13" s="7" t="str">
        <f t="shared" si="7"/>
        <v/>
      </c>
      <c r="P13" s="7">
        <f t="shared" si="8"/>
        <v>7</v>
      </c>
      <c r="Q13" s="7">
        <f>IF(ROW(P13:P27)-ROW($F$4)&lt;=COLUMN(Q12:V12)-COLUMN($G$3),($F13+Q$3)/2,"")</f>
        <v>5.5</v>
      </c>
      <c r="R13" s="7">
        <f>IF(ROW(Q13:Q27)-ROW($F$4)&lt;=COLUMN(R12:AE12)-COLUMN($G$3),($F13+R$3)/2,"")</f>
        <v>4</v>
      </c>
      <c r="S13" s="7">
        <f t="shared" si="15"/>
        <v>-0.5</v>
      </c>
      <c r="T13" s="7">
        <f t="shared" si="9"/>
        <v>5.5</v>
      </c>
      <c r="U13" s="60">
        <f t="shared" si="10"/>
        <v>6</v>
      </c>
      <c r="W13" t="s">
        <v>25</v>
      </c>
      <c r="X13" s="50" t="e">
        <f ca="1">LARGE(G4:U18,X10)</f>
        <v>#NAME?</v>
      </c>
      <c r="Z13" t="e">
        <f ca="1">FTEXT(X13)</f>
        <v>#NAME?</v>
      </c>
      <c r="AB13" t="e">
        <f ca="1"/>
        <v>#NAME?</v>
      </c>
      <c r="AC13" s="50" t="e">
        <f ca="1"/>
        <v>#NAME?</v>
      </c>
      <c r="AF13" t="e">
        <f ca="1"/>
        <v>#NAME?</v>
      </c>
      <c r="AG13" s="50" t="e">
        <f ca="1"/>
        <v>#NAME?</v>
      </c>
    </row>
    <row r="14" spans="1:33" x14ac:dyDescent="0.35">
      <c r="A14" s="194">
        <f t="shared" si="14"/>
        <v>11</v>
      </c>
      <c r="B14" s="194">
        <v>27</v>
      </c>
      <c r="C14" s="194">
        <v>23</v>
      </c>
      <c r="D14" s="194">
        <f t="shared" si="11"/>
        <v>4</v>
      </c>
      <c r="E14" s="194"/>
      <c r="F14">
        <f t="shared" si="0"/>
        <v>4</v>
      </c>
      <c r="G14" s="59" t="str">
        <f t="shared" si="12"/>
        <v/>
      </c>
      <c r="H14" s="7" t="str">
        <f t="shared" si="12"/>
        <v/>
      </c>
      <c r="I14" s="7" t="str">
        <f t="shared" si="1"/>
        <v/>
      </c>
      <c r="J14" s="7" t="str">
        <f t="shared" si="2"/>
        <v/>
      </c>
      <c r="K14" s="7" t="str">
        <f t="shared" si="3"/>
        <v/>
      </c>
      <c r="L14" s="7" t="str">
        <f t="shared" si="4"/>
        <v/>
      </c>
      <c r="M14" s="7" t="str">
        <f t="shared" si="5"/>
        <v/>
      </c>
      <c r="N14" s="7" t="str">
        <f t="shared" si="6"/>
        <v/>
      </c>
      <c r="O14" s="7" t="str">
        <f t="shared" si="7"/>
        <v/>
      </c>
      <c r="P14" s="7" t="str">
        <f t="shared" si="8"/>
        <v/>
      </c>
      <c r="Q14" s="7">
        <f>IF(ROW(P14:P28)-ROW($F$4)&lt;=COLUMN(Q13:V13)-COLUMN($G$3),($F14+Q$3)/2,"")</f>
        <v>4</v>
      </c>
      <c r="R14" s="7">
        <f>IF(ROW(Q14:Q28)-ROW($F$4)&lt;=COLUMN(R13:AE13)-COLUMN($G$3),($F14+R$3)/2,"")</f>
        <v>2.5</v>
      </c>
      <c r="S14" s="7">
        <f>IF(ROW(R14:R28)-ROW($F$4)&lt;=COLUMN(S13:AE13)-COLUMN($G$3),($F14+S$3)/2,"")</f>
        <v>-2</v>
      </c>
      <c r="T14" s="7">
        <f>IF(ROW(S14:S28)-ROW($F$4)&lt;=COLUMN(T13:AE13)-COLUMN($G$3),($F14+T$3)/2,"")</f>
        <v>4</v>
      </c>
      <c r="U14" s="60">
        <f>IF(ROW(T14:T28)-ROW($F$4)&lt;=COLUMN(U13:AE13)-COLUMN($G$3),($F14+U$3)/2,"")</f>
        <v>4.5</v>
      </c>
    </row>
    <row r="15" spans="1:33" x14ac:dyDescent="0.35">
      <c r="A15" s="194">
        <f t="shared" si="14"/>
        <v>12</v>
      </c>
      <c r="B15" s="194">
        <v>15</v>
      </c>
      <c r="C15" s="194">
        <v>14</v>
      </c>
      <c r="D15" s="194">
        <f t="shared" si="11"/>
        <v>1</v>
      </c>
      <c r="E15" s="194"/>
      <c r="F15">
        <f t="shared" si="0"/>
        <v>1</v>
      </c>
      <c r="G15" s="59" t="str">
        <f t="shared" si="12"/>
        <v/>
      </c>
      <c r="H15" s="7" t="str">
        <f t="shared" si="12"/>
        <v/>
      </c>
      <c r="I15" s="7" t="str">
        <f t="shared" si="12"/>
        <v/>
      </c>
      <c r="J15" s="7" t="str">
        <f t="shared" si="15"/>
        <v/>
      </c>
      <c r="K15" s="7" t="str">
        <f t="shared" si="15"/>
        <v/>
      </c>
      <c r="L15" s="7" t="str">
        <f t="shared" si="15"/>
        <v/>
      </c>
      <c r="M15" s="7" t="str">
        <f t="shared" si="15"/>
        <v/>
      </c>
      <c r="N15" s="7" t="str">
        <f t="shared" si="15"/>
        <v/>
      </c>
      <c r="O15" s="7" t="str">
        <f>IF(ROW(N15:N29)-ROW($F$4)&lt;=COLUMN(O14:AA14)-COLUMN($G$3),($F15+O$3)/2,"")</f>
        <v/>
      </c>
      <c r="P15" s="7" t="str">
        <f>IF(ROW(O15:O29)-ROW($F$4)&lt;=COLUMN(P14:AC14)-COLUMN($G$3),($F15+P$3)/2,"")</f>
        <v/>
      </c>
      <c r="Q15" s="7" t="str">
        <f t="shared" si="15"/>
        <v/>
      </c>
      <c r="R15" s="7">
        <f t="shared" si="15"/>
        <v>1</v>
      </c>
      <c r="S15" s="7">
        <f t="shared" si="15"/>
        <v>-3.5</v>
      </c>
      <c r="T15" s="7">
        <f>IF(ROW(S15:S29)-ROW($F$4)&lt;=COLUMN(T14:AF14)-COLUMN($G$3),($F15+T$3)/2,"")</f>
        <v>2.5</v>
      </c>
      <c r="U15" s="60">
        <f>IF(ROW(T15:T29)-ROW($F$4)&lt;=COLUMN(U14:AF14)-COLUMN($G$3),($F15+U$3)/2,"")</f>
        <v>3</v>
      </c>
    </row>
    <row r="16" spans="1:33" x14ac:dyDescent="0.35">
      <c r="A16" s="194">
        <f t="shared" si="14"/>
        <v>13</v>
      </c>
      <c r="B16" s="194">
        <v>26</v>
      </c>
      <c r="C16" s="194">
        <v>34</v>
      </c>
      <c r="D16" s="194">
        <f t="shared" si="11"/>
        <v>-8</v>
      </c>
      <c r="E16" s="194"/>
      <c r="F16">
        <f t="shared" si="0"/>
        <v>-8</v>
      </c>
      <c r="G16" s="59" t="str">
        <f t="shared" si="12"/>
        <v/>
      </c>
      <c r="H16" s="7" t="str">
        <f t="shared" si="12"/>
        <v/>
      </c>
      <c r="I16" s="7" t="str">
        <f t="shared" si="12"/>
        <v/>
      </c>
      <c r="J16" s="7" t="str">
        <f t="shared" si="15"/>
        <v/>
      </c>
      <c r="K16" s="7" t="str">
        <f t="shared" si="15"/>
        <v/>
      </c>
      <c r="L16" s="7" t="str">
        <f t="shared" si="15"/>
        <v/>
      </c>
      <c r="M16" s="7" t="str">
        <f t="shared" si="15"/>
        <v/>
      </c>
      <c r="N16" s="7" t="str">
        <f t="shared" si="15"/>
        <v/>
      </c>
      <c r="O16" s="7" t="str">
        <f t="shared" si="15"/>
        <v/>
      </c>
      <c r="P16" s="7" t="str">
        <f t="shared" si="15"/>
        <v/>
      </c>
      <c r="Q16" s="7" t="str">
        <f t="shared" si="15"/>
        <v/>
      </c>
      <c r="R16" s="7" t="str">
        <f t="shared" si="15"/>
        <v/>
      </c>
      <c r="S16" s="7">
        <f t="shared" si="15"/>
        <v>-8</v>
      </c>
      <c r="T16" s="7">
        <f>IF(ROW(S16:S30)-ROW($F$4)&lt;=COLUMN(T15:AF15)-COLUMN($G$3),($F16+T$3)/2,"")</f>
        <v>-2</v>
      </c>
      <c r="U16" s="60">
        <f>IF(ROW(T16:T30)-ROW($F$4)&lt;=COLUMN(U15:AF15)-COLUMN($G$3),($F16+U$3)/2,"")</f>
        <v>-1.5</v>
      </c>
    </row>
    <row r="17" spans="1:21" x14ac:dyDescent="0.35">
      <c r="A17" s="194">
        <f t="shared" si="14"/>
        <v>14</v>
      </c>
      <c r="B17" s="194">
        <v>83</v>
      </c>
      <c r="C17" s="194">
        <v>79</v>
      </c>
      <c r="D17" s="194">
        <f t="shared" si="11"/>
        <v>4</v>
      </c>
      <c r="E17" s="194"/>
      <c r="F17">
        <f t="shared" si="0"/>
        <v>4</v>
      </c>
      <c r="G17" s="59" t="str">
        <f t="shared" si="12"/>
        <v/>
      </c>
      <c r="H17" s="7" t="str">
        <f t="shared" si="12"/>
        <v/>
      </c>
      <c r="I17" s="7" t="str">
        <f t="shared" si="12"/>
        <v/>
      </c>
      <c r="J17" s="7" t="str">
        <f t="shared" si="15"/>
        <v/>
      </c>
      <c r="K17" s="7" t="str">
        <f t="shared" si="15"/>
        <v/>
      </c>
      <c r="L17" s="7" t="str">
        <f t="shared" si="15"/>
        <v/>
      </c>
      <c r="M17" s="7" t="str">
        <f t="shared" si="15"/>
        <v/>
      </c>
      <c r="N17" s="7" t="str">
        <f t="shared" si="15"/>
        <v/>
      </c>
      <c r="O17" s="7" t="str">
        <f t="shared" si="15"/>
        <v/>
      </c>
      <c r="P17" s="7" t="str">
        <f t="shared" si="15"/>
        <v/>
      </c>
      <c r="Q17" s="7" t="str">
        <f t="shared" si="15"/>
        <v/>
      </c>
      <c r="R17" s="7" t="str">
        <f t="shared" si="15"/>
        <v/>
      </c>
      <c r="S17" s="7" t="str">
        <f t="shared" si="15"/>
        <v/>
      </c>
      <c r="T17" s="7">
        <f>IF(ROW(S17:S31)-ROW($F$4)&lt;=COLUMN(T16:AF16)-COLUMN($G$3),($F17+T$3)/2,"")</f>
        <v>4</v>
      </c>
      <c r="U17" s="60">
        <f>IF(ROW(T17:T31)-ROW($F$4)&lt;=COLUMN(U16:AF16)-COLUMN($G$3),($F17+U$3)/2,"")</f>
        <v>4.5</v>
      </c>
    </row>
    <row r="18" spans="1:21" x14ac:dyDescent="0.35">
      <c r="A18" s="195">
        <f t="shared" si="14"/>
        <v>15</v>
      </c>
      <c r="B18" s="195">
        <v>86</v>
      </c>
      <c r="C18" s="195">
        <v>81</v>
      </c>
      <c r="D18" s="195">
        <f t="shared" si="11"/>
        <v>5</v>
      </c>
      <c r="E18" s="161"/>
      <c r="F18">
        <f t="shared" si="0"/>
        <v>5</v>
      </c>
      <c r="G18" s="45" t="str">
        <f t="shared" si="12"/>
        <v/>
      </c>
      <c r="H18" s="102" t="str">
        <f t="shared" si="12"/>
        <v/>
      </c>
      <c r="I18" s="102" t="str">
        <f t="shared" si="12"/>
        <v/>
      </c>
      <c r="J18" s="102" t="str">
        <f t="shared" si="15"/>
        <v/>
      </c>
      <c r="K18" s="102" t="str">
        <f t="shared" si="15"/>
        <v/>
      </c>
      <c r="L18" s="102" t="str">
        <f t="shared" si="15"/>
        <v/>
      </c>
      <c r="M18" s="102" t="str">
        <f t="shared" si="15"/>
        <v/>
      </c>
      <c r="N18" s="102" t="str">
        <f t="shared" si="15"/>
        <v/>
      </c>
      <c r="O18" s="102" t="str">
        <f t="shared" si="15"/>
        <v/>
      </c>
      <c r="P18" s="102" t="str">
        <f t="shared" si="15"/>
        <v/>
      </c>
      <c r="Q18" s="102" t="str">
        <f t="shared" si="15"/>
        <v/>
      </c>
      <c r="R18" s="102" t="str">
        <f t="shared" si="15"/>
        <v/>
      </c>
      <c r="S18" s="102" t="str">
        <f t="shared" si="15"/>
        <v/>
      </c>
      <c r="T18" s="102" t="str">
        <f>IF(ROW(S18:S32)-ROW($F$4)&lt;=COLUMN(T17:AF17)-COLUMN($G$3),($F18+T$3)/2,"")</f>
        <v/>
      </c>
      <c r="U18" s="48">
        <f>IF(ROW(T18:T32)-ROW($F$4)&lt;=COLUMN(U17:AF17)-COLUMN($G$3),($F18+U$3)/2,"")</f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07"/>
  <dimension ref="A1:AG18"/>
  <sheetViews>
    <sheetView workbookViewId="0"/>
  </sheetViews>
  <sheetFormatPr defaultRowHeight="14.5" x14ac:dyDescent="0.35"/>
  <cols>
    <col min="1" max="1" width="7.1796875" customWidth="1"/>
    <col min="2" max="4" width="6" customWidth="1"/>
    <col min="5" max="5" width="3" customWidth="1"/>
    <col min="6" max="6" width="4" customWidth="1"/>
    <col min="7" max="22" width="4.453125" customWidth="1"/>
    <col min="25" max="25" width="2.453125" customWidth="1"/>
    <col min="26" max="26" width="26.54296875" customWidth="1"/>
    <col min="30" max="30" width="2.453125" customWidth="1"/>
    <col min="31" max="31" width="18" customWidth="1"/>
    <col min="34" max="34" width="3" customWidth="1"/>
    <col min="35" max="35" width="17.1796875" customWidth="1"/>
  </cols>
  <sheetData>
    <row r="1" spans="1:33" x14ac:dyDescent="0.35">
      <c r="A1" s="35" t="s">
        <v>251</v>
      </c>
    </row>
    <row r="3" spans="1:33" x14ac:dyDescent="0.35">
      <c r="A3" s="160" t="s">
        <v>66</v>
      </c>
      <c r="B3" s="160" t="s">
        <v>139</v>
      </c>
      <c r="C3" s="160" t="s">
        <v>140</v>
      </c>
      <c r="D3" s="160" t="s">
        <v>109</v>
      </c>
      <c r="E3" s="87"/>
      <c r="G3">
        <f t="array" ref="G3:U3">TRANSPOSE(F4:F18)</f>
        <v>3</v>
      </c>
      <c r="H3">
        <v>0</v>
      </c>
      <c r="I3">
        <v>2</v>
      </c>
      <c r="J3">
        <v>-2</v>
      </c>
      <c r="K3">
        <v>21</v>
      </c>
      <c r="L3">
        <v>3</v>
      </c>
      <c r="M3">
        <v>-9</v>
      </c>
      <c r="N3">
        <v>-10</v>
      </c>
      <c r="O3">
        <v>17</v>
      </c>
      <c r="P3">
        <v>7</v>
      </c>
      <c r="Q3">
        <v>4</v>
      </c>
      <c r="R3">
        <v>1</v>
      </c>
      <c r="S3">
        <v>-8</v>
      </c>
      <c r="T3">
        <v>4</v>
      </c>
      <c r="U3">
        <v>5</v>
      </c>
      <c r="W3" s="7" t="s">
        <v>94</v>
      </c>
      <c r="X3" s="173">
        <v>0.05</v>
      </c>
    </row>
    <row r="4" spans="1:33" x14ac:dyDescent="0.35">
      <c r="A4" s="194">
        <v>1</v>
      </c>
      <c r="B4" s="194">
        <v>50</v>
      </c>
      <c r="C4" s="194">
        <v>47</v>
      </c>
      <c r="D4" s="194">
        <f>B4-C4</f>
        <v>3</v>
      </c>
      <c r="E4" s="194"/>
      <c r="F4">
        <f t="shared" ref="F4:F18" si="0">D4</f>
        <v>3</v>
      </c>
      <c r="G4" s="172">
        <f>IF(ROW(F4:F18)-ROW($F$4)&lt;=COLUMN(G3:U3)-COLUMN($G$3),($F4+G$3)/2,"")</f>
        <v>3</v>
      </c>
      <c r="H4" s="164"/>
      <c r="I4" s="164">
        <f>IF(ROW(H4:H18)-ROW($F$4)&lt;=COLUMN(I3:W3)-COLUMN($G$3),($F4+I$3)/2,"")</f>
        <v>2.5</v>
      </c>
      <c r="J4" s="164">
        <f t="shared" ref="J4:S6" si="1">IF(ROW(I4:I18)-ROW($F$4)&lt;=COLUMN(J3:W3)-COLUMN($G$3),($F4+J$3)/2,"")</f>
        <v>0.5</v>
      </c>
      <c r="K4" s="164">
        <f t="shared" si="1"/>
        <v>12</v>
      </c>
      <c r="L4" s="164">
        <f t="shared" si="1"/>
        <v>3</v>
      </c>
      <c r="M4" s="164">
        <f t="shared" si="1"/>
        <v>-3</v>
      </c>
      <c r="N4" s="164">
        <f t="shared" si="1"/>
        <v>-3.5</v>
      </c>
      <c r="O4" s="164">
        <f>IF(ROW(N4:N18)-ROW($F$4)&lt;=COLUMN(O3:AA3)-COLUMN($G$3),($F4+O$3)/2,"")</f>
        <v>10</v>
      </c>
      <c r="P4" s="164">
        <f>IF(ROW(O4:O18)-ROW($F$4)&lt;=COLUMN(P3:AA3)-COLUMN($G$3),($F4+P$3)/2,"")</f>
        <v>5</v>
      </c>
      <c r="Q4" s="164">
        <f>IF(ROW(P4:P18)-ROW($F$4)&lt;=COLUMN(Q3:AA3)-COLUMN($G$3),($F4+Q$3)/2,"")</f>
        <v>3.5</v>
      </c>
      <c r="R4" s="164">
        <f>IF(ROW(Q4:Q18)-ROW($F$4)&lt;=COLUMN(R3:AE3)-COLUMN($G$3),($F4+R$3)/2,"")</f>
        <v>2</v>
      </c>
      <c r="S4" s="164">
        <f>IF(ROW(R4:R18)-ROW($F$4)&lt;=COLUMN(S3:AF3)-COLUMN($G$3),($F4+S$3)/2,"")</f>
        <v>-2.5</v>
      </c>
      <c r="T4" s="164">
        <f t="shared" ref="T4:T13" si="2">IF(ROW(S4:S18)-ROW($F$4)&lt;=COLUMN(T3:AF3)-COLUMN($G$3),($F4+T$3)/2,"")</f>
        <v>3.5</v>
      </c>
      <c r="U4" s="163">
        <f t="shared" ref="U4:U13" si="3">IF(ROW(T4:T18)-ROW($F$4)&lt;=COLUMN(U3:AF3)-COLUMN($G$3),($F4+U$3)/2,"")</f>
        <v>4</v>
      </c>
      <c r="W4" t="s">
        <v>26</v>
      </c>
      <c r="X4" s="50">
        <f>COUNTIF(D4:D18,"&lt;&gt;"&amp;0)</f>
        <v>14</v>
      </c>
      <c r="Z4" t="e">
        <f ca="1">FTEXT(X4)</f>
        <v>#NAME?</v>
      </c>
      <c r="AB4" t="e">
        <f ca="1">FTEXT(AB6)</f>
        <v>#NAME?</v>
      </c>
      <c r="AF4" t="e">
        <f ca="1">FTEXT(AF6)</f>
        <v>#NAME?</v>
      </c>
    </row>
    <row r="5" spans="1:33" x14ac:dyDescent="0.35">
      <c r="A5" s="194">
        <f>A4+1</f>
        <v>2</v>
      </c>
      <c r="B5" s="194">
        <v>45</v>
      </c>
      <c r="C5" s="194">
        <v>45</v>
      </c>
      <c r="D5" s="194">
        <f t="shared" ref="D5:D18" si="4">B5-C5</f>
        <v>0</v>
      </c>
      <c r="E5" s="194"/>
      <c r="F5">
        <v>0</v>
      </c>
      <c r="G5" s="59" t="str">
        <f t="shared" ref="G5:I18" si="5">IF(ROW(F5:F19)-ROW($F$4)&lt;=COLUMN(G4:U4)-COLUMN($G$3),($F5+G$3)/2,"")</f>
        <v/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33" x14ac:dyDescent="0.35">
      <c r="A6" s="194">
        <f t="shared" ref="A6:A18" si="6">A5+1</f>
        <v>3</v>
      </c>
      <c r="B6" s="194">
        <v>33</v>
      </c>
      <c r="C6" s="194">
        <v>31</v>
      </c>
      <c r="D6" s="194">
        <f t="shared" si="4"/>
        <v>2</v>
      </c>
      <c r="E6" s="194"/>
      <c r="F6">
        <f t="shared" si="0"/>
        <v>2</v>
      </c>
      <c r="G6" s="59" t="str">
        <f t="shared" si="5"/>
        <v/>
      </c>
      <c r="H6" s="7" t="str">
        <f t="shared" si="5"/>
        <v/>
      </c>
      <c r="I6" s="7">
        <f>IF(ROW(H6:H20)-ROW($F$4)&lt;=COLUMN(I5:V5)-COLUMN($G$3),($F6+I$3)/2,"")</f>
        <v>2</v>
      </c>
      <c r="J6" s="7">
        <f>IF(ROW(I6:I20)-ROW($F$4)&lt;=COLUMN(J5:V5)-COLUMN($G$3),($F6+J$3)/2,"")</f>
        <v>0</v>
      </c>
      <c r="K6" s="7">
        <f>IF(ROW(J6:J20)-ROW($F$4)&lt;=COLUMN(K5:V5)-COLUMN($G$3),($F6+K$3)/2,"")</f>
        <v>11.5</v>
      </c>
      <c r="L6" s="7">
        <f>IF(ROW(K6:K20)-ROW($F$4)&lt;=COLUMN(L5:V5)-COLUMN($G$3),($F6+L$3)/2,"")</f>
        <v>2.5</v>
      </c>
      <c r="M6" s="7">
        <f>IF(ROW(L6:L20)-ROW($F$4)&lt;=COLUMN(M5:Z5)-COLUMN($G$3),($F6+M$3)/2,"")</f>
        <v>-3.5</v>
      </c>
      <c r="N6" s="7">
        <f t="shared" si="1"/>
        <v>-4</v>
      </c>
      <c r="O6" s="7">
        <f t="shared" si="1"/>
        <v>9.5</v>
      </c>
      <c r="P6" s="7">
        <f t="shared" si="1"/>
        <v>4.5</v>
      </c>
      <c r="Q6" s="7">
        <f t="shared" si="1"/>
        <v>3</v>
      </c>
      <c r="R6" s="7">
        <f t="shared" si="1"/>
        <v>1.5</v>
      </c>
      <c r="S6" s="7">
        <f t="shared" si="1"/>
        <v>-3</v>
      </c>
      <c r="T6" s="7">
        <f t="shared" si="2"/>
        <v>3</v>
      </c>
      <c r="U6" s="60">
        <f t="shared" si="3"/>
        <v>3.5</v>
      </c>
      <c r="W6" s="7" t="s">
        <v>138</v>
      </c>
      <c r="X6" s="173" t="e">
        <f ca="1">SRINV(X3,X4)</f>
        <v>#NAME?</v>
      </c>
      <c r="Z6" t="e">
        <f ca="1">FTEXT(X6)</f>
        <v>#NAME?</v>
      </c>
      <c r="AB6" t="e">
        <f t="array" aca="1" ref="AB6:AC14" ca="1">SR_CONF(B4:B18,C4:C18,TRUE,1)</f>
        <v>#NAME?</v>
      </c>
      <c r="AC6" s="173" t="e">
        <f ca="1"/>
        <v>#NAME?</v>
      </c>
      <c r="AF6" t="e">
        <f t="array" aca="1" ref="AF6:AG14" ca="1">SR_CONF(B4:B18,C4:C18,TRUE,0)</f>
        <v>#NAME?</v>
      </c>
      <c r="AG6" s="173" t="e">
        <f ca="1"/>
        <v>#NAME?</v>
      </c>
    </row>
    <row r="7" spans="1:33" x14ac:dyDescent="0.35">
      <c r="A7" s="194">
        <f t="shared" si="6"/>
        <v>4</v>
      </c>
      <c r="B7" s="194">
        <v>22</v>
      </c>
      <c r="C7" s="194">
        <v>24</v>
      </c>
      <c r="D7" s="194">
        <f t="shared" si="4"/>
        <v>-2</v>
      </c>
      <c r="E7" s="194"/>
      <c r="F7">
        <f t="shared" si="0"/>
        <v>-2</v>
      </c>
      <c r="G7" s="59" t="str">
        <f t="shared" si="5"/>
        <v/>
      </c>
      <c r="H7" s="7" t="str">
        <f t="shared" si="5"/>
        <v/>
      </c>
      <c r="I7" s="7" t="str">
        <f t="shared" si="5"/>
        <v/>
      </c>
      <c r="J7" s="7">
        <f t="shared" ref="J7:S18" si="7">IF(ROW(I7:I21)-ROW($F$4)&lt;=COLUMN(J6:W6)-COLUMN($G$3),($F7+J$3)/2,"")</f>
        <v>-2</v>
      </c>
      <c r="K7" s="7">
        <f>IF(ROW(J7:J21)-ROW($F$4)&lt;=COLUMN(K6:X6)-COLUMN($G$3),($F7+K$3)/2,"")</f>
        <v>9.5</v>
      </c>
      <c r="L7" s="7">
        <f t="shared" si="7"/>
        <v>0.5</v>
      </c>
      <c r="M7" s="7">
        <f>IF(ROW(L7:L21)-ROW($F$4)&lt;=COLUMN(M6:Z6)-COLUMN($G$3),($F7+M$3)/2,"")</f>
        <v>-5.5</v>
      </c>
      <c r="N7" s="7">
        <f t="shared" si="7"/>
        <v>-6</v>
      </c>
      <c r="O7" s="7">
        <f t="shared" si="7"/>
        <v>7.5</v>
      </c>
      <c r="P7" s="7">
        <f t="shared" si="7"/>
        <v>2.5</v>
      </c>
      <c r="Q7" s="7">
        <f t="shared" si="7"/>
        <v>1</v>
      </c>
      <c r="R7" s="7">
        <f t="shared" si="7"/>
        <v>-0.5</v>
      </c>
      <c r="S7" s="7">
        <f t="shared" si="7"/>
        <v>-5</v>
      </c>
      <c r="T7" s="7">
        <f t="shared" si="2"/>
        <v>1</v>
      </c>
      <c r="U7" s="60">
        <f t="shared" si="3"/>
        <v>1.5</v>
      </c>
      <c r="W7" s="7" t="s">
        <v>94</v>
      </c>
      <c r="X7" s="58" t="e">
        <f ca="1">SRDIST(X6,X4,2)</f>
        <v>#NAME?</v>
      </c>
      <c r="Z7" t="e">
        <f ca="1">FTEXT(X7)</f>
        <v>#NAME?</v>
      </c>
      <c r="AB7" t="e">
        <f ca="1"/>
        <v>#NAME?</v>
      </c>
      <c r="AC7" s="58" t="e">
        <f ca="1"/>
        <v>#NAME?</v>
      </c>
      <c r="AF7" t="e">
        <f ca="1"/>
        <v>#NAME?</v>
      </c>
      <c r="AG7" s="58" t="e">
        <f ca="1"/>
        <v>#NAME?</v>
      </c>
    </row>
    <row r="8" spans="1:33" x14ac:dyDescent="0.35">
      <c r="A8" s="194">
        <f t="shared" si="6"/>
        <v>5</v>
      </c>
      <c r="B8" s="194">
        <v>99</v>
      </c>
      <c r="C8" s="194">
        <v>78</v>
      </c>
      <c r="D8" s="194">
        <f t="shared" si="4"/>
        <v>21</v>
      </c>
      <c r="E8" s="194"/>
      <c r="F8">
        <f t="shared" si="0"/>
        <v>21</v>
      </c>
      <c r="G8" s="59" t="str">
        <f t="shared" si="5"/>
        <v/>
      </c>
      <c r="H8" s="7" t="str">
        <f t="shared" si="5"/>
        <v/>
      </c>
      <c r="I8" s="7" t="str">
        <f t="shared" si="5"/>
        <v/>
      </c>
      <c r="J8" s="7" t="str">
        <f t="shared" si="7"/>
        <v/>
      </c>
      <c r="K8" s="7">
        <f t="shared" si="7"/>
        <v>21</v>
      </c>
      <c r="L8" s="7">
        <f t="shared" si="7"/>
        <v>12</v>
      </c>
      <c r="M8" s="7">
        <f t="shared" si="7"/>
        <v>6</v>
      </c>
      <c r="N8" s="7">
        <f t="shared" si="7"/>
        <v>5.5</v>
      </c>
      <c r="O8" s="7">
        <f t="shared" si="7"/>
        <v>19</v>
      </c>
      <c r="P8" s="7">
        <f t="shared" si="7"/>
        <v>14</v>
      </c>
      <c r="Q8" s="7">
        <f t="shared" si="7"/>
        <v>12.5</v>
      </c>
      <c r="R8" s="7">
        <f t="shared" si="7"/>
        <v>11</v>
      </c>
      <c r="S8" s="7">
        <f t="shared" si="7"/>
        <v>6.5</v>
      </c>
      <c r="T8" s="7">
        <f t="shared" si="2"/>
        <v>12.5</v>
      </c>
      <c r="U8" s="60">
        <f t="shared" si="3"/>
        <v>13</v>
      </c>
      <c r="W8" s="7" t="s">
        <v>24</v>
      </c>
      <c r="X8" s="58" t="e">
        <f ca="1">SMALL(G4:U18,X6)</f>
        <v>#NAME?</v>
      </c>
      <c r="Z8" t="e">
        <f ca="1">FTEXT(X8)</f>
        <v>#NAME?</v>
      </c>
      <c r="AB8" t="e">
        <f ca="1"/>
        <v>#NAME?</v>
      </c>
      <c r="AC8" s="58" t="e">
        <f ca="1"/>
        <v>#NAME?</v>
      </c>
      <c r="AF8" t="e">
        <f ca="1"/>
        <v>#NAME?</v>
      </c>
      <c r="AG8" s="58" t="e">
        <f ca="1"/>
        <v>#NAME?</v>
      </c>
    </row>
    <row r="9" spans="1:33" x14ac:dyDescent="0.35">
      <c r="A9" s="194">
        <f t="shared" si="6"/>
        <v>6</v>
      </c>
      <c r="B9" s="194">
        <v>79</v>
      </c>
      <c r="C9" s="194">
        <v>76</v>
      </c>
      <c r="D9" s="194">
        <f t="shared" si="4"/>
        <v>3</v>
      </c>
      <c r="E9" s="194"/>
      <c r="F9">
        <f t="shared" si="0"/>
        <v>3</v>
      </c>
      <c r="G9" s="59" t="str">
        <f t="shared" si="5"/>
        <v/>
      </c>
      <c r="H9" s="7" t="str">
        <f t="shared" si="5"/>
        <v/>
      </c>
      <c r="I9" s="7" t="str">
        <f>IF(ROW(H9:H23)-ROW($F$4)&lt;=COLUMN(I8:V8)-COLUMN($G$3),($F9+I$3)/2,"")</f>
        <v/>
      </c>
      <c r="J9" s="7" t="str">
        <f>IF(ROW(I9:I23)-ROW($F$4)&lt;=COLUMN(J8:V8)-COLUMN($G$3),($F9+J$3)/2,"")</f>
        <v/>
      </c>
      <c r="K9" s="7" t="str">
        <f>IF(ROW(J9:J23)-ROW($F$4)&lt;=COLUMN(K8:V8)-COLUMN($G$3),($F9+K$3)/2,"")</f>
        <v/>
      </c>
      <c r="L9" s="7">
        <f>IF(ROW(K9:K23)-ROW($F$4)&lt;=COLUMN(L8:V8)-COLUMN($G$3),($F9+L$3)/2,"")</f>
        <v>3</v>
      </c>
      <c r="M9" s="7">
        <f>IF(ROW(L9:L23)-ROW($F$4)&lt;=COLUMN(M8:Z8)-COLUMN($G$3),($F9+M$3)/2,"")</f>
        <v>-3</v>
      </c>
      <c r="N9" s="7">
        <f t="shared" si="7"/>
        <v>-3.5</v>
      </c>
      <c r="O9" s="7">
        <f t="shared" si="7"/>
        <v>10</v>
      </c>
      <c r="P9" s="7">
        <f t="shared" si="7"/>
        <v>5</v>
      </c>
      <c r="Q9" s="7">
        <f t="shared" si="7"/>
        <v>3.5</v>
      </c>
      <c r="R9" s="7">
        <f t="shared" si="7"/>
        <v>2</v>
      </c>
      <c r="S9" s="7">
        <f t="shared" si="7"/>
        <v>-2.5</v>
      </c>
      <c r="T9" s="7">
        <f t="shared" si="2"/>
        <v>3.5</v>
      </c>
      <c r="U9" s="60">
        <f t="shared" si="3"/>
        <v>4</v>
      </c>
      <c r="W9" s="7" t="s">
        <v>25</v>
      </c>
      <c r="X9" s="58" t="e">
        <f ca="1">LARGE(G4:U18,X6)</f>
        <v>#NAME?</v>
      </c>
      <c r="Z9" t="e">
        <f ca="1">FTEXT(X9)</f>
        <v>#NAME?</v>
      </c>
      <c r="AB9" t="e">
        <f ca="1"/>
        <v>#NAME?</v>
      </c>
      <c r="AC9" s="58" t="e">
        <f ca="1"/>
        <v>#NAME?</v>
      </c>
      <c r="AF9" t="e">
        <f ca="1"/>
        <v>#NAME?</v>
      </c>
      <c r="AG9" s="58" t="e">
        <f ca="1"/>
        <v>#NAME?</v>
      </c>
    </row>
    <row r="10" spans="1:33" x14ac:dyDescent="0.35">
      <c r="A10" s="194">
        <f t="shared" si="6"/>
        <v>7</v>
      </c>
      <c r="B10" s="194">
        <v>4</v>
      </c>
      <c r="C10" s="194">
        <v>13</v>
      </c>
      <c r="D10" s="194">
        <f t="shared" si="4"/>
        <v>-9</v>
      </c>
      <c r="E10" s="194"/>
      <c r="F10">
        <f t="shared" si="0"/>
        <v>-9</v>
      </c>
      <c r="G10" s="59" t="str">
        <f t="shared" si="5"/>
        <v/>
      </c>
      <c r="H10" s="7" t="str">
        <f t="shared" si="5"/>
        <v/>
      </c>
      <c r="I10" s="7" t="str">
        <f t="shared" si="5"/>
        <v/>
      </c>
      <c r="J10" s="7" t="str">
        <f t="shared" si="7"/>
        <v/>
      </c>
      <c r="K10" s="7" t="str">
        <f t="shared" si="7"/>
        <v/>
      </c>
      <c r="L10" s="7" t="str">
        <f t="shared" si="7"/>
        <v/>
      </c>
      <c r="M10" s="7">
        <f t="shared" si="7"/>
        <v>-9</v>
      </c>
      <c r="N10" s="7">
        <f t="shared" si="7"/>
        <v>-9.5</v>
      </c>
      <c r="O10" s="7">
        <f t="shared" si="7"/>
        <v>4</v>
      </c>
      <c r="P10" s="7">
        <f t="shared" si="7"/>
        <v>-1</v>
      </c>
      <c r="Q10" s="7">
        <f t="shared" si="7"/>
        <v>-2.5</v>
      </c>
      <c r="R10" s="7">
        <f t="shared" si="7"/>
        <v>-4</v>
      </c>
      <c r="S10" s="7">
        <f t="shared" si="7"/>
        <v>-8.5</v>
      </c>
      <c r="T10" s="7">
        <f t="shared" si="2"/>
        <v>-2.5</v>
      </c>
      <c r="U10" s="60">
        <f t="shared" si="3"/>
        <v>-2</v>
      </c>
      <c r="W10" s="7" t="s">
        <v>106</v>
      </c>
      <c r="X10" s="58">
        <f>MEDIAN(G4:U18)</f>
        <v>3</v>
      </c>
      <c r="Z10" t="e">
        <f ca="1">FTEXT(X10)</f>
        <v>#NAME?</v>
      </c>
      <c r="AB10" t="e">
        <f ca="1"/>
        <v>#NAME?</v>
      </c>
      <c r="AC10" s="58" t="e">
        <f ca="1"/>
        <v>#NAME?</v>
      </c>
      <c r="AF10" t="e">
        <f ca="1"/>
        <v>#NAME?</v>
      </c>
      <c r="AG10" s="58" t="e">
        <f ca="1"/>
        <v>#NAME?</v>
      </c>
    </row>
    <row r="11" spans="1:33" x14ac:dyDescent="0.35">
      <c r="A11" s="194">
        <f t="shared" si="6"/>
        <v>8</v>
      </c>
      <c r="B11" s="194">
        <v>36</v>
      </c>
      <c r="C11" s="194">
        <v>46</v>
      </c>
      <c r="D11" s="194">
        <f t="shared" si="4"/>
        <v>-10</v>
      </c>
      <c r="E11" s="194"/>
      <c r="F11">
        <f t="shared" si="0"/>
        <v>-10</v>
      </c>
      <c r="G11" s="59" t="str">
        <f t="shared" si="5"/>
        <v/>
      </c>
      <c r="H11" s="7" t="str">
        <f t="shared" si="5"/>
        <v/>
      </c>
      <c r="I11" s="7" t="str">
        <f>IF(ROW(H11:H25)-ROW($F$4)&lt;=COLUMN(I10:V10)-COLUMN($G$3),($F11+I$3)/2,"")</f>
        <v/>
      </c>
      <c r="J11" s="7" t="str">
        <f>IF(ROW(I11:I25)-ROW($F$4)&lt;=COLUMN(J10:V10)-COLUMN($G$3),($F11+J$3)/2,"")</f>
        <v/>
      </c>
      <c r="K11" s="7" t="str">
        <f>IF(ROW(J11:J25)-ROW($F$4)&lt;=COLUMN(K10:V10)-COLUMN($G$3),($F11+K$3)/2,"")</f>
        <v/>
      </c>
      <c r="L11" s="7" t="str">
        <f>IF(ROW(K11:K25)-ROW($F$4)&lt;=COLUMN(L10:V10)-COLUMN($G$3),($F11+L$3)/2,"")</f>
        <v/>
      </c>
      <c r="M11" s="7" t="str">
        <f>IF(ROW(L11:L25)-ROW($F$4)&lt;=COLUMN(M10:Z10)-COLUMN($G$3),($F11+M$3)/2,"")</f>
        <v/>
      </c>
      <c r="N11" s="7">
        <f t="shared" si="7"/>
        <v>-10</v>
      </c>
      <c r="O11" s="7">
        <f t="shared" si="7"/>
        <v>3.5</v>
      </c>
      <c r="P11" s="7">
        <f t="shared" si="7"/>
        <v>-1.5</v>
      </c>
      <c r="Q11" s="7">
        <f t="shared" si="7"/>
        <v>-3</v>
      </c>
      <c r="R11" s="7">
        <f t="shared" si="7"/>
        <v>-4.5</v>
      </c>
      <c r="S11" s="7">
        <f t="shared" si="7"/>
        <v>-9</v>
      </c>
      <c r="T11" s="7">
        <f t="shared" si="2"/>
        <v>-3</v>
      </c>
      <c r="U11" s="60">
        <f t="shared" si="3"/>
        <v>-2.5</v>
      </c>
      <c r="W11" s="7" t="s">
        <v>264</v>
      </c>
      <c r="X11" s="58" t="e">
        <f ca="1">X6+1</f>
        <v>#NAME?</v>
      </c>
      <c r="Z11" t="e">
        <f ca="1">FTEXT(X11)</f>
        <v>#NAME?</v>
      </c>
      <c r="AB11" t="e">
        <f ca="1"/>
        <v>#NAME?</v>
      </c>
      <c r="AC11" s="58" t="e">
        <f ca="1"/>
        <v>#NAME?</v>
      </c>
      <c r="AF11" t="e">
        <f ca="1"/>
        <v>#NAME?</v>
      </c>
      <c r="AG11" s="58" t="e">
        <f ca="1"/>
        <v>#NAME?</v>
      </c>
    </row>
    <row r="12" spans="1:33" x14ac:dyDescent="0.35">
      <c r="A12" s="194">
        <f t="shared" si="6"/>
        <v>9</v>
      </c>
      <c r="B12" s="194">
        <v>62</v>
      </c>
      <c r="C12" s="194">
        <v>45</v>
      </c>
      <c r="D12" s="194">
        <f t="shared" si="4"/>
        <v>17</v>
      </c>
      <c r="E12" s="194"/>
      <c r="F12">
        <f t="shared" si="0"/>
        <v>17</v>
      </c>
      <c r="G12" s="59" t="str">
        <f t="shared" si="5"/>
        <v/>
      </c>
      <c r="H12" s="7" t="str">
        <f t="shared" si="5"/>
        <v/>
      </c>
      <c r="I12" s="7" t="str">
        <f t="shared" si="5"/>
        <v/>
      </c>
      <c r="J12" s="7" t="str">
        <f t="shared" si="7"/>
        <v/>
      </c>
      <c r="K12" s="7" t="str">
        <f>IF(ROW(J12:J26)-ROW($F$4)&lt;=COLUMN(K11:X11)-COLUMN($G$3),($F12+K$3)/2,"")</f>
        <v/>
      </c>
      <c r="L12" s="7" t="str">
        <f t="shared" si="7"/>
        <v/>
      </c>
      <c r="M12" s="7" t="str">
        <f t="shared" si="7"/>
        <v/>
      </c>
      <c r="N12" s="7" t="str">
        <f t="shared" si="7"/>
        <v/>
      </c>
      <c r="O12" s="7">
        <f t="shared" si="7"/>
        <v>17</v>
      </c>
      <c r="P12" s="7">
        <f t="shared" si="7"/>
        <v>12</v>
      </c>
      <c r="Q12" s="7">
        <f t="shared" si="7"/>
        <v>10.5</v>
      </c>
      <c r="R12" s="7">
        <f t="shared" si="7"/>
        <v>9</v>
      </c>
      <c r="S12" s="7">
        <f t="shared" si="7"/>
        <v>4.5</v>
      </c>
      <c r="T12" s="7">
        <f t="shared" si="2"/>
        <v>10.5</v>
      </c>
      <c r="U12" s="60">
        <f t="shared" si="3"/>
        <v>11</v>
      </c>
      <c r="W12" s="7" t="s">
        <v>94</v>
      </c>
      <c r="X12" s="58" t="e">
        <f ca="1">SRDIST(X11,X4,2)</f>
        <v>#NAME?</v>
      </c>
      <c r="Z12" t="e">
        <f ca="1">FTEXT(X12)</f>
        <v>#NAME?</v>
      </c>
      <c r="AB12" t="e">
        <f ca="1"/>
        <v>#NAME?</v>
      </c>
      <c r="AC12" s="58" t="e">
        <f ca="1"/>
        <v>#NAME?</v>
      </c>
      <c r="AF12" t="e">
        <f ca="1"/>
        <v>#NAME?</v>
      </c>
      <c r="AG12" s="58" t="e">
        <f ca="1"/>
        <v>#NAME?</v>
      </c>
    </row>
    <row r="13" spans="1:33" x14ac:dyDescent="0.35">
      <c r="A13" s="194">
        <f t="shared" si="6"/>
        <v>10</v>
      </c>
      <c r="B13" s="194">
        <v>51</v>
      </c>
      <c r="C13" s="194">
        <v>44</v>
      </c>
      <c r="D13" s="194">
        <f t="shared" si="4"/>
        <v>7</v>
      </c>
      <c r="E13" s="194"/>
      <c r="F13">
        <f t="shared" si="0"/>
        <v>7</v>
      </c>
      <c r="G13" s="59" t="str">
        <f t="shared" si="5"/>
        <v/>
      </c>
      <c r="H13" s="7" t="str">
        <f t="shared" si="5"/>
        <v/>
      </c>
      <c r="I13" s="7" t="str">
        <f t="shared" si="5"/>
        <v/>
      </c>
      <c r="J13" s="7" t="str">
        <f t="shared" si="7"/>
        <v/>
      </c>
      <c r="K13" s="7" t="str">
        <f t="shared" si="7"/>
        <v/>
      </c>
      <c r="L13" s="7" t="str">
        <f t="shared" si="7"/>
        <v/>
      </c>
      <c r="M13" s="7" t="str">
        <f t="shared" si="7"/>
        <v/>
      </c>
      <c r="N13" s="7" t="str">
        <f t="shared" si="7"/>
        <v/>
      </c>
      <c r="O13" s="7" t="str">
        <f>IF(ROW(N13:N27)-ROW($F$4)&lt;=COLUMN(O12:AA12)-COLUMN($G$3),($F13+O$3)/2,"")</f>
        <v/>
      </c>
      <c r="P13" s="7">
        <f>IF(ROW(O13:O27)-ROW($F$4)&lt;=COLUMN(P12:AA12)-COLUMN($G$3),($F13+P$3)/2,"")</f>
        <v>7</v>
      </c>
      <c r="Q13" s="7">
        <f>IF(ROW(P13:P27)-ROW($F$4)&lt;=COLUMN(Q12:AA12)-COLUMN($G$3),($F13+Q$3)/2,"")</f>
        <v>5.5</v>
      </c>
      <c r="R13" s="7">
        <f>IF(ROW(Q13:Q27)-ROW($F$4)&lt;=COLUMN(R12:AE12)-COLUMN($G$3),($F13+R$3)/2,"")</f>
        <v>4</v>
      </c>
      <c r="S13" s="7">
        <f t="shared" si="7"/>
        <v>-0.5</v>
      </c>
      <c r="T13" s="7">
        <f t="shared" si="2"/>
        <v>5.5</v>
      </c>
      <c r="U13" s="60">
        <f t="shared" si="3"/>
        <v>6</v>
      </c>
      <c r="W13" s="7" t="s">
        <v>24</v>
      </c>
      <c r="X13" s="58" t="e">
        <f ca="1">SMALL(G4:U18,X11)</f>
        <v>#NAME?</v>
      </c>
      <c r="Z13" t="e">
        <f ca="1">FTEXT(X13)</f>
        <v>#NAME?</v>
      </c>
      <c r="AB13" t="e">
        <f ca="1"/>
        <v>#NAME?</v>
      </c>
      <c r="AC13" s="58" t="e">
        <f ca="1"/>
        <v>#NAME?</v>
      </c>
      <c r="AF13" t="e">
        <f ca="1"/>
        <v>#NAME?</v>
      </c>
      <c r="AG13" s="58" t="e">
        <f ca="1"/>
        <v>#NAME?</v>
      </c>
    </row>
    <row r="14" spans="1:33" x14ac:dyDescent="0.35">
      <c r="A14" s="194">
        <f t="shared" si="6"/>
        <v>11</v>
      </c>
      <c r="B14" s="194">
        <v>27</v>
      </c>
      <c r="C14" s="194">
        <v>23</v>
      </c>
      <c r="D14" s="194">
        <f t="shared" si="4"/>
        <v>4</v>
      </c>
      <c r="E14" s="194"/>
      <c r="F14">
        <f t="shared" si="0"/>
        <v>4</v>
      </c>
      <c r="G14" s="59" t="str">
        <f t="shared" si="5"/>
        <v/>
      </c>
      <c r="H14" s="7" t="str">
        <f t="shared" si="5"/>
        <v/>
      </c>
      <c r="I14" s="7" t="str">
        <f>IF(ROW(H14:H28)-ROW($F$4)&lt;=COLUMN(I13:V13)-COLUMN($G$3),($F14+I$3)/2,"")</f>
        <v/>
      </c>
      <c r="J14" s="7" t="str">
        <f>IF(ROW(I14:I28)-ROW($F$4)&lt;=COLUMN(J13:V13)-COLUMN($G$3),($F14+J$3)/2,"")</f>
        <v/>
      </c>
      <c r="K14" s="7" t="str">
        <f>IF(ROW(J14:J28)-ROW($F$4)&lt;=COLUMN(K13:V13)-COLUMN($G$3),($F14+K$3)/2,"")</f>
        <v/>
      </c>
      <c r="L14" s="7" t="str">
        <f>IF(ROW(K14:K28)-ROW($F$4)&lt;=COLUMN(L13:V13)-COLUMN($G$3),($F14+L$3)/2,"")</f>
        <v/>
      </c>
      <c r="M14" s="7" t="str">
        <f>IF(ROW(L14:L28)-ROW($F$4)&lt;=COLUMN(M13:V13)-COLUMN($G$3),($F14+M$3)/2,"")</f>
        <v/>
      </c>
      <c r="N14" s="7" t="str">
        <f>IF(ROW(M14:M28)-ROW($F$4)&lt;=COLUMN(N13:V13)-COLUMN($G$3),($F14+N$3)/2,"")</f>
        <v/>
      </c>
      <c r="O14" s="7" t="str">
        <f>IF(ROW(N14:N28)-ROW($F$4)&lt;=COLUMN(O13:V13)-COLUMN($G$3),($F14+O$3)/2,"")</f>
        <v/>
      </c>
      <c r="P14" s="7" t="str">
        <f>IF(ROW(O14:O28)-ROW($F$4)&lt;=COLUMN(P13:V13)-COLUMN($G$3),($F14+P$3)/2,"")</f>
        <v/>
      </c>
      <c r="Q14" s="7">
        <f>IF(ROW(P14:P28)-ROW($F$4)&lt;=COLUMN(Q13:V13)-COLUMN($G$3),($F14+Q$3)/2,"")</f>
        <v>4</v>
      </c>
      <c r="R14" s="7">
        <f>IF(ROW(Q14:Q28)-ROW($F$4)&lt;=COLUMN(R13:AE13)-COLUMN($G$3),($F14+R$3)/2,"")</f>
        <v>2.5</v>
      </c>
      <c r="S14" s="7">
        <f>IF(ROW(R14:R28)-ROW($F$4)&lt;=COLUMN(S13:AE13)-COLUMN($G$3),($F14+S$3)/2,"")</f>
        <v>-2</v>
      </c>
      <c r="T14" s="7">
        <f>IF(ROW(S14:S28)-ROW($F$4)&lt;=COLUMN(T13:AE13)-COLUMN($G$3),($F14+T$3)/2,"")</f>
        <v>4</v>
      </c>
      <c r="U14" s="60">
        <f>IF(ROW(T14:T28)-ROW($F$4)&lt;=COLUMN(U13:AE13)-COLUMN($G$3),($F14+U$3)/2,"")</f>
        <v>4.5</v>
      </c>
      <c r="W14" s="7" t="s">
        <v>25</v>
      </c>
      <c r="X14" s="50" t="e">
        <f ca="1">LARGE(G4:U18,X11)</f>
        <v>#NAME?</v>
      </c>
      <c r="Z14" t="e">
        <f ca="1">FTEXT(X14)</f>
        <v>#NAME?</v>
      </c>
      <c r="AB14" t="e">
        <f ca="1"/>
        <v>#NAME?</v>
      </c>
      <c r="AC14" s="50" t="e">
        <f ca="1"/>
        <v>#NAME?</v>
      </c>
      <c r="AF14" t="e">
        <f ca="1"/>
        <v>#NAME?</v>
      </c>
      <c r="AG14" s="50" t="e">
        <f ca="1"/>
        <v>#NAME?</v>
      </c>
    </row>
    <row r="15" spans="1:33" x14ac:dyDescent="0.35">
      <c r="A15" s="194">
        <f t="shared" si="6"/>
        <v>12</v>
      </c>
      <c r="B15" s="194">
        <v>15</v>
      </c>
      <c r="C15" s="194">
        <v>14</v>
      </c>
      <c r="D15" s="194">
        <f t="shared" si="4"/>
        <v>1</v>
      </c>
      <c r="E15" s="194"/>
      <c r="F15">
        <f t="shared" si="0"/>
        <v>1</v>
      </c>
      <c r="G15" s="59" t="str">
        <f t="shared" si="5"/>
        <v/>
      </c>
      <c r="H15" s="7" t="str">
        <f t="shared" si="5"/>
        <v/>
      </c>
      <c r="I15" s="7" t="str">
        <f t="shared" si="5"/>
        <v/>
      </c>
      <c r="J15" s="7" t="str">
        <f t="shared" si="7"/>
        <v/>
      </c>
      <c r="K15" s="7" t="str">
        <f t="shared" si="7"/>
        <v/>
      </c>
      <c r="L15" s="7" t="str">
        <f t="shared" si="7"/>
        <v/>
      </c>
      <c r="M15" s="7" t="str">
        <f t="shared" si="7"/>
        <v/>
      </c>
      <c r="N15" s="7" t="str">
        <f t="shared" si="7"/>
        <v/>
      </c>
      <c r="O15" s="7" t="str">
        <f>IF(ROW(N15:N29)-ROW($F$4)&lt;=COLUMN(O14:AA14)-COLUMN($G$3),($F15+O$3)/2,"")</f>
        <v/>
      </c>
      <c r="P15" s="7" t="str">
        <f>IF(ROW(O15:O29)-ROW($F$4)&lt;=COLUMN(P14:AC14)-COLUMN($G$3),($F15+P$3)/2,"")</f>
        <v/>
      </c>
      <c r="Q15" s="7" t="str">
        <f t="shared" si="7"/>
        <v/>
      </c>
      <c r="R15" s="7">
        <f t="shared" si="7"/>
        <v>1</v>
      </c>
      <c r="S15" s="7">
        <f>IF(ROW(R15:R29)-ROW($F$4)&lt;=COLUMN(S14:AE14)-COLUMN($G$3),($F15+S$3)/2,"")</f>
        <v>-3.5</v>
      </c>
      <c r="T15" s="7">
        <f>IF(ROW(S15:S29)-ROW($F$4)&lt;=COLUMN(T14:AE14)-COLUMN($G$3),($F15+T$3)/2,"")</f>
        <v>2.5</v>
      </c>
      <c r="U15" s="60">
        <f>IF(ROW(T15:T29)-ROW($F$4)&lt;=COLUMN(U14:AE14)-COLUMN($G$3),($F15+U$3)/2,"")</f>
        <v>3</v>
      </c>
    </row>
    <row r="16" spans="1:33" x14ac:dyDescent="0.35">
      <c r="A16" s="194">
        <f t="shared" si="6"/>
        <v>13</v>
      </c>
      <c r="B16" s="194">
        <v>26</v>
      </c>
      <c r="C16" s="194">
        <v>34</v>
      </c>
      <c r="D16" s="194">
        <f t="shared" si="4"/>
        <v>-8</v>
      </c>
      <c r="E16" s="194"/>
      <c r="F16">
        <f t="shared" si="0"/>
        <v>-8</v>
      </c>
      <c r="G16" s="59" t="str">
        <f t="shared" si="5"/>
        <v/>
      </c>
      <c r="H16" s="7" t="str">
        <f t="shared" si="5"/>
        <v/>
      </c>
      <c r="I16" s="7" t="str">
        <f t="shared" si="5"/>
        <v/>
      </c>
      <c r="J16" s="7" t="str">
        <f t="shared" si="7"/>
        <v/>
      </c>
      <c r="K16" s="7" t="str">
        <f t="shared" si="7"/>
        <v/>
      </c>
      <c r="L16" s="7" t="str">
        <f t="shared" si="7"/>
        <v/>
      </c>
      <c r="M16" s="7" t="str">
        <f t="shared" si="7"/>
        <v/>
      </c>
      <c r="N16" s="7" t="str">
        <f t="shared" si="7"/>
        <v/>
      </c>
      <c r="O16" s="7" t="str">
        <f t="shared" si="7"/>
        <v/>
      </c>
      <c r="P16" s="7" t="str">
        <f t="shared" si="7"/>
        <v/>
      </c>
      <c r="Q16" s="7" t="str">
        <f t="shared" si="7"/>
        <v/>
      </c>
      <c r="R16" s="7" t="str">
        <f t="shared" si="7"/>
        <v/>
      </c>
      <c r="S16" s="7">
        <f t="shared" si="7"/>
        <v>-8</v>
      </c>
      <c r="T16" s="7">
        <f>IF(ROW(S16:S30)-ROW($F$4)&lt;=COLUMN(T15:AF15)-COLUMN($G$3),($F16+T$3)/2,"")</f>
        <v>-2</v>
      </c>
      <c r="U16" s="60">
        <f>IF(ROW(T16:T30)-ROW($F$4)&lt;=COLUMN(U15:AF15)-COLUMN($G$3),($F16+U$3)/2,"")</f>
        <v>-1.5</v>
      </c>
    </row>
    <row r="17" spans="1:21" x14ac:dyDescent="0.35">
      <c r="A17" s="194">
        <f t="shared" si="6"/>
        <v>14</v>
      </c>
      <c r="B17" s="194">
        <v>83</v>
      </c>
      <c r="C17" s="194">
        <v>79</v>
      </c>
      <c r="D17" s="194">
        <f t="shared" si="4"/>
        <v>4</v>
      </c>
      <c r="E17" s="194"/>
      <c r="F17">
        <f t="shared" si="0"/>
        <v>4</v>
      </c>
      <c r="G17" s="59" t="str">
        <f t="shared" si="5"/>
        <v/>
      </c>
      <c r="H17" s="7" t="str">
        <f t="shared" si="5"/>
        <v/>
      </c>
      <c r="I17" s="7" t="str">
        <f t="shared" si="5"/>
        <v/>
      </c>
      <c r="J17" s="7" t="str">
        <f t="shared" si="7"/>
        <v/>
      </c>
      <c r="K17" s="7" t="str">
        <f t="shared" si="7"/>
        <v/>
      </c>
      <c r="L17" s="7" t="str">
        <f t="shared" si="7"/>
        <v/>
      </c>
      <c r="M17" s="7" t="str">
        <f t="shared" si="7"/>
        <v/>
      </c>
      <c r="N17" s="7" t="str">
        <f t="shared" si="7"/>
        <v/>
      </c>
      <c r="O17" s="7" t="str">
        <f t="shared" si="7"/>
        <v/>
      </c>
      <c r="P17" s="7" t="str">
        <f t="shared" si="7"/>
        <v/>
      </c>
      <c r="Q17" s="7" t="str">
        <f t="shared" si="7"/>
        <v/>
      </c>
      <c r="R17" s="7" t="str">
        <f t="shared" si="7"/>
        <v/>
      </c>
      <c r="S17" s="7" t="str">
        <f t="shared" si="7"/>
        <v/>
      </c>
      <c r="T17" s="7">
        <f>IF(ROW(S17:S31)-ROW($F$4)&lt;=COLUMN(T16:AF16)-COLUMN($G$3),($F17+T$3)/2,"")</f>
        <v>4</v>
      </c>
      <c r="U17" s="60">
        <f>IF(ROW(T17:T31)-ROW($F$4)&lt;=COLUMN(U16:AF16)-COLUMN($G$3),($F17+U$3)/2,"")</f>
        <v>4.5</v>
      </c>
    </row>
    <row r="18" spans="1:21" x14ac:dyDescent="0.35">
      <c r="A18" s="195">
        <f t="shared" si="6"/>
        <v>15</v>
      </c>
      <c r="B18" s="195">
        <v>86</v>
      </c>
      <c r="C18" s="195">
        <v>81</v>
      </c>
      <c r="D18" s="195">
        <f t="shared" si="4"/>
        <v>5</v>
      </c>
      <c r="E18" s="161"/>
      <c r="F18">
        <f t="shared" si="0"/>
        <v>5</v>
      </c>
      <c r="G18" s="45" t="str">
        <f t="shared" si="5"/>
        <v/>
      </c>
      <c r="H18" s="102" t="str">
        <f t="shared" si="5"/>
        <v/>
      </c>
      <c r="I18" s="102" t="str">
        <f t="shared" si="5"/>
        <v/>
      </c>
      <c r="J18" s="102" t="str">
        <f t="shared" si="7"/>
        <v/>
      </c>
      <c r="K18" s="102" t="str">
        <f t="shared" si="7"/>
        <v/>
      </c>
      <c r="L18" s="102" t="str">
        <f t="shared" si="7"/>
        <v/>
      </c>
      <c r="M18" s="102" t="str">
        <f t="shared" si="7"/>
        <v/>
      </c>
      <c r="N18" s="102" t="str">
        <f t="shared" si="7"/>
        <v/>
      </c>
      <c r="O18" s="102" t="str">
        <f t="shared" si="7"/>
        <v/>
      </c>
      <c r="P18" s="102" t="str">
        <f t="shared" si="7"/>
        <v/>
      </c>
      <c r="Q18" s="102" t="str">
        <f t="shared" si="7"/>
        <v/>
      </c>
      <c r="R18" s="102" t="str">
        <f t="shared" si="7"/>
        <v/>
      </c>
      <c r="S18" s="102" t="str">
        <f t="shared" si="7"/>
        <v/>
      </c>
      <c r="T18" s="102" t="str">
        <f>IF(ROW(S18:S32)-ROW($F$4)&lt;=COLUMN(T17:AF17)-COLUMN($G$3),($F18+T$3)/2,"")</f>
        <v/>
      </c>
      <c r="U18" s="48">
        <f>IF(ROW(T18:T32)-ROW($F$4)&lt;=COLUMN(U17:AF17)-COLUMN($G$3),($F18+U$3)/2,"")</f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08"/>
  <dimension ref="A1:AL49"/>
  <sheetViews>
    <sheetView workbookViewId="0"/>
  </sheetViews>
  <sheetFormatPr defaultRowHeight="14.5" x14ac:dyDescent="0.35"/>
  <cols>
    <col min="5" max="5" width="5.7265625" customWidth="1"/>
    <col min="8" max="8" width="4" customWidth="1"/>
    <col min="22" max="22" width="16.81640625" customWidth="1"/>
    <col min="27" max="27" width="16" customWidth="1"/>
    <col min="34" max="34" width="9.26953125" customWidth="1"/>
    <col min="37" max="37" width="3.1796875" customWidth="1"/>
    <col min="38" max="38" width="26.453125" customWidth="1"/>
  </cols>
  <sheetData>
    <row r="1" spans="1:38" x14ac:dyDescent="0.35">
      <c r="A1" s="1" t="s">
        <v>216</v>
      </c>
      <c r="V1" t="s">
        <v>184</v>
      </c>
      <c r="AA1" t="s">
        <v>253</v>
      </c>
    </row>
    <row r="3" spans="1:38" x14ac:dyDescent="0.35">
      <c r="A3" s="204" t="s">
        <v>42</v>
      </c>
      <c r="B3" s="204" t="s">
        <v>116</v>
      </c>
      <c r="C3" s="204" t="s">
        <v>5</v>
      </c>
      <c r="D3" s="204" t="s">
        <v>109</v>
      </c>
      <c r="F3" s="89" t="s">
        <v>103</v>
      </c>
      <c r="G3" s="173" t="e">
        <f ca="1">SRankPair(B4:C18)</f>
        <v>#NAME?</v>
      </c>
      <c r="J3" s="90" t="s">
        <v>42</v>
      </c>
      <c r="K3" s="91" t="s">
        <v>116</v>
      </c>
      <c r="L3" s="91" t="s">
        <v>5</v>
      </c>
      <c r="M3" s="160" t="s">
        <v>109</v>
      </c>
      <c r="N3" s="160" t="s">
        <v>133</v>
      </c>
      <c r="O3" s="160" t="s">
        <v>99</v>
      </c>
      <c r="P3" s="160" t="s">
        <v>147</v>
      </c>
      <c r="Q3" s="92" t="s">
        <v>146</v>
      </c>
      <c r="S3" s="93" t="s">
        <v>103</v>
      </c>
      <c r="T3" s="173" t="e">
        <f ca="1">MIN(P19,Q19)</f>
        <v>#NAME?</v>
      </c>
      <c r="V3" t="s">
        <v>179</v>
      </c>
      <c r="AA3" t="s">
        <v>179</v>
      </c>
      <c r="AF3" t="s">
        <v>294</v>
      </c>
      <c r="AJ3" t="s">
        <v>217</v>
      </c>
    </row>
    <row r="4" spans="1:38" x14ac:dyDescent="0.35">
      <c r="A4" s="72">
        <v>1</v>
      </c>
      <c r="B4" s="179">
        <v>50</v>
      </c>
      <c r="C4" s="161">
        <v>20</v>
      </c>
      <c r="D4" s="184">
        <f>B4-C4</f>
        <v>30</v>
      </c>
      <c r="F4" t="s">
        <v>26</v>
      </c>
      <c r="G4" s="58">
        <f>COUNTIF(B4:B18,"&lt;&gt;"&amp;20)</f>
        <v>14</v>
      </c>
      <c r="J4" s="205">
        <v>1</v>
      </c>
      <c r="K4" s="206">
        <v>50</v>
      </c>
      <c r="L4" s="189">
        <v>20</v>
      </c>
      <c r="M4" s="161">
        <f>K4-L4</f>
        <v>30</v>
      </c>
      <c r="N4" s="161">
        <f>IF(M4=0,"",ABS(M4))</f>
        <v>30</v>
      </c>
      <c r="O4" s="161" t="e">
        <f ca="1">IF(M4&lt;&gt;0,RANK_AVG(N4,$N$4:$N$18,1),"")</f>
        <v>#NAME?</v>
      </c>
      <c r="P4" s="161" t="e">
        <f ca="1">IF(M4&gt;0,O4,"")</f>
        <v>#NAME?</v>
      </c>
      <c r="Q4" s="53" t="str">
        <f>IF(M4&lt;0,O4,"")</f>
        <v/>
      </c>
      <c r="S4" t="s">
        <v>26</v>
      </c>
      <c r="T4" s="58">
        <f>COUNT(N4:N18)</f>
        <v>14</v>
      </c>
    </row>
    <row r="5" spans="1:38" x14ac:dyDescent="0.35">
      <c r="A5" s="72">
        <f t="shared" ref="A5:A18" si="0">A4+1</f>
        <v>2</v>
      </c>
      <c r="B5" s="179">
        <v>15</v>
      </c>
      <c r="C5" s="161">
        <v>20</v>
      </c>
      <c r="D5" s="184">
        <f t="shared" ref="D5:D18" si="1">B5-C5</f>
        <v>-5</v>
      </c>
      <c r="F5" t="s">
        <v>138</v>
      </c>
      <c r="G5" s="58" t="e">
        <f ca="1">SRINV(0.05,G4,2)</f>
        <v>#NAME?</v>
      </c>
      <c r="J5" s="73">
        <f t="shared" ref="J5:J18" si="2">J4+1</f>
        <v>2</v>
      </c>
      <c r="K5" s="75">
        <v>15</v>
      </c>
      <c r="L5" s="71">
        <v>20</v>
      </c>
      <c r="M5" s="161">
        <f t="shared" ref="M5:M18" si="3">K5-L5</f>
        <v>-5</v>
      </c>
      <c r="N5" s="161">
        <f t="shared" ref="N5:N18" si="4">IF(M5=0,"",ABS(M5))</f>
        <v>5</v>
      </c>
      <c r="O5" s="161" t="e">
        <f ca="1">IF(M5&lt;&gt;0,RANK_AVG(N5,$N$4:$N$18,1),"")</f>
        <v>#NAME?</v>
      </c>
      <c r="P5" s="161" t="str">
        <f t="shared" ref="P5:P18" si="5">IF(M5&gt;0,O5,"")</f>
        <v/>
      </c>
      <c r="Q5" s="53" t="e">
        <f t="shared" ref="Q5:Q18" ca="1" si="6">IF(M5&lt;0,O5,"")</f>
        <v>#NAME?</v>
      </c>
      <c r="S5" t="s">
        <v>2</v>
      </c>
      <c r="T5" s="58">
        <f>T4*(T4+1)/4</f>
        <v>52.5</v>
      </c>
      <c r="V5" t="s">
        <v>180</v>
      </c>
      <c r="W5" s="207">
        <f>MEDIAN(B4:B18)</f>
        <v>12</v>
      </c>
      <c r="AA5" t="s">
        <v>180</v>
      </c>
      <c r="AB5" s="207">
        <f>MEDIAN(B4:B18)</f>
        <v>12</v>
      </c>
      <c r="AF5" t="e">
        <f t="array" aca="1" ref="AF5:AG10" ca="1">SR_TEST(B4:B18,C4,TRUE)</f>
        <v>#NAME?</v>
      </c>
      <c r="AG5" s="156" t="e">
        <f ca="1"/>
        <v>#NAME?</v>
      </c>
      <c r="AH5" s="7"/>
      <c r="AJ5" s="173" t="e">
        <f ca="1">PERMDIST(AG5,G4,TRUE)</f>
        <v>#NAME?</v>
      </c>
      <c r="AL5" t="e">
        <f ca="1">FTEXT(AJ5)</f>
        <v>#NAME?</v>
      </c>
    </row>
    <row r="6" spans="1:38" x14ac:dyDescent="0.35">
      <c r="A6" s="72">
        <f t="shared" si="0"/>
        <v>3</v>
      </c>
      <c r="B6" s="179">
        <v>25</v>
      </c>
      <c r="C6" s="161">
        <v>20</v>
      </c>
      <c r="D6" s="184">
        <f t="shared" si="1"/>
        <v>5</v>
      </c>
      <c r="F6" t="s">
        <v>48</v>
      </c>
      <c r="G6" s="50" t="e">
        <f ca="1">SRTEST(D4:D18)</f>
        <v>#NAME?</v>
      </c>
      <c r="J6" s="73">
        <f t="shared" si="2"/>
        <v>3</v>
      </c>
      <c r="K6" s="75">
        <v>25</v>
      </c>
      <c r="L6" s="71">
        <v>20</v>
      </c>
      <c r="M6" s="161">
        <f t="shared" si="3"/>
        <v>5</v>
      </c>
      <c r="N6" s="161">
        <f t="shared" si="4"/>
        <v>5</v>
      </c>
      <c r="O6" s="161" t="e">
        <f ca="1">IF(M6&lt;&gt;0,RANK_AVG(N6,$N$4:$N$18,1),"")</f>
        <v>#NAME?</v>
      </c>
      <c r="P6" s="161" t="e">
        <f t="shared" ca="1" si="5"/>
        <v>#NAME?</v>
      </c>
      <c r="Q6" s="53" t="str">
        <f t="shared" si="6"/>
        <v/>
      </c>
      <c r="S6" t="s">
        <v>113</v>
      </c>
      <c r="T6" s="58">
        <f>T5*(2*T4+1)/6</f>
        <v>253.75</v>
      </c>
      <c r="V6" t="s">
        <v>181</v>
      </c>
      <c r="W6" s="101">
        <v>20</v>
      </c>
      <c r="AA6" t="s">
        <v>181</v>
      </c>
      <c r="AB6" s="101">
        <v>20</v>
      </c>
      <c r="AF6" t="e">
        <f ca="1"/>
        <v>#NAME?</v>
      </c>
      <c r="AG6" s="58" t="e">
        <f ca="1"/>
        <v>#NAME?</v>
      </c>
      <c r="AH6" s="7"/>
      <c r="AJ6" s="50" t="e">
        <f ca="1">PERMINV(AG6,G4)</f>
        <v>#NAME?</v>
      </c>
      <c r="AL6" t="e">
        <f ca="1">FTEXT(AJ6)</f>
        <v>#NAME?</v>
      </c>
    </row>
    <row r="7" spans="1:38" x14ac:dyDescent="0.35">
      <c r="A7" s="72">
        <f t="shared" si="0"/>
        <v>4</v>
      </c>
      <c r="B7" s="179">
        <v>12</v>
      </c>
      <c r="C7" s="161">
        <v>20</v>
      </c>
      <c r="D7" s="184">
        <f t="shared" si="1"/>
        <v>-8</v>
      </c>
      <c r="J7" s="73">
        <f t="shared" si="2"/>
        <v>4</v>
      </c>
      <c r="K7" s="75">
        <v>12</v>
      </c>
      <c r="L7" s="71">
        <v>20</v>
      </c>
      <c r="M7" s="161">
        <f t="shared" si="3"/>
        <v>-8</v>
      </c>
      <c r="N7" s="161">
        <f t="shared" si="4"/>
        <v>8</v>
      </c>
      <c r="O7" s="161" t="e">
        <f ca="1">IF(M7&lt;&gt;0,RANK_AVG(N7,$N$4:$N$18,1),"")</f>
        <v>#NAME?</v>
      </c>
      <c r="P7" s="161" t="str">
        <f t="shared" si="5"/>
        <v/>
      </c>
      <c r="Q7" s="53" t="e">
        <f t="shared" ca="1" si="6"/>
        <v>#NAME?</v>
      </c>
      <c r="S7" t="s">
        <v>56</v>
      </c>
      <c r="T7" s="58">
        <f>SQRT(T6)</f>
        <v>15.929532322073991</v>
      </c>
      <c r="V7" t="s">
        <v>100</v>
      </c>
      <c r="W7" s="101">
        <f>COUNT(B4:B18)</f>
        <v>15</v>
      </c>
      <c r="AA7" t="s">
        <v>100</v>
      </c>
      <c r="AB7" s="101">
        <f>COUNT(B4:B18)</f>
        <v>15</v>
      </c>
      <c r="AF7" t="e">
        <f ca="1"/>
        <v>#NAME?</v>
      </c>
      <c r="AG7" s="58" t="e">
        <f ca="1"/>
        <v>#NAME?</v>
      </c>
      <c r="AH7" s="7"/>
    </row>
    <row r="8" spans="1:38" x14ac:dyDescent="0.35">
      <c r="A8" s="72">
        <f t="shared" si="0"/>
        <v>5</v>
      </c>
      <c r="B8" s="179">
        <v>45</v>
      </c>
      <c r="C8" s="161">
        <v>20</v>
      </c>
      <c r="D8" s="184">
        <f t="shared" si="1"/>
        <v>25</v>
      </c>
      <c r="J8" s="73">
        <f t="shared" si="2"/>
        <v>5</v>
      </c>
      <c r="K8" s="75">
        <v>45</v>
      </c>
      <c r="L8" s="71">
        <v>20</v>
      </c>
      <c r="M8" s="161">
        <f t="shared" si="3"/>
        <v>25</v>
      </c>
      <c r="N8" s="161">
        <f t="shared" si="4"/>
        <v>25</v>
      </c>
      <c r="O8" s="161" t="e">
        <f ca="1">IF(M8&lt;&gt;0,RANK_AVG(N8,$N$4:$N$18,1),"")</f>
        <v>#NAME?</v>
      </c>
      <c r="P8" s="161" t="e">
        <f t="shared" ca="1" si="5"/>
        <v>#NAME?</v>
      </c>
      <c r="Q8" s="53" t="str">
        <f t="shared" si="6"/>
        <v/>
      </c>
      <c r="S8" t="s">
        <v>48</v>
      </c>
      <c r="T8" s="50" t="e">
        <f ca="1">NORMDIST(T3,T5,T7,TRUE)</f>
        <v>#NAME?</v>
      </c>
      <c r="V8" t="s">
        <v>176</v>
      </c>
      <c r="W8" s="101">
        <f>SUMPRODUCT(--ISNUMBER(B4:B18),--(B4:B18&lt;&gt;W6))</f>
        <v>14</v>
      </c>
      <c r="AA8" t="s">
        <v>176</v>
      </c>
      <c r="AB8" s="101">
        <f>SUMPRODUCT(--ISNUMBER(B4:B18),--(B4:B18&lt;&gt;AB6))</f>
        <v>14</v>
      </c>
      <c r="AF8" t="e">
        <f ca="1"/>
        <v>#NAME?</v>
      </c>
      <c r="AG8" s="58" t="e">
        <f ca="1"/>
        <v>#NAME?</v>
      </c>
      <c r="AH8" s="7"/>
      <c r="AJ8" t="s">
        <v>218</v>
      </c>
    </row>
    <row r="9" spans="1:38" x14ac:dyDescent="0.35">
      <c r="A9" s="72">
        <f t="shared" si="0"/>
        <v>6</v>
      </c>
      <c r="B9" s="179">
        <v>3</v>
      </c>
      <c r="C9" s="161">
        <v>20</v>
      </c>
      <c r="D9" s="184">
        <f t="shared" si="1"/>
        <v>-17</v>
      </c>
      <c r="J9" s="73">
        <f t="shared" si="2"/>
        <v>6</v>
      </c>
      <c r="K9" s="75">
        <v>3</v>
      </c>
      <c r="L9" s="71">
        <v>20</v>
      </c>
      <c r="M9" s="161">
        <f t="shared" si="3"/>
        <v>-17</v>
      </c>
      <c r="N9" s="161">
        <f t="shared" si="4"/>
        <v>17</v>
      </c>
      <c r="O9" s="161" t="e">
        <f ca="1">IF(M9&lt;&gt;0,RANK_AVG(N9,$N$4:$N$18,1),"")</f>
        <v>#NAME?</v>
      </c>
      <c r="P9" s="161" t="str">
        <f t="shared" si="5"/>
        <v/>
      </c>
      <c r="Q9" s="53" t="e">
        <f t="shared" ca="1" si="6"/>
        <v>#NAME?</v>
      </c>
      <c r="V9" t="s">
        <v>177</v>
      </c>
      <c r="W9" s="101" t="e">
        <f ca="1">IF(W11&lt;=W14,W11,W8*(W8+1)/2)</f>
        <v>#NAME?</v>
      </c>
      <c r="AA9" t="s">
        <v>177</v>
      </c>
      <c r="AB9" s="101" t="e">
        <f ca="1">IF(AB11&lt;=AB14,AB11,AB8*(AB8+1)/2)</f>
        <v>#NAME?</v>
      </c>
      <c r="AF9" t="e">
        <f ca="1"/>
        <v>#NAME?</v>
      </c>
      <c r="AG9" s="58" t="e">
        <f ca="1"/>
        <v>#NAME?</v>
      </c>
      <c r="AH9" s="7"/>
    </row>
    <row r="10" spans="1:38" x14ac:dyDescent="0.35">
      <c r="A10" s="72">
        <f t="shared" si="0"/>
        <v>7</v>
      </c>
      <c r="B10" s="179">
        <v>45</v>
      </c>
      <c r="C10" s="161">
        <v>20</v>
      </c>
      <c r="D10" s="184">
        <f t="shared" si="1"/>
        <v>25</v>
      </c>
      <c r="J10" s="73">
        <f t="shared" si="2"/>
        <v>7</v>
      </c>
      <c r="K10" s="75">
        <v>45</v>
      </c>
      <c r="L10" s="71">
        <v>20</v>
      </c>
      <c r="M10" s="161">
        <f t="shared" si="3"/>
        <v>25</v>
      </c>
      <c r="N10" s="161">
        <f t="shared" si="4"/>
        <v>25</v>
      </c>
      <c r="O10" s="161" t="e">
        <f ca="1">IF(M10&lt;&gt;0,RANK_AVG(N10,$N$4:$N$18,1),"")</f>
        <v>#NAME?</v>
      </c>
      <c r="P10" s="161" t="e">
        <f t="shared" ca="1" si="5"/>
        <v>#NAME?</v>
      </c>
      <c r="Q10" s="53" t="str">
        <f t="shared" si="6"/>
        <v/>
      </c>
      <c r="V10" t="s">
        <v>178</v>
      </c>
      <c r="W10" s="101" t="e">
        <f ca="1">W8*(W8+1)/2-W9</f>
        <v>#NAME?</v>
      </c>
      <c r="AA10" t="s">
        <v>178</v>
      </c>
      <c r="AB10" s="101" t="e">
        <f ca="1">AB8*(AB8+1)/2-AB9</f>
        <v>#NAME?</v>
      </c>
      <c r="AF10" t="e">
        <f ca="1"/>
        <v>#NAME?</v>
      </c>
      <c r="AG10" s="50" t="e">
        <f ca="1"/>
        <v>#NAME?</v>
      </c>
      <c r="AH10" s="7"/>
      <c r="AJ10" s="173" t="e">
        <f ca="1">2*PERMDIST(AG5,G4,TRUE)</f>
        <v>#NAME?</v>
      </c>
      <c r="AL10" t="e">
        <f ca="1">FTEXT(AJ10)</f>
        <v>#NAME?</v>
      </c>
    </row>
    <row r="11" spans="1:38" x14ac:dyDescent="0.35">
      <c r="A11" s="72">
        <f t="shared" si="0"/>
        <v>8</v>
      </c>
      <c r="B11" s="179">
        <v>8</v>
      </c>
      <c r="C11" s="161">
        <v>20</v>
      </c>
      <c r="D11" s="184">
        <f t="shared" si="1"/>
        <v>-12</v>
      </c>
      <c r="J11" s="73">
        <f t="shared" si="2"/>
        <v>8</v>
      </c>
      <c r="K11" s="75">
        <v>8</v>
      </c>
      <c r="L11" s="71">
        <v>20</v>
      </c>
      <c r="M11" s="161">
        <f t="shared" si="3"/>
        <v>-12</v>
      </c>
      <c r="N11" s="161">
        <f t="shared" si="4"/>
        <v>12</v>
      </c>
      <c r="O11" s="161" t="e">
        <f ca="1">IF(M11&lt;&gt;0,RANK_AVG(N11,$N$4:$N$18,1),"")</f>
        <v>#NAME?</v>
      </c>
      <c r="P11" s="161" t="str">
        <f t="shared" si="5"/>
        <v/>
      </c>
      <c r="Q11" s="53" t="e">
        <f t="shared" ca="1" si="6"/>
        <v>#NAME?</v>
      </c>
      <c r="V11" t="s">
        <v>103</v>
      </c>
      <c r="W11" s="103" t="e">
        <f ca="1">SRANK(B4:B18,W6)</f>
        <v>#NAME?</v>
      </c>
      <c r="AA11" t="s">
        <v>103</v>
      </c>
      <c r="AB11" s="103" t="e">
        <f ca="1">SRANK(B4:B18,AB6)</f>
        <v>#NAME?</v>
      </c>
      <c r="AG11" s="7"/>
      <c r="AH11" s="7"/>
      <c r="AJ11" s="50" t="e">
        <f ca="1">PERMINV(AG6/2,G4)</f>
        <v>#NAME?</v>
      </c>
      <c r="AL11" t="e">
        <f ca="1">FTEXT(AJ11)</f>
        <v>#NAME?</v>
      </c>
    </row>
    <row r="12" spans="1:38" x14ac:dyDescent="0.35">
      <c r="A12" s="72">
        <f t="shared" si="0"/>
        <v>9</v>
      </c>
      <c r="B12" s="179">
        <v>10</v>
      </c>
      <c r="C12" s="161">
        <v>20</v>
      </c>
      <c r="D12" s="184">
        <f t="shared" si="1"/>
        <v>-10</v>
      </c>
      <c r="J12" s="73">
        <f t="shared" si="2"/>
        <v>9</v>
      </c>
      <c r="K12" s="75">
        <v>10</v>
      </c>
      <c r="L12" s="71">
        <v>20</v>
      </c>
      <c r="M12" s="161">
        <f t="shared" si="3"/>
        <v>-10</v>
      </c>
      <c r="N12" s="161">
        <f t="shared" si="4"/>
        <v>10</v>
      </c>
      <c r="O12" s="161" t="e">
        <f ca="1">IF(M12&lt;&gt;0,RANK_AVG(N12,$N$4:$N$18,1),"")</f>
        <v>#NAME?</v>
      </c>
      <c r="P12" s="161" t="str">
        <f t="shared" si="5"/>
        <v/>
      </c>
      <c r="Q12" s="53" t="e">
        <f t="shared" ca="1" si="6"/>
        <v>#NAME?</v>
      </c>
      <c r="AG12" s="7"/>
      <c r="AH12" s="7"/>
    </row>
    <row r="13" spans="1:38" x14ac:dyDescent="0.35">
      <c r="A13" s="72">
        <f t="shared" si="0"/>
        <v>10</v>
      </c>
      <c r="B13" s="179">
        <v>8</v>
      </c>
      <c r="C13" s="161">
        <v>20</v>
      </c>
      <c r="D13" s="184">
        <f t="shared" si="1"/>
        <v>-12</v>
      </c>
      <c r="J13" s="73">
        <f t="shared" si="2"/>
        <v>10</v>
      </c>
      <c r="K13" s="75">
        <v>8</v>
      </c>
      <c r="L13" s="71">
        <v>20</v>
      </c>
      <c r="M13" s="161">
        <f t="shared" si="3"/>
        <v>-12</v>
      </c>
      <c r="N13" s="161">
        <f t="shared" si="4"/>
        <v>12</v>
      </c>
      <c r="O13" s="161" t="e">
        <f ca="1">IF(M13&lt;&gt;0,RANK_AVG(N13,$N$4:$N$18,1),"")</f>
        <v>#NAME?</v>
      </c>
      <c r="P13" s="161" t="str">
        <f t="shared" si="5"/>
        <v/>
      </c>
      <c r="Q13" s="53" t="e">
        <f t="shared" ca="1" si="6"/>
        <v>#NAME?</v>
      </c>
      <c r="W13" s="194" t="s">
        <v>182</v>
      </c>
      <c r="X13" s="194" t="s">
        <v>183</v>
      </c>
      <c r="AB13" s="194" t="s">
        <v>182</v>
      </c>
      <c r="AC13" s="194" t="s">
        <v>183</v>
      </c>
      <c r="AG13" s="7"/>
      <c r="AH13" s="7"/>
    </row>
    <row r="14" spans="1:38" x14ac:dyDescent="0.35">
      <c r="A14" s="72">
        <f t="shared" si="0"/>
        <v>11</v>
      </c>
      <c r="B14" s="179">
        <v>7</v>
      </c>
      <c r="C14" s="161">
        <v>20</v>
      </c>
      <c r="D14" s="184">
        <f t="shared" si="1"/>
        <v>-13</v>
      </c>
      <c r="J14" s="73">
        <f t="shared" si="2"/>
        <v>11</v>
      </c>
      <c r="K14" s="75">
        <v>7</v>
      </c>
      <c r="L14" s="71">
        <v>20</v>
      </c>
      <c r="M14" s="161">
        <f t="shared" si="3"/>
        <v>-13</v>
      </c>
      <c r="N14" s="161">
        <f t="shared" si="4"/>
        <v>13</v>
      </c>
      <c r="O14" s="161" t="e">
        <f ca="1">IF(M14&lt;&gt;0,RANK_AVG(N14,$N$4:$N$18,1),"")</f>
        <v>#NAME?</v>
      </c>
      <c r="P14" s="161" t="str">
        <f t="shared" si="5"/>
        <v/>
      </c>
      <c r="Q14" s="53" t="e">
        <f t="shared" ca="1" si="6"/>
        <v>#NAME?</v>
      </c>
      <c r="V14" t="s">
        <v>2</v>
      </c>
      <c r="W14" s="168">
        <f>W8*(W8+1)/4</f>
        <v>52.5</v>
      </c>
      <c r="AA14" t="s">
        <v>2</v>
      </c>
      <c r="AB14" s="168">
        <f>AB8*(AB8+1)/4</f>
        <v>52.5</v>
      </c>
    </row>
    <row r="15" spans="1:38" x14ac:dyDescent="0.35">
      <c r="A15" s="72">
        <f t="shared" si="0"/>
        <v>12</v>
      </c>
      <c r="B15" s="179">
        <v>20</v>
      </c>
      <c r="C15" s="161">
        <v>20</v>
      </c>
      <c r="D15" s="184">
        <f t="shared" si="1"/>
        <v>0</v>
      </c>
      <c r="J15" s="73">
        <f t="shared" si="2"/>
        <v>12</v>
      </c>
      <c r="K15" s="75">
        <v>20</v>
      </c>
      <c r="L15" s="71">
        <v>20</v>
      </c>
      <c r="M15" s="161">
        <f t="shared" si="3"/>
        <v>0</v>
      </c>
      <c r="N15" s="161" t="str">
        <f t="shared" si="4"/>
        <v/>
      </c>
      <c r="O15" s="161" t="str">
        <f>IF(M15&lt;&gt;0,RANK_AVG(N15,$N$4:$N$18,1),"")</f>
        <v/>
      </c>
      <c r="P15" s="161" t="str">
        <f t="shared" si="5"/>
        <v/>
      </c>
      <c r="Q15" s="53" t="str">
        <f t="shared" si="6"/>
        <v/>
      </c>
      <c r="V15" t="s">
        <v>56</v>
      </c>
      <c r="W15" s="101">
        <f>SQRT(W14*(2*W8+1)/6)</f>
        <v>15.929532322073991</v>
      </c>
      <c r="AA15" t="s">
        <v>56</v>
      </c>
      <c r="AB15" s="101" t="e">
        <f ca="1">SQRT(AB14*(2*AB8+1)/6-TiesCorrection(B4:B18,AB6)/48)</f>
        <v>#NAME?</v>
      </c>
      <c r="AC15" t="s">
        <v>246</v>
      </c>
      <c r="AF15" t="s">
        <v>295</v>
      </c>
    </row>
    <row r="16" spans="1:38" x14ac:dyDescent="0.35">
      <c r="A16" s="72">
        <f t="shared" si="0"/>
        <v>13</v>
      </c>
      <c r="B16" s="179">
        <v>9</v>
      </c>
      <c r="C16" s="161">
        <v>20</v>
      </c>
      <c r="D16" s="184">
        <f t="shared" si="1"/>
        <v>-11</v>
      </c>
      <c r="J16" s="73">
        <f t="shared" si="2"/>
        <v>13</v>
      </c>
      <c r="K16" s="75">
        <v>9</v>
      </c>
      <c r="L16" s="71">
        <v>20</v>
      </c>
      <c r="M16" s="161">
        <f t="shared" si="3"/>
        <v>-11</v>
      </c>
      <c r="N16" s="161">
        <f t="shared" si="4"/>
        <v>11</v>
      </c>
      <c r="O16" s="161" t="e">
        <f ca="1">IF(M16&lt;&gt;0,RANK_AVG(N16,$N$4:$N$18,1),"")</f>
        <v>#NAME?</v>
      </c>
      <c r="P16" s="161" t="str">
        <f t="shared" si="5"/>
        <v/>
      </c>
      <c r="Q16" s="53" t="e">
        <f t="shared" ca="1" si="6"/>
        <v>#NAME?</v>
      </c>
      <c r="V16" t="s">
        <v>115</v>
      </c>
      <c r="W16" s="101" t="e">
        <f ca="1">ABS(STANDARDIZE(W11,W14,W15))</f>
        <v>#NAME?</v>
      </c>
      <c r="AA16" t="s">
        <v>115</v>
      </c>
      <c r="AB16" s="101" t="e">
        <f ca="1">ABS(ABS(AB11-AB14)-1/2)/AB15</f>
        <v>#NAME?</v>
      </c>
      <c r="AC16" t="s">
        <v>273</v>
      </c>
    </row>
    <row r="17" spans="1:34" x14ac:dyDescent="0.35">
      <c r="A17" s="72">
        <f t="shared" si="0"/>
        <v>14</v>
      </c>
      <c r="B17" s="179">
        <v>9</v>
      </c>
      <c r="C17" s="161">
        <v>20</v>
      </c>
      <c r="D17" s="184">
        <f t="shared" si="1"/>
        <v>-11</v>
      </c>
      <c r="J17" s="73">
        <f t="shared" si="2"/>
        <v>14</v>
      </c>
      <c r="K17" s="75">
        <v>9</v>
      </c>
      <c r="L17" s="71">
        <v>20</v>
      </c>
      <c r="M17" s="161">
        <f t="shared" si="3"/>
        <v>-11</v>
      </c>
      <c r="N17" s="161">
        <f t="shared" si="4"/>
        <v>11</v>
      </c>
      <c r="O17" s="161" t="e">
        <f ca="1">IF(M17&lt;&gt;0,RANK_AVG(N17,$N$4:$N$18,1),"")</f>
        <v>#NAME?</v>
      </c>
      <c r="P17" s="161" t="str">
        <f t="shared" si="5"/>
        <v/>
      </c>
      <c r="Q17" s="53" t="e">
        <f t="shared" ca="1" si="6"/>
        <v>#NAME?</v>
      </c>
      <c r="V17" t="s">
        <v>111</v>
      </c>
      <c r="W17" s="101" t="e">
        <f ca="1">W16/SQRT(W7)</f>
        <v>#NAME?</v>
      </c>
      <c r="AA17" t="s">
        <v>111</v>
      </c>
      <c r="AB17" s="101" t="e">
        <f ca="1">AB16/SQRT(AB7)</f>
        <v>#NAME?</v>
      </c>
      <c r="AF17" t="e">
        <f t="array" aca="1" ref="AF17:AG22" ca="1">SR_TEST(B4:B18,C4,TRUE,,FALSE,FALSE)</f>
        <v>#NAME?</v>
      </c>
      <c r="AG17" s="156" t="e">
        <f ca="1"/>
        <v>#NAME?</v>
      </c>
      <c r="AH17" s="7"/>
    </row>
    <row r="18" spans="1:34" x14ac:dyDescent="0.35">
      <c r="A18" s="180">
        <f t="shared" si="0"/>
        <v>15</v>
      </c>
      <c r="B18" s="181">
        <v>12</v>
      </c>
      <c r="C18" s="192">
        <v>20</v>
      </c>
      <c r="D18" s="185">
        <f t="shared" si="1"/>
        <v>-8</v>
      </c>
      <c r="J18" s="74">
        <f t="shared" si="2"/>
        <v>15</v>
      </c>
      <c r="K18" s="76">
        <v>12</v>
      </c>
      <c r="L18" s="70">
        <v>20</v>
      </c>
      <c r="M18" s="192">
        <f t="shared" si="3"/>
        <v>-8</v>
      </c>
      <c r="N18" s="192">
        <f t="shared" si="4"/>
        <v>8</v>
      </c>
      <c r="O18" s="192" t="e">
        <f ca="1">IF(M18&lt;&gt;0,RANK_AVG(N18,$N$4:$N$18,1),"")</f>
        <v>#NAME?</v>
      </c>
      <c r="P18" s="192" t="str">
        <f t="shared" si="5"/>
        <v/>
      </c>
      <c r="Q18" s="46" t="e">
        <f t="shared" ca="1" si="6"/>
        <v>#NAME?</v>
      </c>
      <c r="V18" t="s">
        <v>274</v>
      </c>
      <c r="W18" s="168" t="e">
        <f ca="1">1-NORMSDIST(W16)</f>
        <v>#NAME?</v>
      </c>
      <c r="X18" s="169" t="e">
        <f ca="1">2*W18</f>
        <v>#NAME?</v>
      </c>
      <c r="AA18" t="s">
        <v>274</v>
      </c>
      <c r="AB18" s="168" t="e">
        <f ca="1">1-NORMSDIST(AB16)</f>
        <v>#NAME?</v>
      </c>
      <c r="AC18" s="169" t="e">
        <f ca="1">2*AB18</f>
        <v>#NAME?</v>
      </c>
      <c r="AF18" t="e">
        <f ca="1"/>
        <v>#NAME?</v>
      </c>
      <c r="AG18" s="58" t="e">
        <f ca="1"/>
        <v>#NAME?</v>
      </c>
      <c r="AH18" s="7"/>
    </row>
    <row r="19" spans="1:34" x14ac:dyDescent="0.35">
      <c r="O19" s="194"/>
      <c r="P19" s="193" t="e">
        <f ca="1">SUM(P4:P18)</f>
        <v>#NAME?</v>
      </c>
      <c r="Q19" s="193" t="e">
        <f ca="1">SUM(Q4:Q18)</f>
        <v>#NAME?</v>
      </c>
      <c r="V19" t="s">
        <v>275</v>
      </c>
      <c r="W19" s="101" t="e">
        <f ca="1">SRDIST(W11,W8,1)</f>
        <v>#NAME?</v>
      </c>
      <c r="X19" s="37" t="e">
        <f ca="1">2*W19</f>
        <v>#NAME?</v>
      </c>
      <c r="AA19" t="s">
        <v>275</v>
      </c>
      <c r="AB19" s="101" t="e">
        <f ca="1">SRDIST(AB11,AB8,1)</f>
        <v>#NAME?</v>
      </c>
      <c r="AC19" s="37" t="e">
        <f ca="1">2*AB19</f>
        <v>#NAME?</v>
      </c>
      <c r="AF19" t="e">
        <f ca="1"/>
        <v>#NAME?</v>
      </c>
      <c r="AG19" s="58" t="e">
        <f ca="1"/>
        <v>#NAME?</v>
      </c>
      <c r="AH19" s="7"/>
    </row>
    <row r="20" spans="1:34" x14ac:dyDescent="0.35">
      <c r="A20" s="154"/>
      <c r="V20" t="s">
        <v>276</v>
      </c>
      <c r="W20" s="103" t="e">
        <f t="array" aca="1" ref="W20:X20" ca="1">TRANSPOSE(SUBMATRIX(SR_SIMUL(B4:B18,W6,TRUE,10000),3,2,2,1))</f>
        <v>#NAME?</v>
      </c>
      <c r="X20" s="105" t="e">
        <f ca="1"/>
        <v>#NAME?</v>
      </c>
      <c r="AA20" t="s">
        <v>276</v>
      </c>
      <c r="AB20" s="103" t="e">
        <f t="array" aca="1" ref="AB20:AC20" ca="1">TRANSPOSE(SUBMATRIX(SR_SIMUL(B4:B18,AB6,TRUE,10000),3,2,2,1))</f>
        <v>#NAME?</v>
      </c>
      <c r="AC20" s="105" t="e">
        <f ca="1"/>
        <v>#NAME?</v>
      </c>
      <c r="AF20" t="e">
        <f ca="1"/>
        <v>#NAME?</v>
      </c>
      <c r="AG20" s="58" t="e">
        <f ca="1"/>
        <v>#NAME?</v>
      </c>
      <c r="AH20" s="7"/>
    </row>
    <row r="21" spans="1:34" x14ac:dyDescent="0.35">
      <c r="F21" t="s">
        <v>194</v>
      </c>
      <c r="K21" t="s">
        <v>220</v>
      </c>
      <c r="AF21" t="e">
        <f ca="1"/>
        <v>#NAME?</v>
      </c>
      <c r="AG21" s="58" t="e">
        <f ca="1"/>
        <v>#NAME?</v>
      </c>
      <c r="AH21" s="7"/>
    </row>
    <row r="22" spans="1:34" x14ac:dyDescent="0.35">
      <c r="AF22" t="e">
        <f ca="1"/>
        <v>#NAME?</v>
      </c>
      <c r="AG22" s="50" t="e">
        <f ca="1"/>
        <v>#NAME?</v>
      </c>
      <c r="AH22" s="7"/>
    </row>
    <row r="23" spans="1:34" x14ac:dyDescent="0.35">
      <c r="F23" t="s">
        <v>103</v>
      </c>
      <c r="G23" s="156" t="e">
        <f ca="1">SRANK(D4:D18)</f>
        <v>#NAME?</v>
      </c>
      <c r="I23" s="156" t="e">
        <f ca="1">SRANK(B4:B18,20)</f>
        <v>#NAME?</v>
      </c>
      <c r="K23" t="s">
        <v>48</v>
      </c>
      <c r="L23" s="156" t="e">
        <f t="array" aca="1" ref="L23" ca="1">SRANK_EXACT(B4:B18,C4,1)</f>
        <v>#NAME?</v>
      </c>
      <c r="V23" t="s">
        <v>254</v>
      </c>
      <c r="AA23" t="s">
        <v>255</v>
      </c>
      <c r="AG23" s="7"/>
      <c r="AH23" s="7"/>
    </row>
    <row r="24" spans="1:34" x14ac:dyDescent="0.35">
      <c r="F24" t="s">
        <v>285</v>
      </c>
      <c r="G24" s="58" t="e">
        <f ca="1">SRTEST(D4:D18,,1)</f>
        <v>#NAME?</v>
      </c>
      <c r="I24" s="58" t="e">
        <f ca="1">SRTEST(B4:B18,20,1)</f>
        <v>#NAME?</v>
      </c>
      <c r="K24" t="s">
        <v>48</v>
      </c>
      <c r="L24" s="50" t="e">
        <f ca="1">PERMDIST(G3,G4,TRUE)</f>
        <v>#NAME?</v>
      </c>
      <c r="AG24" s="7"/>
      <c r="AH24" s="7"/>
    </row>
    <row r="25" spans="1:34" x14ac:dyDescent="0.35">
      <c r="F25" t="s">
        <v>290</v>
      </c>
      <c r="G25" s="50" t="e">
        <f ca="1">SRTEST(D4:D18)</f>
        <v>#NAME?</v>
      </c>
      <c r="I25" s="50" t="e">
        <f ca="1">SRTEST(B4:B18,20)</f>
        <v>#NAME?</v>
      </c>
      <c r="V25" t="s">
        <v>179</v>
      </c>
      <c r="AA25" t="s">
        <v>179</v>
      </c>
      <c r="AG25" s="7"/>
      <c r="AH25" s="7"/>
    </row>
    <row r="27" spans="1:34" x14ac:dyDescent="0.35">
      <c r="V27" t="s">
        <v>180</v>
      </c>
      <c r="W27" s="207">
        <f>MEDIAN(B4:B18)</f>
        <v>12</v>
      </c>
      <c r="AA27" t="s">
        <v>180</v>
      </c>
      <c r="AB27" s="207">
        <f>MEDIAN(B4:B18)</f>
        <v>12</v>
      </c>
      <c r="AF27" t="s">
        <v>296</v>
      </c>
    </row>
    <row r="28" spans="1:34" x14ac:dyDescent="0.35">
      <c r="V28" t="s">
        <v>181</v>
      </c>
      <c r="W28" s="101">
        <v>20</v>
      </c>
      <c r="AA28" t="s">
        <v>181</v>
      </c>
      <c r="AB28" s="101">
        <v>20</v>
      </c>
    </row>
    <row r="29" spans="1:34" x14ac:dyDescent="0.35">
      <c r="V29" t="s">
        <v>100</v>
      </c>
      <c r="W29" s="101">
        <f>COUNT(B4:B18)</f>
        <v>15</v>
      </c>
      <c r="AA29" t="s">
        <v>100</v>
      </c>
      <c r="AB29" s="101">
        <f>COUNT(B4:B18)</f>
        <v>15</v>
      </c>
      <c r="AF29" t="e">
        <f t="array" aca="1" ref="AF29:AG34" ca="1">SR_TEST(B4:B18,C4,TRUE,,TRUE,FALSE)</f>
        <v>#NAME?</v>
      </c>
      <c r="AG29" s="156" t="e">
        <f ca="1"/>
        <v>#NAME?</v>
      </c>
    </row>
    <row r="30" spans="1:34" x14ac:dyDescent="0.35">
      <c r="V30" t="s">
        <v>176</v>
      </c>
      <c r="W30" s="101">
        <f>SUMPRODUCT(--ISNUMBER(B4:B18),--(B4:B18&lt;&gt;W28))</f>
        <v>14</v>
      </c>
      <c r="AA30" t="s">
        <v>176</v>
      </c>
      <c r="AB30" s="101">
        <f>SUMPRODUCT(--ISNUMBER(B4:B18),--(B4:B18&lt;&gt;AB28))</f>
        <v>14</v>
      </c>
      <c r="AF30" t="e">
        <f ca="1"/>
        <v>#NAME?</v>
      </c>
      <c r="AG30" s="58" t="e">
        <f ca="1"/>
        <v>#NAME?</v>
      </c>
    </row>
    <row r="31" spans="1:34" x14ac:dyDescent="0.35">
      <c r="V31" t="s">
        <v>177</v>
      </c>
      <c r="W31" s="101" t="e">
        <f ca="1">IF(W33&lt;=W36,W33,W30*(W30+1)/2)</f>
        <v>#NAME?</v>
      </c>
      <c r="AA31" t="s">
        <v>177</v>
      </c>
      <c r="AB31" s="101" t="e">
        <f ca="1">IF(AB33&lt;=AB36,AB33,AB30*(AB30+1)/2)</f>
        <v>#NAME?</v>
      </c>
      <c r="AF31" t="e">
        <f ca="1"/>
        <v>#NAME?</v>
      </c>
      <c r="AG31" s="58" t="e">
        <f ca="1"/>
        <v>#NAME?</v>
      </c>
    </row>
    <row r="32" spans="1:34" x14ac:dyDescent="0.35">
      <c r="V32" t="s">
        <v>178</v>
      </c>
      <c r="W32" s="101" t="e">
        <f ca="1">W30*(W30+1)/2-W31</f>
        <v>#NAME?</v>
      </c>
      <c r="AA32" t="s">
        <v>178</v>
      </c>
      <c r="AB32" s="101" t="e">
        <f ca="1">AB30*(AB30+1)/2-AB31</f>
        <v>#NAME?</v>
      </c>
      <c r="AF32" t="e">
        <f ca="1"/>
        <v>#NAME?</v>
      </c>
      <c r="AG32" s="58" t="e">
        <f ca="1"/>
        <v>#NAME?</v>
      </c>
    </row>
    <row r="33" spans="22:33" x14ac:dyDescent="0.35">
      <c r="V33" t="s">
        <v>103</v>
      </c>
      <c r="W33" s="103" t="e">
        <f ca="1">SRANK(B4:B18,W28)</f>
        <v>#NAME?</v>
      </c>
      <c r="AA33" t="s">
        <v>103</v>
      </c>
      <c r="AB33" s="103" t="e">
        <f ca="1">SRANK(B4:B18,AB28)</f>
        <v>#NAME?</v>
      </c>
      <c r="AF33" t="e">
        <f ca="1"/>
        <v>#NAME?</v>
      </c>
      <c r="AG33" s="58" t="e">
        <f ca="1"/>
        <v>#NAME?</v>
      </c>
    </row>
    <row r="34" spans="22:33" x14ac:dyDescent="0.35">
      <c r="AF34" t="e">
        <f ca="1"/>
        <v>#NAME?</v>
      </c>
      <c r="AG34" s="50" t="e">
        <f ca="1"/>
        <v>#NAME?</v>
      </c>
    </row>
    <row r="35" spans="22:33" x14ac:dyDescent="0.35">
      <c r="W35" s="194" t="s">
        <v>182</v>
      </c>
      <c r="X35" s="194" t="s">
        <v>183</v>
      </c>
      <c r="AB35" s="194" t="s">
        <v>182</v>
      </c>
      <c r="AC35" s="194" t="s">
        <v>183</v>
      </c>
      <c r="AG35" s="7"/>
    </row>
    <row r="36" spans="22:33" x14ac:dyDescent="0.35">
      <c r="V36" t="s">
        <v>2</v>
      </c>
      <c r="W36" s="168">
        <f>W30*(W30+1)/4</f>
        <v>52.5</v>
      </c>
      <c r="AA36" t="s">
        <v>2</v>
      </c>
      <c r="AB36" s="168">
        <f>AB30*(AB30+1)/4</f>
        <v>52.5</v>
      </c>
      <c r="AG36" s="7"/>
    </row>
    <row r="37" spans="22:33" x14ac:dyDescent="0.35">
      <c r="V37" t="s">
        <v>56</v>
      </c>
      <c r="W37" s="101">
        <f>SQRT(W36*(2*W30+1)/6)</f>
        <v>15.929532322073991</v>
      </c>
      <c r="AA37" t="s">
        <v>56</v>
      </c>
      <c r="AB37" s="101" t="e">
        <f ca="1">SQRT(AB36*(2*AB30+1)/6-TiesCorrection(B4:B18,AB28)/48)</f>
        <v>#NAME?</v>
      </c>
      <c r="AC37" t="s">
        <v>246</v>
      </c>
      <c r="AG37" s="7"/>
    </row>
    <row r="38" spans="22:33" x14ac:dyDescent="0.35">
      <c r="V38" t="s">
        <v>115</v>
      </c>
      <c r="W38" s="101" t="e">
        <f ca="1">ABS(ABS(W33-W36)-1/2)/W37</f>
        <v>#NAME?</v>
      </c>
      <c r="X38" t="s">
        <v>273</v>
      </c>
      <c r="AA38" t="s">
        <v>115</v>
      </c>
      <c r="AB38" s="101" t="e">
        <f ca="1">ABS(STANDARDIZE(AB33,AB36,AB37))</f>
        <v>#NAME?</v>
      </c>
    </row>
    <row r="39" spans="22:33" x14ac:dyDescent="0.35">
      <c r="V39" t="s">
        <v>111</v>
      </c>
      <c r="W39" s="101" t="e">
        <f ca="1">W38/SQRT(W29)</f>
        <v>#NAME?</v>
      </c>
      <c r="AA39" t="s">
        <v>111</v>
      </c>
      <c r="AB39" s="101" t="e">
        <f ca="1">AB38/SQRT(AB29)</f>
        <v>#NAME?</v>
      </c>
      <c r="AF39" t="s">
        <v>293</v>
      </c>
    </row>
    <row r="40" spans="22:33" x14ac:dyDescent="0.35">
      <c r="V40" t="s">
        <v>274</v>
      </c>
      <c r="W40" s="168" t="e">
        <f ca="1">1-NORMSDIST(W38)</f>
        <v>#NAME?</v>
      </c>
      <c r="X40" s="169" t="e">
        <f ca="1">2*W40</f>
        <v>#NAME?</v>
      </c>
      <c r="AA40" t="s">
        <v>274</v>
      </c>
      <c r="AB40" s="168" t="e">
        <f ca="1">1-NORMSDIST(AB38)</f>
        <v>#NAME?</v>
      </c>
      <c r="AC40" s="169" t="e">
        <f ca="1">2*AB40</f>
        <v>#NAME?</v>
      </c>
    </row>
    <row r="41" spans="22:33" x14ac:dyDescent="0.35">
      <c r="V41" t="s">
        <v>275</v>
      </c>
      <c r="W41" s="101" t="e">
        <f ca="1">SRDIST(W33,W30,1)</f>
        <v>#NAME?</v>
      </c>
      <c r="X41" s="37" t="e">
        <f ca="1">2*W41</f>
        <v>#NAME?</v>
      </c>
      <c r="AA41" t="s">
        <v>275</v>
      </c>
      <c r="AB41" s="101" t="e">
        <f ca="1">SRDIST(AB33,AB30,1)</f>
        <v>#NAME?</v>
      </c>
      <c r="AC41" s="37" t="e">
        <f ca="1">2*AB41</f>
        <v>#NAME?</v>
      </c>
      <c r="AF41" t="e">
        <f t="array" aca="1" ref="AF41:AG46" ca="1">SR_TEST(B4:B18,C4,TRUE,,FALSE,TRUE)</f>
        <v>#NAME?</v>
      </c>
      <c r="AG41" s="156" t="e">
        <f ca="1"/>
        <v>#NAME?</v>
      </c>
    </row>
    <row r="42" spans="22:33" x14ac:dyDescent="0.35">
      <c r="V42" t="s">
        <v>276</v>
      </c>
      <c r="W42" s="103" t="e">
        <f t="array" aca="1" ref="W42:X42" ca="1">TRANSPOSE(SUBMATRIX(SR_SIMUL(B4:B18,W28,TRUE,10000),3,2,2,1))</f>
        <v>#NAME?</v>
      </c>
      <c r="X42" s="105" t="e">
        <f ca="1"/>
        <v>#NAME?</v>
      </c>
      <c r="AA42" t="s">
        <v>276</v>
      </c>
      <c r="AB42" s="103" t="e">
        <f t="array" aca="1" ref="AB42:AC42" ca="1">TRANSPOSE(SUBMATRIX(SR_SIMUL(B4:B18,AB28,TRUE,10000),3,2,2,1))</f>
        <v>#NAME?</v>
      </c>
      <c r="AC42" s="105" t="e">
        <f ca="1"/>
        <v>#NAME?</v>
      </c>
      <c r="AF42" t="e">
        <f ca="1"/>
        <v>#NAME?</v>
      </c>
      <c r="AG42" s="58" t="e">
        <f ca="1"/>
        <v>#NAME?</v>
      </c>
    </row>
    <row r="43" spans="22:33" x14ac:dyDescent="0.35">
      <c r="AF43" t="e">
        <f ca="1"/>
        <v>#NAME?</v>
      </c>
      <c r="AG43" s="58" t="e">
        <f ca="1"/>
        <v>#NAME?</v>
      </c>
    </row>
    <row r="44" spans="22:33" x14ac:dyDescent="0.35">
      <c r="AF44" t="e">
        <f ca="1"/>
        <v>#NAME?</v>
      </c>
      <c r="AG44" s="58" t="e">
        <f ca="1"/>
        <v>#NAME?</v>
      </c>
    </row>
    <row r="45" spans="22:33" x14ac:dyDescent="0.35">
      <c r="AF45" t="e">
        <f ca="1"/>
        <v>#NAME?</v>
      </c>
      <c r="AG45" s="58" t="e">
        <f ca="1"/>
        <v>#NAME?</v>
      </c>
    </row>
    <row r="46" spans="22:33" x14ac:dyDescent="0.35">
      <c r="AF46" t="e">
        <f ca="1"/>
        <v>#NAME?</v>
      </c>
      <c r="AG46" s="50" t="e">
        <f ca="1"/>
        <v>#NAME?</v>
      </c>
    </row>
    <row r="47" spans="22:33" x14ac:dyDescent="0.35">
      <c r="AG47" s="7"/>
    </row>
    <row r="48" spans="22:33" x14ac:dyDescent="0.35">
      <c r="AG48" s="7"/>
    </row>
    <row r="49" spans="33:33" x14ac:dyDescent="0.35">
      <c r="AG49" s="7"/>
    </row>
  </sheetData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09"/>
  <dimension ref="A1:BM17"/>
  <sheetViews>
    <sheetView workbookViewId="0"/>
  </sheetViews>
  <sheetFormatPr defaultRowHeight="14.5" x14ac:dyDescent="0.35"/>
  <cols>
    <col min="1" max="1" width="4.81640625" customWidth="1"/>
    <col min="2" max="65" width="5.7265625" customWidth="1"/>
  </cols>
  <sheetData>
    <row r="1" spans="1:65" x14ac:dyDescent="0.35">
      <c r="A1" s="1" t="s">
        <v>221</v>
      </c>
    </row>
    <row r="3" spans="1:65" x14ac:dyDescent="0.35">
      <c r="A3" t="s">
        <v>26</v>
      </c>
      <c r="B3" s="88">
        <v>6</v>
      </c>
    </row>
    <row r="5" spans="1:65" x14ac:dyDescent="0.35">
      <c r="B5">
        <v>1</v>
      </c>
      <c r="C5">
        <f>B5+1</f>
        <v>2</v>
      </c>
      <c r="D5">
        <f t="shared" ref="D5:BM5" si="0">C5+1</f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  <c r="AH5">
        <f t="shared" si="0"/>
        <v>33</v>
      </c>
      <c r="AI5">
        <f t="shared" si="0"/>
        <v>34</v>
      </c>
      <c r="AJ5">
        <f t="shared" si="0"/>
        <v>35</v>
      </c>
      <c r="AK5">
        <f t="shared" si="0"/>
        <v>36</v>
      </c>
      <c r="AL5">
        <f t="shared" si="0"/>
        <v>37</v>
      </c>
      <c r="AM5">
        <f t="shared" si="0"/>
        <v>38</v>
      </c>
      <c r="AN5">
        <f t="shared" si="0"/>
        <v>39</v>
      </c>
      <c r="AO5">
        <f t="shared" si="0"/>
        <v>40</v>
      </c>
      <c r="AP5">
        <f t="shared" si="0"/>
        <v>41</v>
      </c>
      <c r="AQ5">
        <f t="shared" si="0"/>
        <v>42</v>
      </c>
      <c r="AR5">
        <f t="shared" si="0"/>
        <v>43</v>
      </c>
      <c r="AS5">
        <f t="shared" si="0"/>
        <v>44</v>
      </c>
      <c r="AT5">
        <f t="shared" si="0"/>
        <v>45</v>
      </c>
      <c r="AU5">
        <f t="shared" si="0"/>
        <v>46</v>
      </c>
      <c r="AV5">
        <f t="shared" si="0"/>
        <v>47</v>
      </c>
      <c r="AW5">
        <f t="shared" si="0"/>
        <v>48</v>
      </c>
      <c r="AX5">
        <f t="shared" si="0"/>
        <v>49</v>
      </c>
      <c r="AY5">
        <f t="shared" si="0"/>
        <v>50</v>
      </c>
      <c r="AZ5">
        <f t="shared" si="0"/>
        <v>51</v>
      </c>
      <c r="BA5">
        <f t="shared" si="0"/>
        <v>52</v>
      </c>
      <c r="BB5">
        <f t="shared" si="0"/>
        <v>53</v>
      </c>
      <c r="BC5">
        <f t="shared" si="0"/>
        <v>54</v>
      </c>
      <c r="BD5">
        <f t="shared" si="0"/>
        <v>55</v>
      </c>
      <c r="BE5">
        <f t="shared" si="0"/>
        <v>56</v>
      </c>
      <c r="BF5">
        <f t="shared" si="0"/>
        <v>57</v>
      </c>
      <c r="BG5">
        <f t="shared" si="0"/>
        <v>58</v>
      </c>
      <c r="BH5">
        <f t="shared" si="0"/>
        <v>59</v>
      </c>
      <c r="BI5">
        <f t="shared" si="0"/>
        <v>60</v>
      </c>
      <c r="BJ5">
        <f t="shared" si="0"/>
        <v>61</v>
      </c>
      <c r="BK5">
        <f t="shared" si="0"/>
        <v>62</v>
      </c>
      <c r="BL5">
        <f t="shared" si="0"/>
        <v>63</v>
      </c>
      <c r="BM5">
        <f t="shared" si="0"/>
        <v>64</v>
      </c>
    </row>
    <row r="6" spans="1:65" x14ac:dyDescent="0.35">
      <c r="A6">
        <v>1</v>
      </c>
      <c r="B6" s="117">
        <v>1</v>
      </c>
      <c r="C6" s="164">
        <v>1</v>
      </c>
      <c r="D6" s="164">
        <v>1</v>
      </c>
      <c r="E6" s="164">
        <v>1</v>
      </c>
      <c r="F6" s="164">
        <v>1</v>
      </c>
      <c r="G6" s="164">
        <v>1</v>
      </c>
      <c r="H6" s="164">
        <v>1</v>
      </c>
      <c r="I6" s="164">
        <v>1</v>
      </c>
      <c r="J6" s="164">
        <v>1</v>
      </c>
      <c r="K6" s="164">
        <v>1</v>
      </c>
      <c r="L6" s="164">
        <v>1</v>
      </c>
      <c r="M6" s="164">
        <v>1</v>
      </c>
      <c r="N6" s="164">
        <v>1</v>
      </c>
      <c r="O6" s="164">
        <v>1</v>
      </c>
      <c r="P6" s="164">
        <v>1</v>
      </c>
      <c r="Q6" s="164">
        <v>1</v>
      </c>
      <c r="R6" s="164">
        <v>1</v>
      </c>
      <c r="S6" s="164">
        <v>1</v>
      </c>
      <c r="T6" s="164">
        <v>1</v>
      </c>
      <c r="U6" s="164">
        <v>1</v>
      </c>
      <c r="V6" s="164">
        <v>1</v>
      </c>
      <c r="W6" s="164">
        <v>1</v>
      </c>
      <c r="X6" s="164">
        <v>1</v>
      </c>
      <c r="Y6" s="164">
        <v>1</v>
      </c>
      <c r="Z6" s="164">
        <v>1</v>
      </c>
      <c r="AA6" s="164">
        <v>1</v>
      </c>
      <c r="AB6" s="164">
        <v>1</v>
      </c>
      <c r="AC6" s="164">
        <v>1</v>
      </c>
      <c r="AD6" s="164">
        <v>1</v>
      </c>
      <c r="AE6" s="164">
        <v>1</v>
      </c>
      <c r="AF6" s="164">
        <v>1</v>
      </c>
      <c r="AG6" s="164">
        <v>1</v>
      </c>
      <c r="AH6" s="164">
        <v>0</v>
      </c>
      <c r="AI6" s="164">
        <v>0</v>
      </c>
      <c r="AJ6" s="164">
        <v>0</v>
      </c>
      <c r="AK6" s="164">
        <v>0</v>
      </c>
      <c r="AL6" s="164">
        <v>0</v>
      </c>
      <c r="AM6" s="164">
        <v>0</v>
      </c>
      <c r="AN6" s="164">
        <v>0</v>
      </c>
      <c r="AO6" s="164">
        <v>0</v>
      </c>
      <c r="AP6" s="164">
        <v>0</v>
      </c>
      <c r="AQ6" s="164">
        <v>0</v>
      </c>
      <c r="AR6" s="164">
        <v>0</v>
      </c>
      <c r="AS6" s="164">
        <v>0</v>
      </c>
      <c r="AT6" s="164">
        <v>0</v>
      </c>
      <c r="AU6" s="164">
        <v>0</v>
      </c>
      <c r="AV6" s="164">
        <v>0</v>
      </c>
      <c r="AW6" s="164">
        <v>0</v>
      </c>
      <c r="AX6" s="164">
        <v>0</v>
      </c>
      <c r="AY6" s="164">
        <v>0</v>
      </c>
      <c r="AZ6" s="164">
        <v>0</v>
      </c>
      <c r="BA6" s="164">
        <v>0</v>
      </c>
      <c r="BB6" s="164">
        <v>0</v>
      </c>
      <c r="BC6" s="164">
        <v>0</v>
      </c>
      <c r="BD6" s="164">
        <v>0</v>
      </c>
      <c r="BE6" s="164">
        <v>0</v>
      </c>
      <c r="BF6" s="164">
        <v>0</v>
      </c>
      <c r="BG6" s="164">
        <v>0</v>
      </c>
      <c r="BH6" s="164">
        <v>0</v>
      </c>
      <c r="BI6" s="164">
        <v>0</v>
      </c>
      <c r="BJ6" s="164">
        <v>0</v>
      </c>
      <c r="BK6" s="164">
        <v>0</v>
      </c>
      <c r="BL6" s="164">
        <v>0</v>
      </c>
      <c r="BM6" s="118">
        <v>0</v>
      </c>
    </row>
    <row r="7" spans="1:65" x14ac:dyDescent="0.35">
      <c r="A7">
        <f>A6+1</f>
        <v>2</v>
      </c>
      <c r="B7" s="59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60">
        <v>0</v>
      </c>
    </row>
    <row r="8" spans="1:65" x14ac:dyDescent="0.35">
      <c r="A8">
        <f>A7+1</f>
        <v>3</v>
      </c>
      <c r="B8" s="59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1</v>
      </c>
      <c r="AY8" s="7">
        <v>1</v>
      </c>
      <c r="AZ8" s="7">
        <v>1</v>
      </c>
      <c r="BA8" s="7">
        <v>1</v>
      </c>
      <c r="BB8" s="7">
        <v>1</v>
      </c>
      <c r="BC8" s="7">
        <v>1</v>
      </c>
      <c r="BD8" s="7">
        <v>1</v>
      </c>
      <c r="BE8" s="7">
        <v>1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60">
        <v>0</v>
      </c>
    </row>
    <row r="9" spans="1:65" x14ac:dyDescent="0.35">
      <c r="A9">
        <f>A8+1</f>
        <v>4</v>
      </c>
      <c r="B9" s="59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7">
        <v>1</v>
      </c>
      <c r="L9" s="7">
        <v>1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1</v>
      </c>
      <c r="T9" s="7">
        <v>1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1</v>
      </c>
      <c r="AA9" s="7">
        <v>1</v>
      </c>
      <c r="AB9" s="7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7">
        <v>1</v>
      </c>
      <c r="AJ9" s="7">
        <v>1</v>
      </c>
      <c r="AK9" s="7">
        <v>1</v>
      </c>
      <c r="AL9" s="7">
        <v>0</v>
      </c>
      <c r="AM9" s="7">
        <v>0</v>
      </c>
      <c r="AN9" s="7">
        <v>0</v>
      </c>
      <c r="AO9" s="7">
        <v>0</v>
      </c>
      <c r="AP9" s="7">
        <v>1</v>
      </c>
      <c r="AQ9" s="7">
        <v>1</v>
      </c>
      <c r="AR9" s="7">
        <v>1</v>
      </c>
      <c r="AS9" s="7">
        <v>1</v>
      </c>
      <c r="AT9" s="7">
        <v>0</v>
      </c>
      <c r="AU9" s="7">
        <v>0</v>
      </c>
      <c r="AV9" s="7">
        <v>0</v>
      </c>
      <c r="AW9" s="7">
        <v>0</v>
      </c>
      <c r="AX9" s="7">
        <v>1</v>
      </c>
      <c r="AY9" s="7">
        <v>1</v>
      </c>
      <c r="AZ9" s="7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7">
        <v>1</v>
      </c>
      <c r="BH9" s="7">
        <v>1</v>
      </c>
      <c r="BI9" s="7">
        <v>1</v>
      </c>
      <c r="BJ9" s="7">
        <v>0</v>
      </c>
      <c r="BK9" s="7">
        <v>0</v>
      </c>
      <c r="BL9" s="7">
        <v>0</v>
      </c>
      <c r="BM9" s="60">
        <v>0</v>
      </c>
    </row>
    <row r="10" spans="1:65" x14ac:dyDescent="0.35">
      <c r="A10">
        <f>A9+1</f>
        <v>5</v>
      </c>
      <c r="B10" s="59">
        <v>1</v>
      </c>
      <c r="C10" s="7">
        <v>1</v>
      </c>
      <c r="D10" s="7">
        <v>0</v>
      </c>
      <c r="E10" s="7">
        <v>0</v>
      </c>
      <c r="F10" s="7">
        <v>1</v>
      </c>
      <c r="G10" s="7">
        <v>1</v>
      </c>
      <c r="H10" s="7">
        <v>0</v>
      </c>
      <c r="I10" s="7">
        <v>0</v>
      </c>
      <c r="J10" s="7">
        <v>1</v>
      </c>
      <c r="K10" s="7">
        <v>1</v>
      </c>
      <c r="L10" s="7">
        <v>0</v>
      </c>
      <c r="M10" s="7">
        <v>0</v>
      </c>
      <c r="N10" s="7">
        <v>1</v>
      </c>
      <c r="O10" s="7">
        <v>1</v>
      </c>
      <c r="P10" s="7">
        <v>0</v>
      </c>
      <c r="Q10" s="7">
        <v>0</v>
      </c>
      <c r="R10" s="7">
        <v>1</v>
      </c>
      <c r="S10" s="7">
        <v>1</v>
      </c>
      <c r="T10" s="7">
        <v>0</v>
      </c>
      <c r="U10" s="7">
        <v>0</v>
      </c>
      <c r="V10" s="7">
        <v>1</v>
      </c>
      <c r="W10" s="7">
        <v>1</v>
      </c>
      <c r="X10" s="7">
        <v>0</v>
      </c>
      <c r="Y10" s="7">
        <v>0</v>
      </c>
      <c r="Z10" s="7">
        <v>1</v>
      </c>
      <c r="AA10" s="7">
        <v>1</v>
      </c>
      <c r="AB10" s="7">
        <v>0</v>
      </c>
      <c r="AC10" s="7">
        <v>0</v>
      </c>
      <c r="AD10" s="7">
        <v>1</v>
      </c>
      <c r="AE10" s="7">
        <v>1</v>
      </c>
      <c r="AF10" s="7">
        <v>0</v>
      </c>
      <c r="AG10" s="7">
        <v>0</v>
      </c>
      <c r="AH10" s="7">
        <v>1</v>
      </c>
      <c r="AI10" s="7">
        <v>1</v>
      </c>
      <c r="AJ10" s="7">
        <v>0</v>
      </c>
      <c r="AK10" s="7">
        <v>0</v>
      </c>
      <c r="AL10" s="7">
        <v>1</v>
      </c>
      <c r="AM10" s="7">
        <v>1</v>
      </c>
      <c r="AN10" s="7">
        <v>0</v>
      </c>
      <c r="AO10" s="7">
        <v>0</v>
      </c>
      <c r="AP10" s="7">
        <v>1</v>
      </c>
      <c r="AQ10" s="7">
        <v>1</v>
      </c>
      <c r="AR10" s="7">
        <v>0</v>
      </c>
      <c r="AS10" s="7">
        <v>0</v>
      </c>
      <c r="AT10" s="7">
        <v>1</v>
      </c>
      <c r="AU10" s="7">
        <v>1</v>
      </c>
      <c r="AV10" s="7">
        <v>0</v>
      </c>
      <c r="AW10" s="7">
        <v>0</v>
      </c>
      <c r="AX10" s="7">
        <v>1</v>
      </c>
      <c r="AY10" s="7">
        <v>1</v>
      </c>
      <c r="AZ10" s="7">
        <v>0</v>
      </c>
      <c r="BA10" s="7">
        <v>0</v>
      </c>
      <c r="BB10" s="7">
        <v>1</v>
      </c>
      <c r="BC10" s="7">
        <v>1</v>
      </c>
      <c r="BD10" s="7">
        <v>0</v>
      </c>
      <c r="BE10" s="7">
        <v>0</v>
      </c>
      <c r="BF10" s="7">
        <v>1</v>
      </c>
      <c r="BG10" s="7">
        <v>1</v>
      </c>
      <c r="BH10" s="7">
        <v>0</v>
      </c>
      <c r="BI10" s="7">
        <v>0</v>
      </c>
      <c r="BJ10" s="7">
        <v>1</v>
      </c>
      <c r="BK10" s="7">
        <v>1</v>
      </c>
      <c r="BL10" s="7">
        <v>0</v>
      </c>
      <c r="BM10" s="60">
        <v>0</v>
      </c>
    </row>
    <row r="11" spans="1:65" x14ac:dyDescent="0.35">
      <c r="A11">
        <f>A10+1</f>
        <v>6</v>
      </c>
      <c r="B11" s="45">
        <v>1</v>
      </c>
      <c r="C11" s="106">
        <v>0</v>
      </c>
      <c r="D11" s="106">
        <v>1</v>
      </c>
      <c r="E11" s="106">
        <v>0</v>
      </c>
      <c r="F11" s="106">
        <v>1</v>
      </c>
      <c r="G11" s="106">
        <v>0</v>
      </c>
      <c r="H11" s="106">
        <v>1</v>
      </c>
      <c r="I11" s="106">
        <v>0</v>
      </c>
      <c r="J11" s="106">
        <v>1</v>
      </c>
      <c r="K11" s="106">
        <v>0</v>
      </c>
      <c r="L11" s="106">
        <v>1</v>
      </c>
      <c r="M11" s="106">
        <v>0</v>
      </c>
      <c r="N11" s="106">
        <v>1</v>
      </c>
      <c r="O11" s="106">
        <v>0</v>
      </c>
      <c r="P11" s="106">
        <v>1</v>
      </c>
      <c r="Q11" s="106">
        <v>0</v>
      </c>
      <c r="R11" s="106">
        <v>1</v>
      </c>
      <c r="S11" s="106">
        <v>0</v>
      </c>
      <c r="T11" s="106">
        <v>1</v>
      </c>
      <c r="U11" s="106">
        <v>0</v>
      </c>
      <c r="V11" s="106">
        <v>1</v>
      </c>
      <c r="W11" s="106">
        <v>0</v>
      </c>
      <c r="X11" s="106">
        <v>1</v>
      </c>
      <c r="Y11" s="106">
        <v>0</v>
      </c>
      <c r="Z11" s="106">
        <v>1</v>
      </c>
      <c r="AA11" s="106">
        <v>0</v>
      </c>
      <c r="AB11" s="106">
        <v>1</v>
      </c>
      <c r="AC11" s="106">
        <v>0</v>
      </c>
      <c r="AD11" s="106">
        <v>1</v>
      </c>
      <c r="AE11" s="106">
        <v>0</v>
      </c>
      <c r="AF11" s="106">
        <v>1</v>
      </c>
      <c r="AG11" s="106">
        <v>0</v>
      </c>
      <c r="AH11" s="106">
        <v>1</v>
      </c>
      <c r="AI11" s="106">
        <v>0</v>
      </c>
      <c r="AJ11" s="106">
        <v>1</v>
      </c>
      <c r="AK11" s="106">
        <v>0</v>
      </c>
      <c r="AL11" s="106">
        <v>1</v>
      </c>
      <c r="AM11" s="106">
        <v>0</v>
      </c>
      <c r="AN11" s="106">
        <v>1</v>
      </c>
      <c r="AO11" s="106">
        <v>0</v>
      </c>
      <c r="AP11" s="106">
        <v>1</v>
      </c>
      <c r="AQ11" s="106">
        <v>0</v>
      </c>
      <c r="AR11" s="106">
        <v>1</v>
      </c>
      <c r="AS11" s="106">
        <v>0</v>
      </c>
      <c r="AT11" s="106">
        <v>1</v>
      </c>
      <c r="AU11" s="106">
        <v>0</v>
      </c>
      <c r="AV11" s="106">
        <v>1</v>
      </c>
      <c r="AW11" s="106">
        <v>0</v>
      </c>
      <c r="AX11" s="106">
        <v>1</v>
      </c>
      <c r="AY11" s="106">
        <v>0</v>
      </c>
      <c r="AZ11" s="106">
        <v>1</v>
      </c>
      <c r="BA11" s="106">
        <v>0</v>
      </c>
      <c r="BB11" s="106">
        <v>1</v>
      </c>
      <c r="BC11" s="106">
        <v>0</v>
      </c>
      <c r="BD11" s="106">
        <v>1</v>
      </c>
      <c r="BE11" s="106">
        <v>0</v>
      </c>
      <c r="BF11" s="106">
        <v>1</v>
      </c>
      <c r="BG11" s="106">
        <v>0</v>
      </c>
      <c r="BH11" s="106">
        <v>1</v>
      </c>
      <c r="BI11" s="106">
        <v>0</v>
      </c>
      <c r="BJ11" s="106">
        <v>1</v>
      </c>
      <c r="BK11" s="106">
        <v>0</v>
      </c>
      <c r="BL11" s="106">
        <v>1</v>
      </c>
      <c r="BM11" s="48">
        <v>0</v>
      </c>
    </row>
    <row r="12" spans="1:65" x14ac:dyDescent="0.35">
      <c r="B12">
        <f>SUMPRODUCT($A6:$A11,B6:B11)</f>
        <v>21</v>
      </c>
      <c r="C12">
        <f t="shared" ref="C12:BM12" si="1">SUMPRODUCT($A6:$A11,C6:C11)</f>
        <v>15</v>
      </c>
      <c r="D12">
        <f t="shared" si="1"/>
        <v>16</v>
      </c>
      <c r="E12">
        <f t="shared" si="1"/>
        <v>10</v>
      </c>
      <c r="F12">
        <f t="shared" si="1"/>
        <v>17</v>
      </c>
      <c r="G12">
        <f t="shared" si="1"/>
        <v>11</v>
      </c>
      <c r="H12">
        <f t="shared" si="1"/>
        <v>12</v>
      </c>
      <c r="I12">
        <f t="shared" si="1"/>
        <v>6</v>
      </c>
      <c r="J12">
        <f t="shared" si="1"/>
        <v>18</v>
      </c>
      <c r="K12">
        <f t="shared" si="1"/>
        <v>12</v>
      </c>
      <c r="L12">
        <f t="shared" si="1"/>
        <v>13</v>
      </c>
      <c r="M12">
        <f t="shared" si="1"/>
        <v>7</v>
      </c>
      <c r="N12">
        <f t="shared" si="1"/>
        <v>14</v>
      </c>
      <c r="O12">
        <f t="shared" si="1"/>
        <v>8</v>
      </c>
      <c r="P12">
        <f t="shared" si="1"/>
        <v>9</v>
      </c>
      <c r="Q12">
        <f t="shared" si="1"/>
        <v>3</v>
      </c>
      <c r="R12">
        <f t="shared" si="1"/>
        <v>19</v>
      </c>
      <c r="S12">
        <f t="shared" si="1"/>
        <v>13</v>
      </c>
      <c r="T12">
        <f t="shared" si="1"/>
        <v>14</v>
      </c>
      <c r="U12">
        <f t="shared" si="1"/>
        <v>8</v>
      </c>
      <c r="V12">
        <f t="shared" si="1"/>
        <v>15</v>
      </c>
      <c r="W12">
        <f t="shared" si="1"/>
        <v>9</v>
      </c>
      <c r="X12">
        <f t="shared" si="1"/>
        <v>10</v>
      </c>
      <c r="Y12">
        <f t="shared" si="1"/>
        <v>4</v>
      </c>
      <c r="Z12">
        <f t="shared" si="1"/>
        <v>16</v>
      </c>
      <c r="AA12">
        <f t="shared" si="1"/>
        <v>10</v>
      </c>
      <c r="AB12">
        <f t="shared" si="1"/>
        <v>11</v>
      </c>
      <c r="AC12">
        <f t="shared" si="1"/>
        <v>5</v>
      </c>
      <c r="AD12">
        <f t="shared" si="1"/>
        <v>12</v>
      </c>
      <c r="AE12">
        <f t="shared" si="1"/>
        <v>6</v>
      </c>
      <c r="AF12">
        <f t="shared" si="1"/>
        <v>7</v>
      </c>
      <c r="AG12">
        <f t="shared" si="1"/>
        <v>1</v>
      </c>
      <c r="AH12">
        <f t="shared" si="1"/>
        <v>20</v>
      </c>
      <c r="AI12">
        <f t="shared" si="1"/>
        <v>14</v>
      </c>
      <c r="AJ12">
        <f t="shared" si="1"/>
        <v>15</v>
      </c>
      <c r="AK12">
        <f t="shared" si="1"/>
        <v>9</v>
      </c>
      <c r="AL12">
        <f t="shared" si="1"/>
        <v>16</v>
      </c>
      <c r="AM12">
        <f t="shared" si="1"/>
        <v>10</v>
      </c>
      <c r="AN12">
        <f t="shared" si="1"/>
        <v>11</v>
      </c>
      <c r="AO12">
        <f t="shared" si="1"/>
        <v>5</v>
      </c>
      <c r="AP12">
        <f t="shared" si="1"/>
        <v>17</v>
      </c>
      <c r="AQ12">
        <f t="shared" si="1"/>
        <v>11</v>
      </c>
      <c r="AR12">
        <f t="shared" si="1"/>
        <v>12</v>
      </c>
      <c r="AS12">
        <f t="shared" si="1"/>
        <v>6</v>
      </c>
      <c r="AT12">
        <f t="shared" si="1"/>
        <v>13</v>
      </c>
      <c r="AU12">
        <f t="shared" si="1"/>
        <v>7</v>
      </c>
      <c r="AV12">
        <f t="shared" si="1"/>
        <v>8</v>
      </c>
      <c r="AW12">
        <f t="shared" si="1"/>
        <v>2</v>
      </c>
      <c r="AX12">
        <f t="shared" si="1"/>
        <v>18</v>
      </c>
      <c r="AY12">
        <f t="shared" si="1"/>
        <v>12</v>
      </c>
      <c r="AZ12">
        <f t="shared" si="1"/>
        <v>13</v>
      </c>
      <c r="BA12">
        <f t="shared" si="1"/>
        <v>7</v>
      </c>
      <c r="BB12">
        <f t="shared" si="1"/>
        <v>14</v>
      </c>
      <c r="BC12">
        <f t="shared" si="1"/>
        <v>8</v>
      </c>
      <c r="BD12">
        <f t="shared" si="1"/>
        <v>9</v>
      </c>
      <c r="BE12">
        <f t="shared" si="1"/>
        <v>3</v>
      </c>
      <c r="BF12">
        <f t="shared" si="1"/>
        <v>15</v>
      </c>
      <c r="BG12">
        <f t="shared" si="1"/>
        <v>9</v>
      </c>
      <c r="BH12">
        <f t="shared" si="1"/>
        <v>10</v>
      </c>
      <c r="BI12">
        <f t="shared" si="1"/>
        <v>4</v>
      </c>
      <c r="BJ12">
        <f t="shared" si="1"/>
        <v>11</v>
      </c>
      <c r="BK12">
        <f t="shared" si="1"/>
        <v>5</v>
      </c>
      <c r="BL12">
        <f t="shared" si="1"/>
        <v>6</v>
      </c>
      <c r="BM12">
        <f t="shared" si="1"/>
        <v>0</v>
      </c>
    </row>
    <row r="14" spans="1:65" x14ac:dyDescent="0.35">
      <c r="A14" s="12" t="s">
        <v>177</v>
      </c>
      <c r="B14">
        <v>0</v>
      </c>
      <c r="C14">
        <f>B14+1</f>
        <v>1</v>
      </c>
      <c r="D14">
        <f t="shared" ref="D14:W14" si="2">C14+1</f>
        <v>2</v>
      </c>
      <c r="E14">
        <f t="shared" si="2"/>
        <v>3</v>
      </c>
      <c r="F14">
        <f t="shared" si="2"/>
        <v>4</v>
      </c>
      <c r="G14">
        <f t="shared" si="2"/>
        <v>5</v>
      </c>
      <c r="H14">
        <f t="shared" si="2"/>
        <v>6</v>
      </c>
      <c r="I14">
        <f t="shared" si="2"/>
        <v>7</v>
      </c>
      <c r="J14">
        <f t="shared" si="2"/>
        <v>8</v>
      </c>
      <c r="K14">
        <f t="shared" si="2"/>
        <v>9</v>
      </c>
      <c r="L14">
        <f t="shared" si="2"/>
        <v>10</v>
      </c>
      <c r="M14">
        <f t="shared" si="2"/>
        <v>11</v>
      </c>
      <c r="N14">
        <f t="shared" si="2"/>
        <v>12</v>
      </c>
      <c r="O14">
        <f t="shared" si="2"/>
        <v>13</v>
      </c>
      <c r="P14">
        <f t="shared" si="2"/>
        <v>14</v>
      </c>
      <c r="Q14">
        <f t="shared" si="2"/>
        <v>15</v>
      </c>
      <c r="R14">
        <f t="shared" si="2"/>
        <v>16</v>
      </c>
      <c r="S14">
        <f t="shared" si="2"/>
        <v>17</v>
      </c>
      <c r="T14">
        <f t="shared" si="2"/>
        <v>18</v>
      </c>
      <c r="U14">
        <f t="shared" si="2"/>
        <v>19</v>
      </c>
      <c r="V14">
        <f t="shared" si="2"/>
        <v>20</v>
      </c>
      <c r="W14">
        <f t="shared" si="2"/>
        <v>21</v>
      </c>
    </row>
    <row r="15" spans="1:65" x14ac:dyDescent="0.35">
      <c r="A15" s="12" t="s">
        <v>23</v>
      </c>
      <c r="B15" s="117">
        <f>COUNTIF($B12:$BM12,B14)</f>
        <v>1</v>
      </c>
      <c r="C15" s="164">
        <f t="shared" ref="C15:W15" si="3">COUNTIF($B12:$BM12,C14)</f>
        <v>1</v>
      </c>
      <c r="D15" s="164">
        <f t="shared" si="3"/>
        <v>1</v>
      </c>
      <c r="E15" s="164">
        <f t="shared" si="3"/>
        <v>2</v>
      </c>
      <c r="F15" s="164">
        <f t="shared" si="3"/>
        <v>2</v>
      </c>
      <c r="G15" s="164">
        <f t="shared" si="3"/>
        <v>3</v>
      </c>
      <c r="H15" s="164">
        <f t="shared" si="3"/>
        <v>4</v>
      </c>
      <c r="I15" s="164">
        <f t="shared" si="3"/>
        <v>4</v>
      </c>
      <c r="J15" s="164">
        <f>COUNTIF($B12:$BM12,J14)</f>
        <v>4</v>
      </c>
      <c r="K15" s="164">
        <f t="shared" si="3"/>
        <v>5</v>
      </c>
      <c r="L15" s="164">
        <f t="shared" si="3"/>
        <v>5</v>
      </c>
      <c r="M15" s="164">
        <f t="shared" si="3"/>
        <v>5</v>
      </c>
      <c r="N15" s="164">
        <f t="shared" si="3"/>
        <v>5</v>
      </c>
      <c r="O15" s="164">
        <f t="shared" si="3"/>
        <v>4</v>
      </c>
      <c r="P15" s="164">
        <f t="shared" si="3"/>
        <v>4</v>
      </c>
      <c r="Q15" s="164">
        <f t="shared" si="3"/>
        <v>4</v>
      </c>
      <c r="R15" s="164">
        <f t="shared" si="3"/>
        <v>3</v>
      </c>
      <c r="S15" s="164">
        <f t="shared" si="3"/>
        <v>2</v>
      </c>
      <c r="T15" s="164">
        <f t="shared" si="3"/>
        <v>2</v>
      </c>
      <c r="U15" s="164">
        <f t="shared" si="3"/>
        <v>1</v>
      </c>
      <c r="V15" s="164">
        <f t="shared" si="3"/>
        <v>1</v>
      </c>
      <c r="W15" s="118">
        <f t="shared" si="3"/>
        <v>1</v>
      </c>
      <c r="X15" s="23">
        <f>SUM(B15:W15)</f>
        <v>64</v>
      </c>
    </row>
    <row r="16" spans="1:65" x14ac:dyDescent="0.35">
      <c r="A16" s="12" t="s">
        <v>114</v>
      </c>
      <c r="B16" s="59">
        <f>B15/$X15</f>
        <v>1.5625E-2</v>
      </c>
      <c r="C16" s="7">
        <f t="shared" ref="C16:W16" si="4">C15/$X15</f>
        <v>1.5625E-2</v>
      </c>
      <c r="D16" s="7">
        <f t="shared" si="4"/>
        <v>1.5625E-2</v>
      </c>
      <c r="E16" s="7">
        <f t="shared" si="4"/>
        <v>3.125E-2</v>
      </c>
      <c r="F16" s="7">
        <f t="shared" si="4"/>
        <v>3.125E-2</v>
      </c>
      <c r="G16" s="7">
        <f t="shared" si="4"/>
        <v>4.6875E-2</v>
      </c>
      <c r="H16" s="7">
        <f t="shared" si="4"/>
        <v>6.25E-2</v>
      </c>
      <c r="I16" s="7">
        <f t="shared" si="4"/>
        <v>6.25E-2</v>
      </c>
      <c r="J16" s="7">
        <f t="shared" si="4"/>
        <v>6.25E-2</v>
      </c>
      <c r="K16" s="7">
        <f t="shared" si="4"/>
        <v>7.8125E-2</v>
      </c>
      <c r="L16" s="7">
        <f t="shared" si="4"/>
        <v>7.8125E-2</v>
      </c>
      <c r="M16" s="7">
        <f t="shared" si="4"/>
        <v>7.8125E-2</v>
      </c>
      <c r="N16" s="7">
        <f t="shared" si="4"/>
        <v>7.8125E-2</v>
      </c>
      <c r="O16" s="7">
        <f t="shared" si="4"/>
        <v>6.25E-2</v>
      </c>
      <c r="P16" s="7">
        <f t="shared" si="4"/>
        <v>6.25E-2</v>
      </c>
      <c r="Q16" s="7">
        <f t="shared" si="4"/>
        <v>6.25E-2</v>
      </c>
      <c r="R16" s="7">
        <f t="shared" si="4"/>
        <v>4.6875E-2</v>
      </c>
      <c r="S16" s="7">
        <f t="shared" si="4"/>
        <v>3.125E-2</v>
      </c>
      <c r="T16" s="7">
        <f t="shared" si="4"/>
        <v>3.125E-2</v>
      </c>
      <c r="U16" s="7">
        <f t="shared" si="4"/>
        <v>1.5625E-2</v>
      </c>
      <c r="V16" s="7">
        <f t="shared" si="4"/>
        <v>1.5625E-2</v>
      </c>
      <c r="W16" s="60">
        <f t="shared" si="4"/>
        <v>1.5625E-2</v>
      </c>
    </row>
    <row r="17" spans="1:23" x14ac:dyDescent="0.35">
      <c r="A17" s="20" t="s">
        <v>186</v>
      </c>
      <c r="B17" s="45">
        <f>B16</f>
        <v>1.5625E-2</v>
      </c>
      <c r="C17" s="106">
        <f>B17+C16</f>
        <v>3.125E-2</v>
      </c>
      <c r="D17" s="106">
        <f t="shared" ref="D17:W17" si="5">C17+D16</f>
        <v>4.6875E-2</v>
      </c>
      <c r="E17" s="106">
        <f t="shared" si="5"/>
        <v>7.8125E-2</v>
      </c>
      <c r="F17" s="106">
        <f t="shared" si="5"/>
        <v>0.109375</v>
      </c>
      <c r="G17" s="106">
        <f t="shared" si="5"/>
        <v>0.15625</v>
      </c>
      <c r="H17" s="106">
        <f t="shared" si="5"/>
        <v>0.21875</v>
      </c>
      <c r="I17" s="106">
        <f t="shared" si="5"/>
        <v>0.28125</v>
      </c>
      <c r="J17" s="106">
        <f t="shared" si="5"/>
        <v>0.34375</v>
      </c>
      <c r="K17" s="106">
        <f t="shared" si="5"/>
        <v>0.421875</v>
      </c>
      <c r="L17" s="106">
        <f t="shared" si="5"/>
        <v>0.5</v>
      </c>
      <c r="M17" s="106">
        <f t="shared" si="5"/>
        <v>0.578125</v>
      </c>
      <c r="N17" s="106">
        <f t="shared" si="5"/>
        <v>0.65625</v>
      </c>
      <c r="O17" s="106">
        <f t="shared" si="5"/>
        <v>0.71875</v>
      </c>
      <c r="P17" s="106">
        <f t="shared" si="5"/>
        <v>0.78125</v>
      </c>
      <c r="Q17" s="106">
        <f t="shared" si="5"/>
        <v>0.84375</v>
      </c>
      <c r="R17" s="106">
        <f t="shared" si="5"/>
        <v>0.890625</v>
      </c>
      <c r="S17" s="106">
        <f t="shared" si="5"/>
        <v>0.921875</v>
      </c>
      <c r="T17" s="106">
        <f t="shared" si="5"/>
        <v>0.953125</v>
      </c>
      <c r="U17" s="106">
        <f t="shared" si="5"/>
        <v>0.96875</v>
      </c>
      <c r="V17" s="106">
        <f t="shared" si="5"/>
        <v>0.984375</v>
      </c>
      <c r="W17" s="48">
        <f t="shared" si="5"/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10"/>
  <dimension ref="A1:K11"/>
  <sheetViews>
    <sheetView workbookViewId="0"/>
  </sheetViews>
  <sheetFormatPr defaultRowHeight="14.5" x14ac:dyDescent="0.35"/>
  <sheetData>
    <row r="1" spans="1:11" x14ac:dyDescent="0.35">
      <c r="A1" s="1" t="s">
        <v>222</v>
      </c>
    </row>
    <row r="3" spans="1:11" x14ac:dyDescent="0.35">
      <c r="A3" s="204" t="s">
        <v>42</v>
      </c>
      <c r="B3" s="204" t="s">
        <v>116</v>
      </c>
      <c r="C3" s="204" t="s">
        <v>5</v>
      </c>
      <c r="D3" s="160" t="s">
        <v>109</v>
      </c>
      <c r="E3" s="188" t="s">
        <v>133</v>
      </c>
      <c r="F3" s="160" t="s">
        <v>99</v>
      </c>
      <c r="G3" s="160" t="s">
        <v>147</v>
      </c>
      <c r="H3" s="160" t="s">
        <v>146</v>
      </c>
      <c r="J3" t="e">
        <f t="array" aca="1" ref="J3:K9" ca="1">SRANK_TEST(B3:B10,C4,TRUE,2)</f>
        <v>#NAME?</v>
      </c>
      <c r="K3" s="156" t="e">
        <f ca="1"/>
        <v>#NAME?</v>
      </c>
    </row>
    <row r="4" spans="1:11" x14ac:dyDescent="0.35">
      <c r="A4" s="72">
        <v>1</v>
      </c>
      <c r="B4" s="179">
        <v>48</v>
      </c>
      <c r="C4" s="161">
        <v>30</v>
      </c>
      <c r="D4" s="184">
        <f>B4-C4</f>
        <v>18</v>
      </c>
      <c r="E4" s="152">
        <f>IF(D4=0,"",ABS(D4))</f>
        <v>18</v>
      </c>
      <c r="F4" s="161" t="e">
        <f ca="1">IF(D4&lt;&gt;0,RANK_AVG(E4,$E$4:$E$10,1),"")</f>
        <v>#NAME?</v>
      </c>
      <c r="G4" s="161" t="e">
        <f ca="1">IF(D4&gt;0,F4,"")</f>
        <v>#NAME?</v>
      </c>
      <c r="H4" s="161" t="str">
        <f>IF(D4&lt;0,F4,"")</f>
        <v/>
      </c>
      <c r="J4" t="e">
        <f ca="1"/>
        <v>#NAME?</v>
      </c>
      <c r="K4" s="58" t="e">
        <f ca="1"/>
        <v>#NAME?</v>
      </c>
    </row>
    <row r="5" spans="1:11" x14ac:dyDescent="0.35">
      <c r="A5" s="72">
        <f t="shared" ref="A5:A10" si="0">A4+1</f>
        <v>2</v>
      </c>
      <c r="B5" s="179">
        <v>10</v>
      </c>
      <c r="C5" s="161">
        <v>30</v>
      </c>
      <c r="D5" s="184">
        <f t="shared" ref="D5:D10" si="1">B5-C5</f>
        <v>-20</v>
      </c>
      <c r="E5" s="61">
        <f t="shared" ref="E5:E10" si="2">IF(D5=0,"",ABS(D5))</f>
        <v>20</v>
      </c>
      <c r="F5" s="161" t="e">
        <f ca="1">IF(D5&lt;&gt;0,RANK_AVG(E5,$E$4:$E$10,1),"")</f>
        <v>#NAME?</v>
      </c>
      <c r="G5" s="161" t="str">
        <f t="shared" ref="G5:G10" si="3">IF(D5&gt;0,F5,"")</f>
        <v/>
      </c>
      <c r="H5" s="161" t="e">
        <f t="shared" ref="H5:H10" ca="1" si="4">IF(D5&lt;0,F5,"")</f>
        <v>#NAME?</v>
      </c>
      <c r="J5" t="e">
        <f ca="1"/>
        <v>#NAME?</v>
      </c>
      <c r="K5" s="58" t="e">
        <f ca="1"/>
        <v>#NAME?</v>
      </c>
    </row>
    <row r="6" spans="1:11" x14ac:dyDescent="0.35">
      <c r="A6" s="72">
        <f t="shared" si="0"/>
        <v>3</v>
      </c>
      <c r="B6" s="179">
        <v>15</v>
      </c>
      <c r="C6" s="161">
        <v>30</v>
      </c>
      <c r="D6" s="184">
        <f t="shared" si="1"/>
        <v>-15</v>
      </c>
      <c r="E6" s="61">
        <f t="shared" si="2"/>
        <v>15</v>
      </c>
      <c r="F6" s="161" t="e">
        <f ca="1">IF(D6&lt;&gt;0,RANK_AVG(E6,$E$4:$E$10,1),"")</f>
        <v>#NAME?</v>
      </c>
      <c r="G6" s="161" t="str">
        <f t="shared" si="3"/>
        <v/>
      </c>
      <c r="H6" s="161" t="e">
        <f t="shared" ca="1" si="4"/>
        <v>#NAME?</v>
      </c>
      <c r="J6" t="e">
        <f ca="1"/>
        <v>#NAME?</v>
      </c>
      <c r="K6" s="58" t="e">
        <f ca="1"/>
        <v>#NAME?</v>
      </c>
    </row>
    <row r="7" spans="1:11" x14ac:dyDescent="0.35">
      <c r="A7" s="72">
        <f t="shared" si="0"/>
        <v>4</v>
      </c>
      <c r="B7" s="179">
        <v>4</v>
      </c>
      <c r="C7" s="161">
        <v>30</v>
      </c>
      <c r="D7" s="184">
        <f t="shared" si="1"/>
        <v>-26</v>
      </c>
      <c r="E7" s="61">
        <f t="shared" si="2"/>
        <v>26</v>
      </c>
      <c r="F7" s="161" t="e">
        <f ca="1">IF(D7&lt;&gt;0,RANK_AVG(E7,$E$4:$E$10,1),"")</f>
        <v>#NAME?</v>
      </c>
      <c r="G7" s="161" t="str">
        <f t="shared" si="3"/>
        <v/>
      </c>
      <c r="H7" s="161" t="e">
        <f t="shared" ca="1" si="4"/>
        <v>#NAME?</v>
      </c>
      <c r="J7" t="e">
        <f ca="1"/>
        <v>#NAME?</v>
      </c>
      <c r="K7" s="58" t="e">
        <f ca="1"/>
        <v>#NAME?</v>
      </c>
    </row>
    <row r="8" spans="1:11" x14ac:dyDescent="0.35">
      <c r="A8" s="72">
        <f t="shared" si="0"/>
        <v>5</v>
      </c>
      <c r="B8" s="179">
        <v>44</v>
      </c>
      <c r="C8" s="161">
        <v>30</v>
      </c>
      <c r="D8" s="184">
        <f t="shared" si="1"/>
        <v>14</v>
      </c>
      <c r="E8" s="61">
        <f t="shared" si="2"/>
        <v>14</v>
      </c>
      <c r="F8" s="161" t="e">
        <f ca="1">IF(D8&lt;&gt;0,RANK_AVG(E8,$E$4:$E$10,1),"")</f>
        <v>#NAME?</v>
      </c>
      <c r="G8" s="161" t="e">
        <f t="shared" ca="1" si="3"/>
        <v>#NAME?</v>
      </c>
      <c r="H8" s="161" t="str">
        <f t="shared" si="4"/>
        <v/>
      </c>
      <c r="J8" t="e">
        <f ca="1"/>
        <v>#NAME?</v>
      </c>
      <c r="K8" s="58" t="e">
        <f ca="1"/>
        <v>#NAME?</v>
      </c>
    </row>
    <row r="9" spans="1:11" x14ac:dyDescent="0.35">
      <c r="A9" s="72">
        <f t="shared" si="0"/>
        <v>6</v>
      </c>
      <c r="B9" s="179">
        <v>30</v>
      </c>
      <c r="C9" s="161">
        <v>30</v>
      </c>
      <c r="D9" s="184">
        <f t="shared" si="1"/>
        <v>0</v>
      </c>
      <c r="E9" s="61" t="str">
        <f t="shared" si="2"/>
        <v/>
      </c>
      <c r="F9" s="161" t="str">
        <f>IF(D9&lt;&gt;0,RANK_AVG(E9,$E$4:$E$10,1),"")</f>
        <v/>
      </c>
      <c r="G9" s="161" t="str">
        <f t="shared" si="3"/>
        <v/>
      </c>
      <c r="H9" s="161" t="str">
        <f t="shared" si="4"/>
        <v/>
      </c>
      <c r="J9" t="e">
        <f ca="1"/>
        <v>#NAME?</v>
      </c>
      <c r="K9" s="50" t="e">
        <f ca="1"/>
        <v>#NAME?</v>
      </c>
    </row>
    <row r="10" spans="1:11" x14ac:dyDescent="0.35">
      <c r="A10" s="180">
        <f t="shared" si="0"/>
        <v>7</v>
      </c>
      <c r="B10" s="187">
        <v>25</v>
      </c>
      <c r="C10" s="192">
        <v>30</v>
      </c>
      <c r="D10" s="185">
        <f t="shared" si="1"/>
        <v>-5</v>
      </c>
      <c r="E10" s="52">
        <f t="shared" si="2"/>
        <v>5</v>
      </c>
      <c r="F10" s="192" t="e">
        <f ca="1">IF(D10&lt;&gt;0,RANK_AVG(E10,$E$4:$E$10,1),"")</f>
        <v>#NAME?</v>
      </c>
      <c r="G10" s="192" t="str">
        <f t="shared" si="3"/>
        <v/>
      </c>
      <c r="H10" s="192" t="e">
        <f t="shared" ca="1" si="4"/>
        <v>#NAME?</v>
      </c>
    </row>
    <row r="11" spans="1:11" x14ac:dyDescent="0.35">
      <c r="F11" s="194"/>
      <c r="G11" s="193" t="e">
        <f ca="1">SUM(G4:G10)</f>
        <v>#NAME?</v>
      </c>
      <c r="H11" s="193" t="e">
        <f ca="1">SUM(H4:H10)</f>
        <v>#NAME?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11"/>
  <dimension ref="A1:AH22"/>
  <sheetViews>
    <sheetView workbookViewId="0"/>
  </sheetViews>
  <sheetFormatPr defaultRowHeight="14.5" x14ac:dyDescent="0.35"/>
  <cols>
    <col min="1" max="1" width="3.54296875" customWidth="1"/>
    <col min="2" max="23" width="4" customWidth="1"/>
    <col min="25" max="27" width="6" customWidth="1"/>
  </cols>
  <sheetData>
    <row r="1" spans="1:34" x14ac:dyDescent="0.35">
      <c r="A1" s="1" t="s">
        <v>291</v>
      </c>
    </row>
    <row r="3" spans="1:34" x14ac:dyDescent="0.35">
      <c r="A3" s="159" t="s">
        <v>26</v>
      </c>
      <c r="C3" s="158">
        <v>-5</v>
      </c>
      <c r="D3" s="158">
        <v>-4</v>
      </c>
      <c r="E3" s="158">
        <v>-3</v>
      </c>
      <c r="F3" s="158">
        <f>E3+1</f>
        <v>-2</v>
      </c>
      <c r="G3" s="158">
        <f>F3+1</f>
        <v>-1</v>
      </c>
      <c r="H3" s="158">
        <v>0</v>
      </c>
      <c r="I3" s="158">
        <f>H3+1</f>
        <v>1</v>
      </c>
      <c r="J3" s="158">
        <f t="shared" ref="J3:W3" si="0">I3+1</f>
        <v>2</v>
      </c>
      <c r="K3" s="158">
        <f t="shared" si="0"/>
        <v>3</v>
      </c>
      <c r="L3" s="158">
        <f t="shared" si="0"/>
        <v>4</v>
      </c>
      <c r="M3" s="158">
        <f t="shared" si="0"/>
        <v>5</v>
      </c>
      <c r="N3" s="158">
        <f t="shared" si="0"/>
        <v>6</v>
      </c>
      <c r="O3" s="158">
        <f t="shared" si="0"/>
        <v>7</v>
      </c>
      <c r="P3" s="158">
        <f t="shared" si="0"/>
        <v>8</v>
      </c>
      <c r="Q3" s="158">
        <f t="shared" si="0"/>
        <v>9</v>
      </c>
      <c r="R3" s="158">
        <f t="shared" si="0"/>
        <v>10</v>
      </c>
      <c r="S3" s="158">
        <f t="shared" si="0"/>
        <v>11</v>
      </c>
      <c r="T3" s="158">
        <f t="shared" si="0"/>
        <v>12</v>
      </c>
      <c r="U3" s="158">
        <f t="shared" si="0"/>
        <v>13</v>
      </c>
      <c r="V3" s="158">
        <f t="shared" si="0"/>
        <v>14</v>
      </c>
      <c r="W3" s="158">
        <f t="shared" si="0"/>
        <v>15</v>
      </c>
      <c r="Y3" s="159" t="s">
        <v>103</v>
      </c>
      <c r="Z3" s="159" t="s">
        <v>23</v>
      </c>
      <c r="AA3" s="159" t="s">
        <v>186</v>
      </c>
      <c r="AB3" s="159" t="s">
        <v>240</v>
      </c>
      <c r="AD3" s="208" t="s">
        <v>23</v>
      </c>
      <c r="AE3" s="208" t="s">
        <v>240</v>
      </c>
      <c r="AG3" s="208" t="s">
        <v>240</v>
      </c>
      <c r="AH3" s="208" t="s">
        <v>240</v>
      </c>
    </row>
    <row r="4" spans="1:34" x14ac:dyDescent="0.35">
      <c r="A4" s="19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f t="array" ref="Z4:Z19">TRANSPOSE(H8:W8)</f>
        <v>1</v>
      </c>
      <c r="AA4">
        <f>Z4</f>
        <v>1</v>
      </c>
      <c r="AB4">
        <f>AA4/AA$19</f>
        <v>3.125E-2</v>
      </c>
      <c r="AD4" s="194" t="e">
        <f t="array" aca="1" ref="AD4:AD19" ca="1">PERM_DIST(5,FALSE)</f>
        <v>#NAME?</v>
      </c>
      <c r="AE4" t="e">
        <f t="array" aca="1" ref="AE4:AE19" ca="1">PERM_DIST(5)</f>
        <v>#NAME?</v>
      </c>
      <c r="AG4" t="e">
        <f ca="1">PERMDIST(Y4,5)</f>
        <v>#NAME?</v>
      </c>
      <c r="AH4" t="e">
        <f ca="1">SRDIST(Y4,5,2)</f>
        <v>#NAME?</v>
      </c>
    </row>
    <row r="5" spans="1:34" x14ac:dyDescent="0.35">
      <c r="A5" s="194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f>F4+H4</f>
        <v>1</v>
      </c>
      <c r="I5">
        <f t="shared" ref="I5:W5" si="1">G4+I4</f>
        <v>1</v>
      </c>
      <c r="J5">
        <f t="shared" si="1"/>
        <v>1</v>
      </c>
      <c r="K5">
        <f t="shared" si="1"/>
        <v>1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Y5">
        <f>Y4+1</f>
        <v>1</v>
      </c>
      <c r="Z5">
        <v>1</v>
      </c>
      <c r="AA5">
        <f>AA4+Z5</f>
        <v>2</v>
      </c>
      <c r="AB5">
        <f t="shared" ref="AB5:AB19" si="2">AA5/AA$19</f>
        <v>6.25E-2</v>
      </c>
      <c r="AD5" s="194" t="e">
        <f ca="1"/>
        <v>#NAME?</v>
      </c>
      <c r="AE5" t="e">
        <f ca="1"/>
        <v>#NAME?</v>
      </c>
      <c r="AG5" t="e">
        <f ca="1">PERMDIST(Y5,5)</f>
        <v>#NAME?</v>
      </c>
      <c r="AH5" t="e">
        <f ca="1">SRDIST(Y5,5,2)</f>
        <v>#NAME?</v>
      </c>
    </row>
    <row r="6" spans="1:34" x14ac:dyDescent="0.35">
      <c r="A6" s="194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f>E5+H5</f>
        <v>1</v>
      </c>
      <c r="I6">
        <f t="shared" ref="I6:W6" si="3">F5+I5</f>
        <v>1</v>
      </c>
      <c r="J6">
        <f t="shared" si="3"/>
        <v>1</v>
      </c>
      <c r="K6">
        <f t="shared" si="3"/>
        <v>2</v>
      </c>
      <c r="L6">
        <f t="shared" si="3"/>
        <v>1</v>
      </c>
      <c r="M6">
        <f t="shared" si="3"/>
        <v>1</v>
      </c>
      <c r="N6">
        <f t="shared" si="3"/>
        <v>1</v>
      </c>
      <c r="O6">
        <f t="shared" si="3"/>
        <v>0</v>
      </c>
      <c r="P6">
        <f t="shared" si="3"/>
        <v>0</v>
      </c>
      <c r="Q6">
        <f t="shared" si="3"/>
        <v>0</v>
      </c>
      <c r="R6">
        <f t="shared" si="3"/>
        <v>0</v>
      </c>
      <c r="S6">
        <f t="shared" si="3"/>
        <v>0</v>
      </c>
      <c r="T6">
        <f t="shared" si="3"/>
        <v>0</v>
      </c>
      <c r="U6">
        <f t="shared" si="3"/>
        <v>0</v>
      </c>
      <c r="V6">
        <f t="shared" si="3"/>
        <v>0</v>
      </c>
      <c r="W6">
        <f t="shared" si="3"/>
        <v>0</v>
      </c>
      <c r="Y6">
        <f t="shared" ref="Y6:Y19" si="4">Y5+1</f>
        <v>2</v>
      </c>
      <c r="Z6">
        <v>1</v>
      </c>
      <c r="AA6">
        <f t="shared" ref="AA6:AA19" si="5">AA5+Z6</f>
        <v>3</v>
      </c>
      <c r="AB6">
        <f t="shared" si="2"/>
        <v>9.375E-2</v>
      </c>
      <c r="AD6" s="194" t="e">
        <f ca="1"/>
        <v>#NAME?</v>
      </c>
      <c r="AE6" t="e">
        <f ca="1"/>
        <v>#NAME?</v>
      </c>
      <c r="AG6" t="e">
        <f ca="1">PERMDIST(Y6,5)</f>
        <v>#NAME?</v>
      </c>
      <c r="AH6" t="e">
        <f ca="1">SRDIST(Y6,5,2)</f>
        <v>#NAME?</v>
      </c>
    </row>
    <row r="7" spans="1:34" x14ac:dyDescent="0.35">
      <c r="A7" s="194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f>D6+H6</f>
        <v>1</v>
      </c>
      <c r="I7">
        <f t="shared" ref="I7:W7" si="6">E6+I6</f>
        <v>1</v>
      </c>
      <c r="J7">
        <f t="shared" si="6"/>
        <v>1</v>
      </c>
      <c r="K7">
        <f t="shared" si="6"/>
        <v>2</v>
      </c>
      <c r="L7">
        <f t="shared" si="6"/>
        <v>2</v>
      </c>
      <c r="M7">
        <f t="shared" si="6"/>
        <v>2</v>
      </c>
      <c r="N7">
        <f t="shared" si="6"/>
        <v>2</v>
      </c>
      <c r="O7">
        <f t="shared" si="6"/>
        <v>2</v>
      </c>
      <c r="P7">
        <f t="shared" si="6"/>
        <v>1</v>
      </c>
      <c r="Q7">
        <f t="shared" si="6"/>
        <v>1</v>
      </c>
      <c r="R7">
        <f t="shared" si="6"/>
        <v>1</v>
      </c>
      <c r="S7">
        <f t="shared" si="6"/>
        <v>0</v>
      </c>
      <c r="T7">
        <f t="shared" si="6"/>
        <v>0</v>
      </c>
      <c r="U7">
        <f t="shared" si="6"/>
        <v>0</v>
      </c>
      <c r="V7">
        <f t="shared" si="6"/>
        <v>0</v>
      </c>
      <c r="W7">
        <f t="shared" si="6"/>
        <v>0</v>
      </c>
      <c r="Y7">
        <f t="shared" si="4"/>
        <v>3</v>
      </c>
      <c r="Z7">
        <v>2</v>
      </c>
      <c r="AA7">
        <f t="shared" si="5"/>
        <v>5</v>
      </c>
      <c r="AB7">
        <f t="shared" si="2"/>
        <v>0.15625</v>
      </c>
      <c r="AD7" s="194" t="e">
        <f ca="1"/>
        <v>#NAME?</v>
      </c>
      <c r="AE7" t="e">
        <f ca="1"/>
        <v>#NAME?</v>
      </c>
      <c r="AG7" t="e">
        <f ca="1">PERMDIST(Y7,5)</f>
        <v>#NAME?</v>
      </c>
      <c r="AH7" t="e">
        <f ca="1">SRDIST(Y7,5,2)</f>
        <v>#NAME?</v>
      </c>
    </row>
    <row r="8" spans="1:34" x14ac:dyDescent="0.35">
      <c r="A8" s="192">
        <v>5</v>
      </c>
      <c r="C8" s="106">
        <v>0</v>
      </c>
      <c r="D8" s="106">
        <v>0</v>
      </c>
      <c r="E8" s="106">
        <v>0</v>
      </c>
      <c r="F8" s="106">
        <v>0</v>
      </c>
      <c r="G8" s="106">
        <v>0</v>
      </c>
      <c r="H8" s="106">
        <f>H7+C7</f>
        <v>1</v>
      </c>
      <c r="I8" s="106">
        <f t="shared" ref="I8:W8" si="7">I7+D7</f>
        <v>1</v>
      </c>
      <c r="J8" s="106">
        <f t="shared" si="7"/>
        <v>1</v>
      </c>
      <c r="K8" s="106">
        <f t="shared" si="7"/>
        <v>2</v>
      </c>
      <c r="L8" s="106">
        <f t="shared" si="7"/>
        <v>2</v>
      </c>
      <c r="M8" s="106">
        <f t="shared" si="7"/>
        <v>3</v>
      </c>
      <c r="N8" s="106">
        <f t="shared" si="7"/>
        <v>3</v>
      </c>
      <c r="O8" s="106">
        <f t="shared" si="7"/>
        <v>3</v>
      </c>
      <c r="P8" s="106">
        <f t="shared" si="7"/>
        <v>3</v>
      </c>
      <c r="Q8" s="106">
        <f t="shared" si="7"/>
        <v>3</v>
      </c>
      <c r="R8" s="106">
        <f t="shared" si="7"/>
        <v>3</v>
      </c>
      <c r="S8" s="106">
        <f t="shared" si="7"/>
        <v>2</v>
      </c>
      <c r="T8" s="106">
        <f t="shared" si="7"/>
        <v>2</v>
      </c>
      <c r="U8" s="106">
        <f t="shared" si="7"/>
        <v>1</v>
      </c>
      <c r="V8" s="106">
        <f t="shared" si="7"/>
        <v>1</v>
      </c>
      <c r="W8" s="106">
        <f t="shared" si="7"/>
        <v>1</v>
      </c>
      <c r="Y8">
        <f t="shared" si="4"/>
        <v>4</v>
      </c>
      <c r="Z8">
        <v>2</v>
      </c>
      <c r="AA8">
        <f t="shared" si="5"/>
        <v>7</v>
      </c>
      <c r="AB8">
        <f t="shared" si="2"/>
        <v>0.21875</v>
      </c>
      <c r="AD8" s="194" t="e">
        <f ca="1"/>
        <v>#NAME?</v>
      </c>
      <c r="AE8" t="e">
        <f ca="1"/>
        <v>#NAME?</v>
      </c>
      <c r="AG8" t="e">
        <f ca="1">PERMDIST(Y8,5)</f>
        <v>#NAME?</v>
      </c>
      <c r="AH8" t="e">
        <f ca="1">SRDIST(Y8,5,2)</f>
        <v>#NAME?</v>
      </c>
    </row>
    <row r="9" spans="1:34" x14ac:dyDescent="0.35">
      <c r="A9" s="16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Y9">
        <f t="shared" si="4"/>
        <v>5</v>
      </c>
      <c r="Z9">
        <v>3</v>
      </c>
      <c r="AA9">
        <f t="shared" si="5"/>
        <v>10</v>
      </c>
      <c r="AB9">
        <f t="shared" si="2"/>
        <v>0.3125</v>
      </c>
      <c r="AD9" s="194" t="e">
        <f ca="1"/>
        <v>#NAME?</v>
      </c>
      <c r="AE9" t="e">
        <f ca="1"/>
        <v>#NAME?</v>
      </c>
      <c r="AG9" t="e">
        <f ca="1">PERMDIST(Y9,5)</f>
        <v>#NAME?</v>
      </c>
      <c r="AH9" t="e">
        <f ca="1">SRDIST(Y9,5,2)</f>
        <v>#NAME?</v>
      </c>
    </row>
    <row r="10" spans="1:34" x14ac:dyDescent="0.35">
      <c r="A10" s="159" t="s">
        <v>26</v>
      </c>
      <c r="C10" s="158">
        <v>-5</v>
      </c>
      <c r="D10" s="158">
        <v>-4</v>
      </c>
      <c r="E10" s="158">
        <v>-3</v>
      </c>
      <c r="F10" s="158">
        <f>E10+1</f>
        <v>-2</v>
      </c>
      <c r="G10" s="158">
        <f>F10+1</f>
        <v>-1</v>
      </c>
      <c r="H10" s="158">
        <v>0</v>
      </c>
      <c r="I10" s="158">
        <f>H10+1</f>
        <v>1</v>
      </c>
      <c r="J10" s="158">
        <f t="shared" ref="J10:W10" si="8">I10+1</f>
        <v>2</v>
      </c>
      <c r="K10" s="158">
        <f t="shared" si="8"/>
        <v>3</v>
      </c>
      <c r="L10" s="158">
        <f t="shared" si="8"/>
        <v>4</v>
      </c>
      <c r="M10" s="158">
        <f t="shared" si="8"/>
        <v>5</v>
      </c>
      <c r="N10" s="158">
        <f t="shared" si="8"/>
        <v>6</v>
      </c>
      <c r="O10" s="158">
        <f t="shared" si="8"/>
        <v>7</v>
      </c>
      <c r="P10" s="158">
        <f t="shared" si="8"/>
        <v>8</v>
      </c>
      <c r="Q10" s="158">
        <f t="shared" si="8"/>
        <v>9</v>
      </c>
      <c r="R10" s="158">
        <f t="shared" si="8"/>
        <v>10</v>
      </c>
      <c r="S10" s="158">
        <f t="shared" si="8"/>
        <v>11</v>
      </c>
      <c r="T10" s="158">
        <f t="shared" si="8"/>
        <v>12</v>
      </c>
      <c r="U10" s="158">
        <f t="shared" si="8"/>
        <v>13</v>
      </c>
      <c r="V10" s="158">
        <f t="shared" si="8"/>
        <v>14</v>
      </c>
      <c r="W10" s="158">
        <f t="shared" si="8"/>
        <v>15</v>
      </c>
      <c r="Y10">
        <f t="shared" si="4"/>
        <v>6</v>
      </c>
      <c r="Z10">
        <v>3</v>
      </c>
      <c r="AA10">
        <f t="shared" si="5"/>
        <v>13</v>
      </c>
      <c r="AB10">
        <f t="shared" si="2"/>
        <v>0.40625</v>
      </c>
      <c r="AD10" s="194" t="e">
        <f ca="1"/>
        <v>#NAME?</v>
      </c>
      <c r="AE10" t="e">
        <f ca="1"/>
        <v>#NAME?</v>
      </c>
      <c r="AG10" t="e">
        <f ca="1">PERMDIST(Y10,5)</f>
        <v>#NAME?</v>
      </c>
      <c r="AH10" t="e">
        <f ca="1">SRDIST(Y10,5,2)</f>
        <v>#NAME?</v>
      </c>
    </row>
    <row r="11" spans="1:34" x14ac:dyDescent="0.35">
      <c r="A11" s="194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f t="shared" si="4"/>
        <v>7</v>
      </c>
      <c r="Z11">
        <v>3</v>
      </c>
      <c r="AA11">
        <f t="shared" si="5"/>
        <v>16</v>
      </c>
      <c r="AB11">
        <f t="shared" si="2"/>
        <v>0.5</v>
      </c>
      <c r="AD11" s="194" t="e">
        <f ca="1"/>
        <v>#NAME?</v>
      </c>
      <c r="AE11" t="e">
        <f ca="1"/>
        <v>#NAME?</v>
      </c>
      <c r="AG11" t="e">
        <f ca="1">PERMDIST(Y11,5)</f>
        <v>#NAME?</v>
      </c>
      <c r="AH11" t="e">
        <f ca="1">SRDIST(Y11,5,2)</f>
        <v>#NAME?</v>
      </c>
    </row>
    <row r="12" spans="1:34" x14ac:dyDescent="0.35">
      <c r="A12" s="194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f ca="1">H11+OFFSET(H11,0,-$A12)</f>
        <v>1</v>
      </c>
      <c r="I12">
        <f t="shared" ref="I12:W15" ca="1" si="9">I11+OFFSET(I11,0,-$A12)</f>
        <v>1</v>
      </c>
      <c r="J12">
        <f t="shared" ca="1" si="9"/>
        <v>1</v>
      </c>
      <c r="K12">
        <f t="shared" ca="1" si="9"/>
        <v>1</v>
      </c>
      <c r="L12">
        <f t="shared" ca="1" si="9"/>
        <v>0</v>
      </c>
      <c r="M12">
        <f t="shared" ca="1" si="9"/>
        <v>0</v>
      </c>
      <c r="N12">
        <f t="shared" ca="1" si="9"/>
        <v>0</v>
      </c>
      <c r="O12">
        <f t="shared" ca="1" si="9"/>
        <v>0</v>
      </c>
      <c r="P12">
        <f t="shared" ca="1" si="9"/>
        <v>0</v>
      </c>
      <c r="Q12">
        <f t="shared" ca="1" si="9"/>
        <v>0</v>
      </c>
      <c r="R12">
        <f t="shared" ca="1" si="9"/>
        <v>0</v>
      </c>
      <c r="S12">
        <f t="shared" ca="1" si="9"/>
        <v>0</v>
      </c>
      <c r="T12">
        <f t="shared" ca="1" si="9"/>
        <v>0</v>
      </c>
      <c r="U12">
        <f t="shared" ca="1" si="9"/>
        <v>0</v>
      </c>
      <c r="V12">
        <f t="shared" ca="1" si="9"/>
        <v>0</v>
      </c>
      <c r="W12">
        <f t="shared" ca="1" si="9"/>
        <v>0</v>
      </c>
      <c r="Y12">
        <f t="shared" si="4"/>
        <v>8</v>
      </c>
      <c r="Z12">
        <v>3</v>
      </c>
      <c r="AA12">
        <f t="shared" si="5"/>
        <v>19</v>
      </c>
      <c r="AB12">
        <f t="shared" si="2"/>
        <v>0.59375</v>
      </c>
      <c r="AD12" s="194" t="e">
        <f ca="1"/>
        <v>#NAME?</v>
      </c>
      <c r="AE12" t="e">
        <f ca="1"/>
        <v>#NAME?</v>
      </c>
      <c r="AG12" t="e">
        <f ca="1">PERMDIST(Y12,5)</f>
        <v>#NAME?</v>
      </c>
      <c r="AH12" t="e">
        <f ca="1">SRDIST(Y12,5,2)</f>
        <v>#NAME?</v>
      </c>
    </row>
    <row r="13" spans="1:34" x14ac:dyDescent="0.35">
      <c r="A13" s="194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H15" ca="1" si="10">H12+OFFSET(H12,0,-$A13)</f>
        <v>1</v>
      </c>
      <c r="I13">
        <f t="shared" ca="1" si="9"/>
        <v>1</v>
      </c>
      <c r="J13">
        <f t="shared" ca="1" si="9"/>
        <v>1</v>
      </c>
      <c r="K13">
        <f t="shared" ca="1" si="9"/>
        <v>2</v>
      </c>
      <c r="L13">
        <f t="shared" ca="1" si="9"/>
        <v>1</v>
      </c>
      <c r="M13">
        <f t="shared" ca="1" si="9"/>
        <v>1</v>
      </c>
      <c r="N13">
        <f t="shared" ca="1" si="9"/>
        <v>1</v>
      </c>
      <c r="O13">
        <f t="shared" ca="1" si="9"/>
        <v>0</v>
      </c>
      <c r="P13">
        <f t="shared" ca="1" si="9"/>
        <v>0</v>
      </c>
      <c r="Q13">
        <f t="shared" ca="1" si="9"/>
        <v>0</v>
      </c>
      <c r="R13">
        <f t="shared" ca="1" si="9"/>
        <v>0</v>
      </c>
      <c r="S13">
        <f t="shared" ca="1" si="9"/>
        <v>0</v>
      </c>
      <c r="T13">
        <f t="shared" ca="1" si="9"/>
        <v>0</v>
      </c>
      <c r="U13">
        <f t="shared" ca="1" si="9"/>
        <v>0</v>
      </c>
      <c r="V13">
        <f t="shared" ca="1" si="9"/>
        <v>0</v>
      </c>
      <c r="W13">
        <f t="shared" ca="1" si="9"/>
        <v>0</v>
      </c>
      <c r="Y13">
        <f t="shared" si="4"/>
        <v>9</v>
      </c>
      <c r="Z13">
        <v>3</v>
      </c>
      <c r="AA13">
        <f t="shared" si="5"/>
        <v>22</v>
      </c>
      <c r="AB13">
        <f t="shared" si="2"/>
        <v>0.6875</v>
      </c>
      <c r="AD13" s="194" t="e">
        <f ca="1"/>
        <v>#NAME?</v>
      </c>
      <c r="AE13" t="e">
        <f ca="1"/>
        <v>#NAME?</v>
      </c>
      <c r="AG13" t="e">
        <f ca="1">PERMDIST(Y13,5)</f>
        <v>#NAME?</v>
      </c>
      <c r="AH13" t="e">
        <f ca="1">SRDIST(Y13,5,2)</f>
        <v>#NAME?</v>
      </c>
    </row>
    <row r="14" spans="1:34" x14ac:dyDescent="0.35">
      <c r="A14" s="19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ca="1" si="10"/>
        <v>1</v>
      </c>
      <c r="I14">
        <f t="shared" ca="1" si="9"/>
        <v>1</v>
      </c>
      <c r="J14">
        <f t="shared" ca="1" si="9"/>
        <v>1</v>
      </c>
      <c r="K14">
        <f t="shared" ca="1" si="9"/>
        <v>2</v>
      </c>
      <c r="L14">
        <f t="shared" ca="1" si="9"/>
        <v>2</v>
      </c>
      <c r="M14">
        <f t="shared" ca="1" si="9"/>
        <v>2</v>
      </c>
      <c r="N14">
        <f t="shared" ca="1" si="9"/>
        <v>2</v>
      </c>
      <c r="O14">
        <f t="shared" ca="1" si="9"/>
        <v>2</v>
      </c>
      <c r="P14">
        <f t="shared" ca="1" si="9"/>
        <v>1</v>
      </c>
      <c r="Q14">
        <f t="shared" ca="1" si="9"/>
        <v>1</v>
      </c>
      <c r="R14">
        <f t="shared" ca="1" si="9"/>
        <v>1</v>
      </c>
      <c r="S14">
        <f t="shared" ca="1" si="9"/>
        <v>0</v>
      </c>
      <c r="T14">
        <f t="shared" ca="1" si="9"/>
        <v>0</v>
      </c>
      <c r="U14">
        <f t="shared" ca="1" si="9"/>
        <v>0</v>
      </c>
      <c r="V14">
        <f t="shared" ca="1" si="9"/>
        <v>0</v>
      </c>
      <c r="W14">
        <f t="shared" ca="1" si="9"/>
        <v>0</v>
      </c>
      <c r="Y14">
        <f t="shared" si="4"/>
        <v>10</v>
      </c>
      <c r="Z14">
        <v>3</v>
      </c>
      <c r="AA14">
        <f t="shared" si="5"/>
        <v>25</v>
      </c>
      <c r="AB14">
        <f t="shared" si="2"/>
        <v>0.78125</v>
      </c>
      <c r="AD14" s="194" t="e">
        <f ca="1"/>
        <v>#NAME?</v>
      </c>
      <c r="AE14" t="e">
        <f ca="1"/>
        <v>#NAME?</v>
      </c>
      <c r="AG14" t="e">
        <f ca="1">PERMDIST(Y14,5)</f>
        <v>#NAME?</v>
      </c>
      <c r="AH14" t="e">
        <f ca="1">SRDIST(Y14,5,2)</f>
        <v>#NAME?</v>
      </c>
    </row>
    <row r="15" spans="1:34" x14ac:dyDescent="0.35">
      <c r="A15" s="192">
        <v>5</v>
      </c>
      <c r="C15" s="106">
        <v>0</v>
      </c>
      <c r="D15" s="106">
        <v>0</v>
      </c>
      <c r="E15" s="106">
        <v>0</v>
      </c>
      <c r="F15" s="106">
        <v>0</v>
      </c>
      <c r="G15" s="106">
        <v>0</v>
      </c>
      <c r="H15" s="106">
        <f t="shared" ca="1" si="10"/>
        <v>1</v>
      </c>
      <c r="I15" s="106">
        <f t="shared" ca="1" si="9"/>
        <v>1</v>
      </c>
      <c r="J15" s="106">
        <f t="shared" ca="1" si="9"/>
        <v>1</v>
      </c>
      <c r="K15" s="106">
        <f t="shared" ca="1" si="9"/>
        <v>2</v>
      </c>
      <c r="L15" s="106">
        <f t="shared" ca="1" si="9"/>
        <v>2</v>
      </c>
      <c r="M15" s="106">
        <f t="shared" ca="1" si="9"/>
        <v>3</v>
      </c>
      <c r="N15" s="106">
        <f t="shared" ca="1" si="9"/>
        <v>3</v>
      </c>
      <c r="O15" s="106">
        <f t="shared" ca="1" si="9"/>
        <v>3</v>
      </c>
      <c r="P15" s="106">
        <f t="shared" ca="1" si="9"/>
        <v>3</v>
      </c>
      <c r="Q15" s="106">
        <f t="shared" ca="1" si="9"/>
        <v>3</v>
      </c>
      <c r="R15" s="106">
        <f t="shared" ca="1" si="9"/>
        <v>3</v>
      </c>
      <c r="S15" s="106">
        <f t="shared" ca="1" si="9"/>
        <v>2</v>
      </c>
      <c r="T15" s="106">
        <f t="shared" ca="1" si="9"/>
        <v>2</v>
      </c>
      <c r="U15" s="106">
        <f t="shared" ca="1" si="9"/>
        <v>1</v>
      </c>
      <c r="V15" s="106">
        <f t="shared" ca="1" si="9"/>
        <v>1</v>
      </c>
      <c r="W15" s="106">
        <f t="shared" ca="1" si="9"/>
        <v>1</v>
      </c>
      <c r="Y15">
        <f t="shared" si="4"/>
        <v>11</v>
      </c>
      <c r="Z15">
        <v>2</v>
      </c>
      <c r="AA15">
        <f t="shared" si="5"/>
        <v>27</v>
      </c>
      <c r="AB15">
        <f t="shared" si="2"/>
        <v>0.84375</v>
      </c>
      <c r="AD15" s="194" t="e">
        <f ca="1"/>
        <v>#NAME?</v>
      </c>
      <c r="AE15" t="e">
        <f ca="1"/>
        <v>#NAME?</v>
      </c>
      <c r="AG15" t="e">
        <f ca="1">PERMDIST(Y15,5)</f>
        <v>#NAME?</v>
      </c>
      <c r="AH15" t="e">
        <f ca="1">SRDIST(Y15,5,2)</f>
        <v>#NAME?</v>
      </c>
    </row>
    <row r="16" spans="1:34" x14ac:dyDescent="0.35">
      <c r="Y16">
        <f t="shared" si="4"/>
        <v>12</v>
      </c>
      <c r="Z16">
        <v>2</v>
      </c>
      <c r="AA16">
        <f t="shared" si="5"/>
        <v>29</v>
      </c>
      <c r="AB16">
        <f t="shared" si="2"/>
        <v>0.90625</v>
      </c>
      <c r="AD16" s="194" t="e">
        <f ca="1"/>
        <v>#NAME?</v>
      </c>
      <c r="AE16" t="e">
        <f ca="1"/>
        <v>#NAME?</v>
      </c>
      <c r="AG16" t="e">
        <f ca="1">PERMDIST(Y16,5)</f>
        <v>#NAME?</v>
      </c>
      <c r="AH16" t="e">
        <f ca="1">SRDIST(Y16,5,2)</f>
        <v>#NAME?</v>
      </c>
    </row>
    <row r="17" spans="25:34" x14ac:dyDescent="0.35">
      <c r="Y17">
        <f t="shared" si="4"/>
        <v>13</v>
      </c>
      <c r="Z17">
        <v>1</v>
      </c>
      <c r="AA17">
        <f t="shared" si="5"/>
        <v>30</v>
      </c>
      <c r="AB17">
        <f t="shared" si="2"/>
        <v>0.9375</v>
      </c>
      <c r="AD17" s="194" t="e">
        <f ca="1"/>
        <v>#NAME?</v>
      </c>
      <c r="AE17" t="e">
        <f ca="1"/>
        <v>#NAME?</v>
      </c>
      <c r="AG17" t="e">
        <f ca="1">PERMDIST(Y17,5)</f>
        <v>#NAME?</v>
      </c>
      <c r="AH17" t="e">
        <f ca="1">SRDIST(Y17,5,2)</f>
        <v>#NAME?</v>
      </c>
    </row>
    <row r="18" spans="25:34" x14ac:dyDescent="0.35">
      <c r="Y18">
        <f t="shared" si="4"/>
        <v>14</v>
      </c>
      <c r="Z18">
        <v>1</v>
      </c>
      <c r="AA18">
        <f t="shared" si="5"/>
        <v>31</v>
      </c>
      <c r="AB18">
        <f t="shared" si="2"/>
        <v>0.96875</v>
      </c>
      <c r="AD18" s="194" t="e">
        <f ca="1"/>
        <v>#NAME?</v>
      </c>
      <c r="AE18" t="e">
        <f ca="1"/>
        <v>#NAME?</v>
      </c>
      <c r="AG18" t="e">
        <f ca="1">PERMDIST(Y18,5)</f>
        <v>#NAME?</v>
      </c>
      <c r="AH18" t="e">
        <f ca="1">SRDIST(Y18,5,2)</f>
        <v>#NAME?</v>
      </c>
    </row>
    <row r="19" spans="25:34" x14ac:dyDescent="0.35">
      <c r="Y19" s="106">
        <f t="shared" si="4"/>
        <v>15</v>
      </c>
      <c r="Z19" s="106">
        <v>1</v>
      </c>
      <c r="AA19" s="106">
        <f t="shared" si="5"/>
        <v>32</v>
      </c>
      <c r="AB19" s="106">
        <f t="shared" si="2"/>
        <v>1</v>
      </c>
      <c r="AD19" s="192" t="e">
        <f ca="1"/>
        <v>#NAME?</v>
      </c>
      <c r="AE19" s="106" t="e">
        <f ca="1"/>
        <v>#NAME?</v>
      </c>
      <c r="AG19" s="106" t="e">
        <f ca="1">PERMDIST(Y19,5)</f>
        <v>#NAME?</v>
      </c>
      <c r="AH19" s="106" t="e">
        <f ca="1">SRDIST(Y19,5,2)</f>
        <v>#NAME?</v>
      </c>
    </row>
    <row r="21" spans="25:34" x14ac:dyDescent="0.35">
      <c r="AD21" t="e">
        <f ca="1">FTEXT(AD19)</f>
        <v>#NAME?</v>
      </c>
      <c r="AG21" t="e">
        <f ca="1">FTEXT(AG14)</f>
        <v>#NAME?</v>
      </c>
    </row>
    <row r="22" spans="25:34" x14ac:dyDescent="0.35">
      <c r="AE22" t="e">
        <f ca="1">FTEXT(AE18)</f>
        <v>#NAME?</v>
      </c>
      <c r="AH22" t="e">
        <f ca="1">FTEXT(AH8)</f>
        <v>#NAME?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2"/>
  <dimension ref="A1:U14"/>
  <sheetViews>
    <sheetView workbookViewId="0"/>
  </sheetViews>
  <sheetFormatPr defaultRowHeight="14.5" x14ac:dyDescent="0.35"/>
  <cols>
    <col min="1" max="4" width="6.1796875" customWidth="1"/>
    <col min="5" max="5" width="5.26953125" customWidth="1"/>
    <col min="10" max="10" width="4.81640625" customWidth="1"/>
    <col min="15" max="15" width="3.26953125" customWidth="1"/>
  </cols>
  <sheetData>
    <row r="1" spans="1:21" x14ac:dyDescent="0.35">
      <c r="A1" s="1" t="s">
        <v>313</v>
      </c>
      <c r="B1" s="1"/>
    </row>
    <row r="3" spans="1:21" x14ac:dyDescent="0.35">
      <c r="A3" s="212" t="s">
        <v>314</v>
      </c>
      <c r="B3" s="212" t="s">
        <v>315</v>
      </c>
      <c r="C3" s="212" t="s">
        <v>316</v>
      </c>
      <c r="D3" s="212" t="s">
        <v>317</v>
      </c>
      <c r="F3" t="s">
        <v>318</v>
      </c>
      <c r="K3" t="s">
        <v>319</v>
      </c>
      <c r="P3" t="s">
        <v>320</v>
      </c>
    </row>
    <row r="4" spans="1:21" ht="15" thickBot="1" x14ac:dyDescent="0.4">
      <c r="A4" s="212">
        <v>61</v>
      </c>
      <c r="B4" s="212">
        <v>75</v>
      </c>
      <c r="C4" s="212">
        <v>82</v>
      </c>
      <c r="D4" s="212">
        <v>79</v>
      </c>
    </row>
    <row r="5" spans="1:21" ht="15" thickTop="1" x14ac:dyDescent="0.35">
      <c r="A5" s="161">
        <v>80</v>
      </c>
      <c r="B5" s="161">
        <v>80</v>
      </c>
      <c r="C5" s="161">
        <v>108</v>
      </c>
      <c r="D5" s="161">
        <v>95</v>
      </c>
      <c r="F5" s="110" t="s">
        <v>308</v>
      </c>
      <c r="G5" s="110" t="s">
        <v>309</v>
      </c>
      <c r="H5" s="110" t="s">
        <v>48</v>
      </c>
      <c r="I5" s="110" t="s">
        <v>2</v>
      </c>
      <c r="K5" s="110" t="s">
        <v>308</v>
      </c>
      <c r="L5" s="110" t="s">
        <v>309</v>
      </c>
      <c r="M5" s="110" t="s">
        <v>48</v>
      </c>
      <c r="N5" s="110" t="s">
        <v>2</v>
      </c>
      <c r="P5" t="s">
        <v>30</v>
      </c>
      <c r="Q5" s="168">
        <v>0.05</v>
      </c>
    </row>
    <row r="6" spans="1:21" x14ac:dyDescent="0.35">
      <c r="A6" s="161">
        <v>73</v>
      </c>
      <c r="B6" s="161">
        <v>64</v>
      </c>
      <c r="C6" s="161">
        <v>92</v>
      </c>
      <c r="D6" s="161">
        <v>74</v>
      </c>
      <c r="F6" s="211" t="str">
        <f>A3</f>
        <v>T1</v>
      </c>
      <c r="G6" s="211" t="str">
        <f>B3</f>
        <v>T2</v>
      </c>
      <c r="H6" t="e">
        <f ca="1">SRTEST(A4:A10,B4:B10)</f>
        <v>#NAME?</v>
      </c>
      <c r="I6">
        <f>ABS(AVERAGE(A4:A10)-AVERAGE(B4:B10))</f>
        <v>3.5714285714285765</v>
      </c>
      <c r="K6" s="211" t="str">
        <f>A3</f>
        <v>T1</v>
      </c>
      <c r="L6" s="211" t="str">
        <f>B3</f>
        <v>T2</v>
      </c>
      <c r="M6" t="e">
        <f ca="1">SR_EXACT(A4:A10,B4:B10)</f>
        <v>#NAME?</v>
      </c>
      <c r="N6">
        <f>ABS(AVERAGE(A4:A10)-AVERAGE(B4:B10))</f>
        <v>3.5714285714285765</v>
      </c>
      <c r="P6" t="s">
        <v>311</v>
      </c>
      <c r="Q6" s="103">
        <f ca="1">COUNT(R9:R14)</f>
        <v>0</v>
      </c>
    </row>
    <row r="7" spans="1:21" ht="15" thickBot="1" x14ac:dyDescent="0.4">
      <c r="A7" s="161">
        <v>57</v>
      </c>
      <c r="B7" s="161">
        <v>66</v>
      </c>
      <c r="C7" s="161">
        <v>80</v>
      </c>
      <c r="D7" s="161">
        <v>115</v>
      </c>
      <c r="F7" s="211" t="str">
        <f>A3</f>
        <v>T1</v>
      </c>
      <c r="G7" s="211" t="str">
        <f>C3</f>
        <v>T3</v>
      </c>
      <c r="H7" t="e">
        <f ca="1">SRTEST(A4:A10,C4:C10)</f>
        <v>#NAME?</v>
      </c>
      <c r="I7">
        <f>ABS(AVERAGE(A4:A10)-AVERAGE(C4:C10))</f>
        <v>15.714285714285708</v>
      </c>
      <c r="K7" s="211" t="str">
        <f>A3</f>
        <v>T1</v>
      </c>
      <c r="L7" s="211" t="str">
        <f>C3</f>
        <v>T3</v>
      </c>
      <c r="M7" t="e">
        <f ca="1">SR_EXACT(A4:A10,C4:C10)</f>
        <v>#NAME?</v>
      </c>
      <c r="N7">
        <f>ABS(AVERAGE(A4:A10)-AVERAGE(C4:C10))</f>
        <v>15.714285714285708</v>
      </c>
    </row>
    <row r="8" spans="1:21" ht="15" thickTop="1" x14ac:dyDescent="0.35">
      <c r="A8" s="161">
        <v>79</v>
      </c>
      <c r="B8" s="161">
        <v>56</v>
      </c>
      <c r="C8" s="161">
        <v>65</v>
      </c>
      <c r="D8" s="161">
        <v>80</v>
      </c>
      <c r="F8" s="211" t="str">
        <f>A3</f>
        <v>T1</v>
      </c>
      <c r="G8" s="211" t="str">
        <f>D3</f>
        <v>T4</v>
      </c>
      <c r="H8" t="e">
        <f ca="1">SRTEST(A4:A10,D4:D10)</f>
        <v>#NAME?</v>
      </c>
      <c r="I8">
        <f>ABS(AVERAGE(A4:A10)-AVERAGE(D4:D10))</f>
        <v>21.714285714285708</v>
      </c>
      <c r="K8" s="211" t="str">
        <f>A3</f>
        <v>T1</v>
      </c>
      <c r="L8" s="211" t="str">
        <f>D3</f>
        <v>T4</v>
      </c>
      <c r="M8" t="e">
        <f ca="1">SR_EXACT(A4:A10,D4:D10)</f>
        <v>#NAME?</v>
      </c>
      <c r="N8">
        <f>ABS(AVERAGE(A4:A10)-AVERAGE(D4:D10))</f>
        <v>21.714285714285708</v>
      </c>
      <c r="P8" s="110" t="s">
        <v>308</v>
      </c>
      <c r="Q8" s="110" t="s">
        <v>309</v>
      </c>
      <c r="R8" s="110" t="s">
        <v>48</v>
      </c>
      <c r="S8" s="110" t="s">
        <v>312</v>
      </c>
      <c r="T8" s="110" t="s">
        <v>94</v>
      </c>
      <c r="U8" s="110" t="s">
        <v>104</v>
      </c>
    </row>
    <row r="9" spans="1:21" x14ac:dyDescent="0.35">
      <c r="A9" s="161">
        <v>65</v>
      </c>
      <c r="B9" s="161">
        <v>43</v>
      </c>
      <c r="C9" s="161">
        <v>79</v>
      </c>
      <c r="D9" s="161">
        <v>83</v>
      </c>
      <c r="F9" s="211" t="str">
        <f>B3</f>
        <v>T2</v>
      </c>
      <c r="G9" s="211" t="str">
        <f>C3</f>
        <v>T3</v>
      </c>
      <c r="H9" t="e">
        <f ca="1">SRTEST(B4:B10,C4:C10)</f>
        <v>#NAME?</v>
      </c>
      <c r="I9">
        <f>ABS(AVERAGE(B4:B10)-AVERAGE(C4:C10))</f>
        <v>19.285714285714285</v>
      </c>
      <c r="K9" s="211" t="str">
        <f>B3</f>
        <v>T2</v>
      </c>
      <c r="L9" s="211" t="str">
        <f>C3</f>
        <v>T3</v>
      </c>
      <c r="M9" t="e">
        <f ca="1">SR_EXACT(B4:B10,C4:C10)</f>
        <v>#NAME?</v>
      </c>
      <c r="N9">
        <f>ABS(AVERAGE(B4:B10)-AVERAGE(C4:C10))</f>
        <v>19.285714285714285</v>
      </c>
      <c r="P9" t="e">
        <f t="array" aca="1" ref="P9:R14" ca="1">QSORTRows(K6:M11,3)</f>
        <v>#NAME?</v>
      </c>
      <c r="Q9" t="e">
        <f ca="1"/>
        <v>#NAME?</v>
      </c>
      <c r="R9" t="e">
        <f ca="1"/>
        <v>#NAME?</v>
      </c>
      <c r="S9">
        <f ca="1">Q6</f>
        <v>0</v>
      </c>
      <c r="T9" t="e">
        <f ca="1">Q$5/S9</f>
        <v>#DIV/0!</v>
      </c>
      <c r="U9" s="211" t="e">
        <f ca="1">IF(U10="yes","yes",IF(R9&lt;T9,"yes","no"))</f>
        <v>#NAME?</v>
      </c>
    </row>
    <row r="10" spans="1:21" x14ac:dyDescent="0.35">
      <c r="A10" s="161">
        <v>53</v>
      </c>
      <c r="B10" s="161">
        <v>59</v>
      </c>
      <c r="C10" s="161">
        <v>72</v>
      </c>
      <c r="D10" s="161">
        <v>94</v>
      </c>
      <c r="F10" s="211" t="str">
        <f>B3</f>
        <v>T2</v>
      </c>
      <c r="G10" s="211" t="str">
        <f>D3</f>
        <v>T4</v>
      </c>
      <c r="H10" t="e">
        <f ca="1">SRTEST(B4:B10,D4:D10)</f>
        <v>#NAME?</v>
      </c>
      <c r="I10">
        <f>ABS(AVERAGE(B4:B10)-AVERAGE(D4:D10))</f>
        <v>25.285714285714285</v>
      </c>
      <c r="K10" s="211" t="str">
        <f>B3</f>
        <v>T2</v>
      </c>
      <c r="L10" s="211" t="str">
        <f>D3</f>
        <v>T4</v>
      </c>
      <c r="M10" t="e">
        <f ca="1">SR_EXACT(B4:B10,D4:D10)</f>
        <v>#NAME?</v>
      </c>
      <c r="N10">
        <f>ABS(AVERAGE(B4:B10)-AVERAGE(D4:D10))</f>
        <v>25.285714285714285</v>
      </c>
      <c r="P10" t="e">
        <f ca="1"/>
        <v>#NAME?</v>
      </c>
      <c r="Q10" t="e">
        <f ca="1"/>
        <v>#NAME?</v>
      </c>
      <c r="R10" t="e">
        <f ca="1"/>
        <v>#NAME?</v>
      </c>
      <c r="S10">
        <f ca="1">S9-1</f>
        <v>-1</v>
      </c>
      <c r="T10">
        <f t="shared" ref="T10:T14" ca="1" si="0">Q$5/S10</f>
        <v>-0.05</v>
      </c>
      <c r="U10" s="211" t="e">
        <f t="shared" ref="U10:U14" ca="1" si="1">IF(U11="yes","yes",IF(R10&lt;T10,"yes","no"))</f>
        <v>#NAME?</v>
      </c>
    </row>
    <row r="11" spans="1:21" x14ac:dyDescent="0.35">
      <c r="A11" s="178">
        <f>AVERAGE(A4:A10)</f>
        <v>66.857142857142861</v>
      </c>
      <c r="B11" s="178">
        <f>AVERAGE(B4:B10)</f>
        <v>63.285714285714285</v>
      </c>
      <c r="C11" s="178">
        <f t="shared" ref="C11:D11" si="2">AVERAGE(C4:C10)</f>
        <v>82.571428571428569</v>
      </c>
      <c r="D11" s="178">
        <f t="shared" si="2"/>
        <v>88.571428571428569</v>
      </c>
      <c r="F11" s="210" t="str">
        <f>C3</f>
        <v>T3</v>
      </c>
      <c r="G11" s="210" t="str">
        <f>D3</f>
        <v>T4</v>
      </c>
      <c r="H11" s="106" t="e">
        <f ca="1">SRTEST(C4:C10,D4:D10)</f>
        <v>#NAME?</v>
      </c>
      <c r="I11" s="106">
        <f>ABS(AVERAGE(C4:C10)-AVERAGE(D4:D10))</f>
        <v>6</v>
      </c>
      <c r="K11" s="210" t="str">
        <f>C3</f>
        <v>T3</v>
      </c>
      <c r="L11" s="210" t="str">
        <f>D3</f>
        <v>T4</v>
      </c>
      <c r="M11" s="106" t="e">
        <f ca="1">SR_EXACT(C4:C10,D4:D10)</f>
        <v>#NAME?</v>
      </c>
      <c r="N11" s="106">
        <f>ABS(AVERAGE(C4:C10)-AVERAGE(D4:D10))</f>
        <v>6</v>
      </c>
      <c r="P11" t="e">
        <f ca="1"/>
        <v>#NAME?</v>
      </c>
      <c r="Q11" t="e">
        <f ca="1"/>
        <v>#NAME?</v>
      </c>
      <c r="R11" t="e">
        <f ca="1"/>
        <v>#NAME?</v>
      </c>
      <c r="S11">
        <f t="shared" ref="S11:S14" ca="1" si="3">S10-1</f>
        <v>-2</v>
      </c>
      <c r="T11">
        <f t="shared" ca="1" si="0"/>
        <v>-2.5000000000000001E-2</v>
      </c>
      <c r="U11" s="211" t="e">
        <f t="shared" ca="1" si="1"/>
        <v>#NAME?</v>
      </c>
    </row>
    <row r="12" spans="1:21" x14ac:dyDescent="0.35">
      <c r="P12" t="e">
        <f ca="1"/>
        <v>#NAME?</v>
      </c>
      <c r="Q12" t="e">
        <f ca="1"/>
        <v>#NAME?</v>
      </c>
      <c r="R12" t="e">
        <f ca="1"/>
        <v>#NAME?</v>
      </c>
      <c r="S12">
        <f t="shared" ca="1" si="3"/>
        <v>-3</v>
      </c>
      <c r="T12">
        <f t="shared" ca="1" si="0"/>
        <v>-1.6666666666666666E-2</v>
      </c>
      <c r="U12" s="211" t="e">
        <f t="shared" ca="1" si="1"/>
        <v>#NAME?</v>
      </c>
    </row>
    <row r="13" spans="1:21" x14ac:dyDescent="0.35">
      <c r="P13" t="e">
        <f ca="1"/>
        <v>#NAME?</v>
      </c>
      <c r="Q13" t="e">
        <f ca="1"/>
        <v>#NAME?</v>
      </c>
      <c r="R13" t="e">
        <f ca="1"/>
        <v>#NAME?</v>
      </c>
      <c r="S13">
        <f t="shared" ca="1" si="3"/>
        <v>-4</v>
      </c>
      <c r="T13">
        <f t="shared" ca="1" si="0"/>
        <v>-1.2500000000000001E-2</v>
      </c>
      <c r="U13" s="211" t="e">
        <f t="shared" ca="1" si="1"/>
        <v>#NAME?</v>
      </c>
    </row>
    <row r="14" spans="1:21" x14ac:dyDescent="0.35">
      <c r="P14" s="106" t="e">
        <f ca="1"/>
        <v>#NAME?</v>
      </c>
      <c r="Q14" s="106" t="e">
        <f ca="1"/>
        <v>#NAME?</v>
      </c>
      <c r="R14" s="106" t="e">
        <f ca="1"/>
        <v>#NAME?</v>
      </c>
      <c r="S14" s="106">
        <f t="shared" ca="1" si="3"/>
        <v>-5</v>
      </c>
      <c r="T14" s="106">
        <f t="shared" ca="1" si="0"/>
        <v>-0.01</v>
      </c>
      <c r="U14" s="210" t="e">
        <f t="shared" ca="1" si="1"/>
        <v>#NAME?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8"/>
  <dimension ref="A2:H8"/>
  <sheetViews>
    <sheetView workbookViewId="0"/>
  </sheetViews>
  <sheetFormatPr defaultRowHeight="14.5" x14ac:dyDescent="0.35"/>
  <cols>
    <col min="1" max="1" width="9.7265625" customWidth="1"/>
  </cols>
  <sheetData>
    <row r="2" spans="1:8" x14ac:dyDescent="0.35">
      <c r="A2" t="s">
        <v>94</v>
      </c>
      <c r="B2" s="117">
        <v>0.05</v>
      </c>
      <c r="C2" s="164">
        <v>0.05</v>
      </c>
      <c r="D2" s="164">
        <v>0.05</v>
      </c>
      <c r="E2" s="164">
        <v>0.05</v>
      </c>
      <c r="F2" s="164">
        <v>0.05</v>
      </c>
      <c r="G2" s="164">
        <v>0.05</v>
      </c>
      <c r="H2" s="118">
        <v>0.05</v>
      </c>
    </row>
    <row r="3" spans="1:8" x14ac:dyDescent="0.35">
      <c r="A3" t="s">
        <v>351</v>
      </c>
      <c r="B3" s="59">
        <v>0.3</v>
      </c>
      <c r="C3" s="7">
        <v>0.3</v>
      </c>
      <c r="D3" s="7">
        <v>0.3</v>
      </c>
      <c r="E3" s="7">
        <v>0.3</v>
      </c>
      <c r="F3" s="7">
        <v>0.3</v>
      </c>
      <c r="G3" s="7">
        <v>0.3</v>
      </c>
      <c r="H3" s="60">
        <v>0.3</v>
      </c>
    </row>
    <row r="4" spans="1:8" x14ac:dyDescent="0.35">
      <c r="A4" t="s">
        <v>352</v>
      </c>
      <c r="B4" s="59">
        <v>20</v>
      </c>
      <c r="C4" s="7">
        <v>100</v>
      </c>
      <c r="D4" s="7">
        <v>200</v>
      </c>
      <c r="E4" s="7">
        <v>300</v>
      </c>
      <c r="F4" s="7">
        <v>280</v>
      </c>
      <c r="G4" s="7">
        <v>265</v>
      </c>
      <c r="H4" s="60">
        <v>265</v>
      </c>
    </row>
    <row r="5" spans="1:8" x14ac:dyDescent="0.35">
      <c r="A5" t="s">
        <v>348</v>
      </c>
      <c r="B5" s="59">
        <v>1000</v>
      </c>
      <c r="C5" s="7">
        <v>1000</v>
      </c>
      <c r="D5" s="7">
        <v>1000</v>
      </c>
      <c r="E5" s="7">
        <v>1000</v>
      </c>
      <c r="F5" s="7">
        <v>1000</v>
      </c>
      <c r="G5" s="7">
        <v>1000</v>
      </c>
      <c r="H5" s="60">
        <v>5000</v>
      </c>
    </row>
    <row r="6" spans="1:8" x14ac:dyDescent="0.35">
      <c r="A6" t="s">
        <v>349</v>
      </c>
      <c r="B6" s="45">
        <v>0.125</v>
      </c>
      <c r="C6" s="106">
        <v>0.41099999999999998</v>
      </c>
      <c r="D6" s="106">
        <v>0.66400000000000003</v>
      </c>
      <c r="E6" s="106">
        <v>0.86899999999999999</v>
      </c>
      <c r="F6" s="106">
        <v>0.83599999999999997</v>
      </c>
      <c r="G6" s="106">
        <v>0.81</v>
      </c>
      <c r="H6" s="48">
        <v>0.79520000000000002</v>
      </c>
    </row>
    <row r="8" spans="1:8" x14ac:dyDescent="0.35">
      <c r="B8" s="14" t="s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42"/>
  <dimension ref="A1:Z146"/>
  <sheetViews>
    <sheetView topLeftCell="A100" workbookViewId="0">
      <selection sqref="A1:XFD1048576"/>
    </sheetView>
  </sheetViews>
  <sheetFormatPr defaultRowHeight="14.5" x14ac:dyDescent="0.35"/>
  <cols>
    <col min="1" max="26" width="7" customWidth="1"/>
  </cols>
  <sheetData>
    <row r="1" spans="1:26" x14ac:dyDescent="0.35">
      <c r="A1" s="1" t="s">
        <v>70</v>
      </c>
    </row>
    <row r="3" spans="1:26" x14ac:dyDescent="0.35">
      <c r="A3" s="1" t="s">
        <v>71</v>
      </c>
    </row>
    <row r="5" spans="1:26" ht="24" x14ac:dyDescent="0.5">
      <c r="A5" s="94" t="s">
        <v>72</v>
      </c>
      <c r="B5">
        <v>1</v>
      </c>
      <c r="C5">
        <f t="shared" ref="C5:Z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</row>
    <row r="6" spans="1:26" x14ac:dyDescent="0.35">
      <c r="A6">
        <v>1</v>
      </c>
      <c r="B6" s="9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96"/>
    </row>
    <row r="7" spans="1:26" x14ac:dyDescent="0.35">
      <c r="A7">
        <f>A6+1</f>
        <v>2</v>
      </c>
      <c r="B7" s="59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60"/>
    </row>
    <row r="8" spans="1:26" x14ac:dyDescent="0.35">
      <c r="A8">
        <f t="shared" ref="A8:A30" si="1">A7+1</f>
        <v>3</v>
      </c>
      <c r="B8" s="5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60"/>
    </row>
    <row r="9" spans="1:26" x14ac:dyDescent="0.35">
      <c r="A9">
        <f t="shared" si="1"/>
        <v>4</v>
      </c>
      <c r="B9" s="5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60"/>
    </row>
    <row r="10" spans="1:26" x14ac:dyDescent="0.35">
      <c r="A10">
        <f t="shared" si="1"/>
        <v>5</v>
      </c>
      <c r="B10" s="59"/>
      <c r="D10" s="7"/>
      <c r="E10" s="29" t="s">
        <v>73</v>
      </c>
      <c r="F10" s="23">
        <v>15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60"/>
    </row>
    <row r="11" spans="1:26" x14ac:dyDescent="0.35">
      <c r="A11">
        <f t="shared" si="1"/>
        <v>6</v>
      </c>
      <c r="B11" s="59"/>
      <c r="D11" s="7"/>
      <c r="E11" s="7">
        <v>10</v>
      </c>
      <c r="F11" s="23">
        <v>16</v>
      </c>
      <c r="G11" s="23">
        <v>23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60"/>
    </row>
    <row r="12" spans="1:26" x14ac:dyDescent="0.35">
      <c r="A12">
        <f t="shared" si="1"/>
        <v>7</v>
      </c>
      <c r="B12" s="59"/>
      <c r="D12" s="7"/>
      <c r="E12" s="23">
        <v>10</v>
      </c>
      <c r="F12" s="23">
        <v>16</v>
      </c>
      <c r="G12" s="23">
        <v>24</v>
      </c>
      <c r="H12" s="23">
        <v>32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60"/>
    </row>
    <row r="13" spans="1:26" x14ac:dyDescent="0.35">
      <c r="A13">
        <f t="shared" si="1"/>
        <v>8</v>
      </c>
      <c r="B13" s="59"/>
      <c r="D13" s="29" t="s">
        <v>73</v>
      </c>
      <c r="E13" s="23">
        <v>11</v>
      </c>
      <c r="F13" s="23">
        <v>17</v>
      </c>
      <c r="G13" s="23">
        <v>25</v>
      </c>
      <c r="H13" s="23">
        <v>34</v>
      </c>
      <c r="I13" s="23">
        <v>43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60"/>
    </row>
    <row r="14" spans="1:26" x14ac:dyDescent="0.35">
      <c r="A14">
        <f t="shared" si="1"/>
        <v>9</v>
      </c>
      <c r="B14" s="59"/>
      <c r="D14" s="23">
        <v>6</v>
      </c>
      <c r="E14" s="23">
        <v>11</v>
      </c>
      <c r="F14" s="23">
        <v>18</v>
      </c>
      <c r="G14" s="23">
        <v>26</v>
      </c>
      <c r="H14" s="23">
        <v>35</v>
      </c>
      <c r="I14" s="23">
        <v>45</v>
      </c>
      <c r="J14" s="23">
        <v>56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60"/>
    </row>
    <row r="15" spans="1:26" x14ac:dyDescent="0.35">
      <c r="A15">
        <f t="shared" si="1"/>
        <v>10</v>
      </c>
      <c r="B15" s="59"/>
      <c r="D15" s="23">
        <v>6</v>
      </c>
      <c r="E15" s="23">
        <v>12</v>
      </c>
      <c r="F15" s="23">
        <v>19</v>
      </c>
      <c r="G15" s="23">
        <v>27</v>
      </c>
      <c r="H15" s="23">
        <v>37</v>
      </c>
      <c r="I15" s="23">
        <v>47</v>
      </c>
      <c r="J15" s="23">
        <v>58</v>
      </c>
      <c r="K15" s="23">
        <v>71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60"/>
    </row>
    <row r="16" spans="1:26" x14ac:dyDescent="0.35">
      <c r="A16">
        <f t="shared" si="1"/>
        <v>11</v>
      </c>
      <c r="B16" s="59"/>
      <c r="D16" s="23">
        <v>6</v>
      </c>
      <c r="E16" s="23">
        <v>12</v>
      </c>
      <c r="F16" s="23">
        <v>20</v>
      </c>
      <c r="G16" s="23">
        <v>28</v>
      </c>
      <c r="H16" s="23">
        <v>38</v>
      </c>
      <c r="I16" s="23">
        <v>49</v>
      </c>
      <c r="J16" s="23">
        <v>61</v>
      </c>
      <c r="K16" s="23">
        <v>73</v>
      </c>
      <c r="L16" s="23">
        <v>87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60"/>
    </row>
    <row r="17" spans="1:26" x14ac:dyDescent="0.35">
      <c r="A17">
        <f t="shared" si="1"/>
        <v>12</v>
      </c>
      <c r="B17" s="59"/>
      <c r="D17" s="23">
        <v>7</v>
      </c>
      <c r="E17" s="23">
        <v>13</v>
      </c>
      <c r="F17" s="23">
        <v>21</v>
      </c>
      <c r="G17" s="23">
        <v>30</v>
      </c>
      <c r="H17" s="23">
        <v>40</v>
      </c>
      <c r="I17" s="23">
        <v>51</v>
      </c>
      <c r="J17" s="23">
        <v>63</v>
      </c>
      <c r="K17" s="23">
        <v>76</v>
      </c>
      <c r="L17" s="23">
        <v>90</v>
      </c>
      <c r="M17" s="23">
        <v>105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60"/>
    </row>
    <row r="18" spans="1:26" x14ac:dyDescent="0.35">
      <c r="A18">
        <f t="shared" si="1"/>
        <v>13</v>
      </c>
      <c r="B18" s="59"/>
      <c r="D18" s="23">
        <v>7</v>
      </c>
      <c r="E18" s="23">
        <v>13</v>
      </c>
      <c r="F18" s="23">
        <v>22</v>
      </c>
      <c r="G18" s="23">
        <v>31</v>
      </c>
      <c r="H18" s="23">
        <v>41</v>
      </c>
      <c r="I18" s="23">
        <v>53</v>
      </c>
      <c r="J18" s="23">
        <v>65</v>
      </c>
      <c r="K18" s="23">
        <v>79</v>
      </c>
      <c r="L18" s="23">
        <v>93</v>
      </c>
      <c r="M18" s="23">
        <v>109</v>
      </c>
      <c r="N18" s="23">
        <v>125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60"/>
    </row>
    <row r="19" spans="1:26" x14ac:dyDescent="0.35">
      <c r="A19">
        <f t="shared" si="1"/>
        <v>14</v>
      </c>
      <c r="B19" s="59"/>
      <c r="D19" s="23">
        <v>7</v>
      </c>
      <c r="E19" s="23">
        <v>14</v>
      </c>
      <c r="F19" s="23">
        <v>22</v>
      </c>
      <c r="G19" s="23">
        <v>32</v>
      </c>
      <c r="H19" s="23">
        <v>43</v>
      </c>
      <c r="I19" s="23">
        <v>54</v>
      </c>
      <c r="J19" s="23">
        <v>67</v>
      </c>
      <c r="K19" s="23">
        <v>81</v>
      </c>
      <c r="L19" s="23">
        <v>96</v>
      </c>
      <c r="M19" s="23">
        <v>112</v>
      </c>
      <c r="N19" s="23">
        <v>129</v>
      </c>
      <c r="O19" s="23">
        <v>147</v>
      </c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60"/>
    </row>
    <row r="20" spans="1:26" x14ac:dyDescent="0.35">
      <c r="A20">
        <f t="shared" si="1"/>
        <v>15</v>
      </c>
      <c r="B20" s="59"/>
      <c r="D20" s="23">
        <v>8</v>
      </c>
      <c r="E20" s="23">
        <v>15</v>
      </c>
      <c r="F20" s="23">
        <v>23</v>
      </c>
      <c r="G20" s="23">
        <v>33</v>
      </c>
      <c r="H20" s="23">
        <v>44</v>
      </c>
      <c r="I20" s="23">
        <v>56</v>
      </c>
      <c r="J20" s="23">
        <v>69</v>
      </c>
      <c r="K20" s="23">
        <v>84</v>
      </c>
      <c r="L20" s="23">
        <v>99</v>
      </c>
      <c r="M20" s="23">
        <v>115</v>
      </c>
      <c r="N20" s="23">
        <v>133</v>
      </c>
      <c r="O20" s="23">
        <v>151</v>
      </c>
      <c r="P20" s="23">
        <v>171</v>
      </c>
      <c r="Q20" s="23"/>
      <c r="R20" s="23"/>
      <c r="S20" s="23"/>
      <c r="T20" s="23"/>
      <c r="U20" s="23"/>
      <c r="V20" s="23"/>
      <c r="W20" s="23"/>
      <c r="X20" s="23"/>
      <c r="Y20" s="23"/>
      <c r="Z20" s="60"/>
    </row>
    <row r="21" spans="1:26" x14ac:dyDescent="0.35">
      <c r="A21">
        <f t="shared" si="1"/>
        <v>16</v>
      </c>
      <c r="B21" s="59"/>
      <c r="D21" s="23">
        <v>8</v>
      </c>
      <c r="E21" s="23">
        <v>15</v>
      </c>
      <c r="F21" s="23">
        <v>24</v>
      </c>
      <c r="G21" s="23">
        <v>34</v>
      </c>
      <c r="H21" s="23">
        <v>46</v>
      </c>
      <c r="I21" s="23">
        <v>58</v>
      </c>
      <c r="J21" s="23">
        <v>72</v>
      </c>
      <c r="K21" s="23">
        <v>86</v>
      </c>
      <c r="L21" s="23">
        <v>102</v>
      </c>
      <c r="M21" s="23">
        <v>119</v>
      </c>
      <c r="N21" s="23">
        <v>136</v>
      </c>
      <c r="O21" s="23">
        <v>155</v>
      </c>
      <c r="P21" s="23">
        <v>175</v>
      </c>
      <c r="Q21" s="23">
        <v>196</v>
      </c>
      <c r="R21" s="23"/>
      <c r="S21" s="23"/>
      <c r="T21" s="23"/>
      <c r="U21" s="23"/>
      <c r="V21" s="23"/>
      <c r="W21" s="23"/>
      <c r="X21" s="23"/>
      <c r="Y21" s="23"/>
      <c r="Z21" s="60"/>
    </row>
    <row r="22" spans="1:26" x14ac:dyDescent="0.35">
      <c r="A22">
        <f t="shared" si="1"/>
        <v>17</v>
      </c>
      <c r="B22" s="59"/>
      <c r="D22" s="23">
        <v>8</v>
      </c>
      <c r="E22" s="23">
        <v>16</v>
      </c>
      <c r="F22" s="23">
        <v>25</v>
      </c>
      <c r="G22" s="23">
        <v>36</v>
      </c>
      <c r="H22" s="23">
        <v>47</v>
      </c>
      <c r="I22" s="23">
        <v>60</v>
      </c>
      <c r="J22" s="23">
        <v>74</v>
      </c>
      <c r="K22" s="23">
        <v>89</v>
      </c>
      <c r="L22" s="23">
        <v>105</v>
      </c>
      <c r="M22" s="23">
        <v>122</v>
      </c>
      <c r="N22" s="23">
        <v>140</v>
      </c>
      <c r="O22" s="23">
        <v>159</v>
      </c>
      <c r="P22" s="23">
        <v>180</v>
      </c>
      <c r="Q22" s="23">
        <v>201</v>
      </c>
      <c r="R22" s="23">
        <v>223</v>
      </c>
      <c r="S22" s="23"/>
      <c r="T22" s="23"/>
      <c r="U22" s="23"/>
      <c r="V22" s="23"/>
      <c r="W22" s="23"/>
      <c r="X22" s="23"/>
      <c r="Y22" s="23"/>
      <c r="Z22" s="60"/>
    </row>
    <row r="23" spans="1:26" x14ac:dyDescent="0.35">
      <c r="A23">
        <f t="shared" si="1"/>
        <v>18</v>
      </c>
      <c r="B23" s="59"/>
      <c r="C23" s="30" t="s">
        <v>73</v>
      </c>
      <c r="D23" s="23">
        <v>8</v>
      </c>
      <c r="E23" s="23">
        <v>16</v>
      </c>
      <c r="F23" s="23">
        <v>26</v>
      </c>
      <c r="G23" s="23">
        <v>37</v>
      </c>
      <c r="H23" s="23">
        <v>49</v>
      </c>
      <c r="I23" s="23">
        <v>62</v>
      </c>
      <c r="J23" s="23">
        <v>76</v>
      </c>
      <c r="K23" s="23">
        <v>92</v>
      </c>
      <c r="L23" s="23">
        <v>108</v>
      </c>
      <c r="M23" s="23">
        <v>125</v>
      </c>
      <c r="N23" s="23">
        <v>144</v>
      </c>
      <c r="O23" s="23">
        <v>163</v>
      </c>
      <c r="P23" s="23">
        <v>184</v>
      </c>
      <c r="Q23" s="23">
        <v>206</v>
      </c>
      <c r="R23" s="23">
        <v>228</v>
      </c>
      <c r="S23" s="23">
        <v>252</v>
      </c>
      <c r="T23" s="23"/>
      <c r="U23" s="23"/>
      <c r="V23" s="23"/>
      <c r="W23" s="23"/>
      <c r="X23" s="23"/>
      <c r="Y23" s="23"/>
      <c r="Z23" s="60"/>
    </row>
    <row r="24" spans="1:26" x14ac:dyDescent="0.35">
      <c r="A24">
        <f t="shared" si="1"/>
        <v>19</v>
      </c>
      <c r="B24" s="59"/>
      <c r="C24" s="23">
        <v>3</v>
      </c>
      <c r="D24" s="23">
        <v>9</v>
      </c>
      <c r="E24" s="23">
        <v>17</v>
      </c>
      <c r="F24" s="23">
        <v>27</v>
      </c>
      <c r="G24" s="23">
        <v>38</v>
      </c>
      <c r="H24" s="23">
        <v>50</v>
      </c>
      <c r="I24" s="23">
        <v>64</v>
      </c>
      <c r="J24" s="23">
        <v>78</v>
      </c>
      <c r="K24" s="23">
        <v>94</v>
      </c>
      <c r="L24" s="23">
        <v>111</v>
      </c>
      <c r="M24" s="23">
        <v>129</v>
      </c>
      <c r="N24" s="23">
        <v>148</v>
      </c>
      <c r="O24" s="23">
        <v>168</v>
      </c>
      <c r="P24" s="23">
        <v>189</v>
      </c>
      <c r="Q24" s="23">
        <v>210</v>
      </c>
      <c r="R24" s="23">
        <v>234</v>
      </c>
      <c r="S24" s="23">
        <v>258</v>
      </c>
      <c r="T24" s="23">
        <v>283</v>
      </c>
      <c r="U24" s="23"/>
      <c r="V24" s="23"/>
      <c r="W24" s="23"/>
      <c r="X24" s="23"/>
      <c r="Y24" s="23"/>
      <c r="Z24" s="60"/>
    </row>
    <row r="25" spans="1:26" x14ac:dyDescent="0.35">
      <c r="A25">
        <f t="shared" si="1"/>
        <v>20</v>
      </c>
      <c r="B25" s="59"/>
      <c r="C25" s="23">
        <v>3</v>
      </c>
      <c r="D25" s="23">
        <v>9</v>
      </c>
      <c r="E25" s="23">
        <v>18</v>
      </c>
      <c r="F25" s="23">
        <v>28</v>
      </c>
      <c r="G25" s="23">
        <v>39</v>
      </c>
      <c r="H25" s="23">
        <v>52</v>
      </c>
      <c r="I25" s="23">
        <v>66</v>
      </c>
      <c r="J25" s="23">
        <v>81</v>
      </c>
      <c r="K25" s="23">
        <v>97</v>
      </c>
      <c r="L25" s="23">
        <v>114</v>
      </c>
      <c r="M25" s="23">
        <v>132</v>
      </c>
      <c r="N25" s="23">
        <v>151</v>
      </c>
      <c r="O25" s="23">
        <v>172</v>
      </c>
      <c r="P25" s="23">
        <v>193</v>
      </c>
      <c r="Q25" s="23">
        <v>215</v>
      </c>
      <c r="R25" s="23">
        <v>239</v>
      </c>
      <c r="S25" s="23">
        <v>263</v>
      </c>
      <c r="T25" s="23">
        <v>289</v>
      </c>
      <c r="U25" s="23">
        <v>315</v>
      </c>
      <c r="V25" s="23"/>
      <c r="W25" s="23"/>
      <c r="X25" s="23"/>
      <c r="Y25" s="23"/>
      <c r="Z25" s="60"/>
    </row>
    <row r="26" spans="1:26" x14ac:dyDescent="0.35">
      <c r="A26">
        <f t="shared" si="1"/>
        <v>21</v>
      </c>
      <c r="B26" s="59"/>
      <c r="C26" s="23">
        <v>3</v>
      </c>
      <c r="D26" s="23">
        <v>9</v>
      </c>
      <c r="E26" s="23">
        <v>18</v>
      </c>
      <c r="F26" s="23">
        <v>29</v>
      </c>
      <c r="G26" s="23">
        <v>40</v>
      </c>
      <c r="H26" s="23">
        <v>53</v>
      </c>
      <c r="I26" s="23">
        <v>68</v>
      </c>
      <c r="J26" s="23">
        <v>83</v>
      </c>
      <c r="K26" s="23">
        <v>99</v>
      </c>
      <c r="L26" s="23">
        <v>117</v>
      </c>
      <c r="M26" s="23">
        <v>136</v>
      </c>
      <c r="N26" s="23">
        <v>155</v>
      </c>
      <c r="O26" s="23">
        <v>176</v>
      </c>
      <c r="P26" s="23">
        <v>198</v>
      </c>
      <c r="Q26" s="23">
        <v>220</v>
      </c>
      <c r="R26" s="23">
        <v>244</v>
      </c>
      <c r="S26" s="23">
        <v>269</v>
      </c>
      <c r="T26" s="23">
        <v>295</v>
      </c>
      <c r="U26" s="23">
        <v>322</v>
      </c>
      <c r="V26" s="23">
        <v>349</v>
      </c>
      <c r="W26" s="23"/>
      <c r="X26" s="23"/>
      <c r="Y26" s="23"/>
      <c r="Z26" s="60"/>
    </row>
    <row r="27" spans="1:26" x14ac:dyDescent="0.35">
      <c r="A27">
        <f t="shared" si="1"/>
        <v>22</v>
      </c>
      <c r="B27" s="59"/>
      <c r="C27" s="23">
        <v>3</v>
      </c>
      <c r="D27" s="23">
        <v>10</v>
      </c>
      <c r="E27" s="23">
        <v>19</v>
      </c>
      <c r="F27" s="23">
        <v>29</v>
      </c>
      <c r="G27" s="23">
        <v>42</v>
      </c>
      <c r="H27" s="23">
        <v>55</v>
      </c>
      <c r="I27" s="23">
        <v>70</v>
      </c>
      <c r="J27" s="23">
        <v>85</v>
      </c>
      <c r="K27" s="23">
        <v>102</v>
      </c>
      <c r="L27" s="23">
        <v>129</v>
      </c>
      <c r="M27" s="23">
        <v>139</v>
      </c>
      <c r="N27" s="23">
        <v>159</v>
      </c>
      <c r="O27" s="23">
        <v>180</v>
      </c>
      <c r="P27" s="23">
        <v>202</v>
      </c>
      <c r="Q27" s="23">
        <v>225</v>
      </c>
      <c r="R27" s="23">
        <v>249</v>
      </c>
      <c r="S27" s="23">
        <v>275</v>
      </c>
      <c r="T27" s="23">
        <v>301</v>
      </c>
      <c r="U27" s="23">
        <v>328</v>
      </c>
      <c r="V27" s="23">
        <v>356</v>
      </c>
      <c r="W27" s="23">
        <v>386</v>
      </c>
      <c r="X27" s="23"/>
      <c r="Y27" s="23"/>
      <c r="Z27" s="60"/>
    </row>
    <row r="28" spans="1:26" x14ac:dyDescent="0.35">
      <c r="A28">
        <f t="shared" si="1"/>
        <v>23</v>
      </c>
      <c r="B28" s="59"/>
      <c r="C28" s="23">
        <v>3</v>
      </c>
      <c r="D28" s="23">
        <v>10</v>
      </c>
      <c r="E28" s="23">
        <v>19</v>
      </c>
      <c r="F28" s="23">
        <v>30</v>
      </c>
      <c r="G28" s="23">
        <v>43</v>
      </c>
      <c r="H28" s="23">
        <v>57</v>
      </c>
      <c r="I28" s="23">
        <v>71</v>
      </c>
      <c r="J28" s="23">
        <v>88</v>
      </c>
      <c r="K28" s="23">
        <v>105</v>
      </c>
      <c r="L28" s="23">
        <v>123</v>
      </c>
      <c r="M28" s="23">
        <v>142</v>
      </c>
      <c r="N28" s="23">
        <v>163</v>
      </c>
      <c r="O28" s="23">
        <v>184</v>
      </c>
      <c r="P28" s="23">
        <v>207</v>
      </c>
      <c r="Q28" s="23">
        <v>230</v>
      </c>
      <c r="R28" s="23">
        <v>255</v>
      </c>
      <c r="S28" s="23">
        <v>280</v>
      </c>
      <c r="T28" s="23">
        <v>307</v>
      </c>
      <c r="U28" s="23">
        <v>335</v>
      </c>
      <c r="V28" s="23">
        <v>363</v>
      </c>
      <c r="W28" s="23">
        <v>393</v>
      </c>
      <c r="X28" s="23">
        <v>424</v>
      </c>
      <c r="Y28" s="23"/>
      <c r="Z28" s="60"/>
    </row>
    <row r="29" spans="1:26" x14ac:dyDescent="0.35">
      <c r="A29">
        <f t="shared" si="1"/>
        <v>24</v>
      </c>
      <c r="B29" s="59"/>
      <c r="C29" s="23">
        <v>3</v>
      </c>
      <c r="D29" s="23">
        <v>10</v>
      </c>
      <c r="E29" s="23">
        <v>20</v>
      </c>
      <c r="F29" s="23">
        <v>31</v>
      </c>
      <c r="G29" s="23">
        <v>44</v>
      </c>
      <c r="H29" s="23">
        <v>58</v>
      </c>
      <c r="I29" s="23">
        <v>73</v>
      </c>
      <c r="J29" s="23">
        <v>90</v>
      </c>
      <c r="K29" s="23">
        <v>107</v>
      </c>
      <c r="L29" s="23">
        <v>126</v>
      </c>
      <c r="M29" s="23">
        <v>146</v>
      </c>
      <c r="N29" s="23">
        <v>166</v>
      </c>
      <c r="O29" s="23">
        <v>188</v>
      </c>
      <c r="P29" s="23">
        <v>211</v>
      </c>
      <c r="Q29" s="23">
        <v>235</v>
      </c>
      <c r="R29" s="23">
        <v>260</v>
      </c>
      <c r="S29" s="23">
        <v>286</v>
      </c>
      <c r="T29" s="23">
        <v>313</v>
      </c>
      <c r="U29" s="23">
        <v>341</v>
      </c>
      <c r="V29" s="23">
        <v>370</v>
      </c>
      <c r="W29" s="23">
        <v>400</v>
      </c>
      <c r="X29" s="23">
        <v>431</v>
      </c>
      <c r="Y29" s="23">
        <v>464</v>
      </c>
      <c r="Z29" s="60"/>
    </row>
    <row r="30" spans="1:26" x14ac:dyDescent="0.35">
      <c r="A30">
        <f t="shared" si="1"/>
        <v>25</v>
      </c>
      <c r="B30" s="97" t="s">
        <v>73</v>
      </c>
      <c r="C30" s="10">
        <v>3</v>
      </c>
      <c r="D30" s="10">
        <v>11</v>
      </c>
      <c r="E30" s="10">
        <v>20</v>
      </c>
      <c r="F30" s="10">
        <v>32</v>
      </c>
      <c r="G30" s="10">
        <v>45</v>
      </c>
      <c r="H30" s="10">
        <v>60</v>
      </c>
      <c r="I30" s="10">
        <v>75</v>
      </c>
      <c r="J30" s="10">
        <v>92</v>
      </c>
      <c r="K30" s="10">
        <v>110</v>
      </c>
      <c r="L30" s="10">
        <v>129</v>
      </c>
      <c r="M30" s="10">
        <v>149</v>
      </c>
      <c r="N30" s="10">
        <v>170</v>
      </c>
      <c r="O30" s="10">
        <v>192</v>
      </c>
      <c r="P30" s="10">
        <v>216</v>
      </c>
      <c r="Q30" s="10">
        <v>240</v>
      </c>
      <c r="R30" s="10">
        <v>265</v>
      </c>
      <c r="S30" s="10">
        <v>292</v>
      </c>
      <c r="T30" s="10">
        <v>319</v>
      </c>
      <c r="U30" s="10">
        <v>348</v>
      </c>
      <c r="V30" s="10">
        <v>377</v>
      </c>
      <c r="W30" s="10">
        <v>408</v>
      </c>
      <c r="X30" s="10">
        <v>439</v>
      </c>
      <c r="Y30" s="10">
        <v>472</v>
      </c>
      <c r="Z30" s="48">
        <v>505</v>
      </c>
    </row>
    <row r="32" spans="1:26" x14ac:dyDescent="0.35">
      <c r="A32" s="1" t="s">
        <v>149</v>
      </c>
    </row>
    <row r="34" spans="1:26" ht="24" x14ac:dyDescent="0.5">
      <c r="A34" s="94" t="s">
        <v>72</v>
      </c>
      <c r="B34">
        <v>1</v>
      </c>
      <c r="C34">
        <f t="shared" ref="C34:Z34" si="2">B34+1</f>
        <v>2</v>
      </c>
      <c r="D34">
        <f t="shared" si="2"/>
        <v>3</v>
      </c>
      <c r="E34">
        <f t="shared" si="2"/>
        <v>4</v>
      </c>
      <c r="F34">
        <f t="shared" si="2"/>
        <v>5</v>
      </c>
      <c r="G34">
        <f t="shared" si="2"/>
        <v>6</v>
      </c>
      <c r="H34">
        <f t="shared" si="2"/>
        <v>7</v>
      </c>
      <c r="I34">
        <f t="shared" si="2"/>
        <v>8</v>
      </c>
      <c r="J34">
        <f t="shared" si="2"/>
        <v>9</v>
      </c>
      <c r="K34">
        <f t="shared" si="2"/>
        <v>10</v>
      </c>
      <c r="L34">
        <f t="shared" si="2"/>
        <v>11</v>
      </c>
      <c r="M34">
        <f t="shared" si="2"/>
        <v>12</v>
      </c>
      <c r="N34">
        <f t="shared" si="2"/>
        <v>13</v>
      </c>
      <c r="O34">
        <f t="shared" si="2"/>
        <v>14</v>
      </c>
      <c r="P34">
        <f t="shared" si="2"/>
        <v>15</v>
      </c>
      <c r="Q34">
        <f t="shared" si="2"/>
        <v>16</v>
      </c>
      <c r="R34">
        <f t="shared" si="2"/>
        <v>17</v>
      </c>
      <c r="S34">
        <f t="shared" si="2"/>
        <v>18</v>
      </c>
      <c r="T34">
        <f t="shared" si="2"/>
        <v>19</v>
      </c>
      <c r="U34">
        <f t="shared" si="2"/>
        <v>20</v>
      </c>
      <c r="V34">
        <f t="shared" si="2"/>
        <v>21</v>
      </c>
      <c r="W34">
        <f t="shared" si="2"/>
        <v>22</v>
      </c>
      <c r="X34">
        <f t="shared" si="2"/>
        <v>23</v>
      </c>
      <c r="Y34">
        <f t="shared" si="2"/>
        <v>24</v>
      </c>
      <c r="Z34">
        <f t="shared" si="2"/>
        <v>25</v>
      </c>
    </row>
    <row r="35" spans="1:26" x14ac:dyDescent="0.35">
      <c r="A35">
        <v>1</v>
      </c>
      <c r="B35" s="9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96"/>
    </row>
    <row r="36" spans="1:26" x14ac:dyDescent="0.35">
      <c r="A36">
        <f>A35+1</f>
        <v>2</v>
      </c>
      <c r="B36" s="5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60"/>
    </row>
    <row r="37" spans="1:26" x14ac:dyDescent="0.35">
      <c r="A37">
        <f t="shared" ref="A37:A59" si="3">A36+1</f>
        <v>3</v>
      </c>
      <c r="B37" s="5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60"/>
    </row>
    <row r="38" spans="1:26" x14ac:dyDescent="0.35">
      <c r="A38">
        <f t="shared" si="3"/>
        <v>4</v>
      </c>
      <c r="B38" s="59"/>
      <c r="D38" s="7"/>
      <c r="E38" s="30" t="s">
        <v>76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60"/>
    </row>
    <row r="39" spans="1:26" x14ac:dyDescent="0.35">
      <c r="A39">
        <f t="shared" si="3"/>
        <v>5</v>
      </c>
      <c r="B39" s="59"/>
      <c r="D39" s="7"/>
      <c r="E39" s="7">
        <v>10</v>
      </c>
      <c r="F39" s="23">
        <v>16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60"/>
    </row>
    <row r="40" spans="1:26" x14ac:dyDescent="0.35">
      <c r="A40">
        <f t="shared" si="3"/>
        <v>6</v>
      </c>
      <c r="B40" s="59"/>
      <c r="D40" s="30" t="s">
        <v>76</v>
      </c>
      <c r="E40" s="23">
        <v>11</v>
      </c>
      <c r="F40" s="23">
        <v>17</v>
      </c>
      <c r="G40" s="23">
        <v>24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60"/>
    </row>
    <row r="41" spans="1:26" x14ac:dyDescent="0.35">
      <c r="A41">
        <f t="shared" si="3"/>
        <v>7</v>
      </c>
      <c r="B41" s="59"/>
      <c r="D41" s="23">
        <v>6</v>
      </c>
      <c r="E41" s="23">
        <v>11</v>
      </c>
      <c r="F41" s="23">
        <v>18</v>
      </c>
      <c r="G41" s="23">
        <v>25</v>
      </c>
      <c r="H41" s="23">
        <v>34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60"/>
    </row>
    <row r="42" spans="1:26" x14ac:dyDescent="0.35">
      <c r="A42">
        <f t="shared" si="3"/>
        <v>8</v>
      </c>
      <c r="B42" s="59"/>
      <c r="D42" s="23">
        <v>6</v>
      </c>
      <c r="E42" s="23">
        <v>12</v>
      </c>
      <c r="F42" s="23">
        <v>19</v>
      </c>
      <c r="G42" s="23">
        <v>27</v>
      </c>
      <c r="H42" s="23">
        <v>35</v>
      </c>
      <c r="I42" s="23">
        <v>45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60"/>
    </row>
    <row r="43" spans="1:26" x14ac:dyDescent="0.35">
      <c r="A43">
        <f t="shared" si="3"/>
        <v>9</v>
      </c>
      <c r="B43" s="59"/>
      <c r="D43" s="23">
        <v>7</v>
      </c>
      <c r="E43" s="23">
        <v>13</v>
      </c>
      <c r="F43" s="23">
        <v>20</v>
      </c>
      <c r="G43" s="23">
        <v>28</v>
      </c>
      <c r="H43" s="23">
        <v>37</v>
      </c>
      <c r="I43" s="23">
        <v>47</v>
      </c>
      <c r="J43" s="23">
        <v>59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60"/>
    </row>
    <row r="44" spans="1:26" x14ac:dyDescent="0.35">
      <c r="A44">
        <f t="shared" si="3"/>
        <v>10</v>
      </c>
      <c r="B44" s="59"/>
      <c r="D44" s="23">
        <v>7</v>
      </c>
      <c r="E44" s="23">
        <v>13</v>
      </c>
      <c r="F44" s="23">
        <v>21</v>
      </c>
      <c r="G44" s="23">
        <v>29</v>
      </c>
      <c r="H44" s="23">
        <v>39</v>
      </c>
      <c r="I44" s="23">
        <v>49</v>
      </c>
      <c r="J44" s="23">
        <v>61</v>
      </c>
      <c r="K44" s="23">
        <v>74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60"/>
    </row>
    <row r="45" spans="1:26" x14ac:dyDescent="0.35">
      <c r="A45">
        <f t="shared" si="3"/>
        <v>11</v>
      </c>
      <c r="B45" s="59"/>
      <c r="D45" s="23">
        <v>7</v>
      </c>
      <c r="E45" s="23">
        <v>14</v>
      </c>
      <c r="F45" s="23">
        <v>22</v>
      </c>
      <c r="G45" s="23">
        <v>30</v>
      </c>
      <c r="H45" s="23">
        <v>40</v>
      </c>
      <c r="I45" s="23">
        <v>51</v>
      </c>
      <c r="J45" s="23">
        <v>63</v>
      </c>
      <c r="K45" s="23">
        <v>77</v>
      </c>
      <c r="L45" s="23">
        <v>91</v>
      </c>
      <c r="M45" s="7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60"/>
    </row>
    <row r="46" spans="1:26" x14ac:dyDescent="0.35">
      <c r="A46">
        <f t="shared" si="3"/>
        <v>12</v>
      </c>
      <c r="B46" s="59"/>
      <c r="C46" s="12" t="s">
        <v>76</v>
      </c>
      <c r="D46" s="23">
        <v>8</v>
      </c>
      <c r="E46" s="23">
        <v>15</v>
      </c>
      <c r="F46" s="23">
        <v>23</v>
      </c>
      <c r="G46" s="23">
        <v>32</v>
      </c>
      <c r="H46" s="23">
        <v>42</v>
      </c>
      <c r="I46" s="23">
        <v>53</v>
      </c>
      <c r="J46" s="23">
        <v>66</v>
      </c>
      <c r="K46" s="23">
        <v>79</v>
      </c>
      <c r="L46" s="23">
        <v>94</v>
      </c>
      <c r="M46" s="23">
        <v>109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60"/>
    </row>
    <row r="47" spans="1:26" x14ac:dyDescent="0.35">
      <c r="A47">
        <f t="shared" si="3"/>
        <v>13</v>
      </c>
      <c r="B47" s="59"/>
      <c r="C47" s="23">
        <v>3</v>
      </c>
      <c r="D47" s="23">
        <v>8</v>
      </c>
      <c r="E47" s="23">
        <v>15</v>
      </c>
      <c r="F47" s="23">
        <v>24</v>
      </c>
      <c r="G47" s="23">
        <v>33</v>
      </c>
      <c r="H47" s="23">
        <v>44</v>
      </c>
      <c r="I47" s="23">
        <v>56</v>
      </c>
      <c r="J47" s="23">
        <v>68</v>
      </c>
      <c r="K47" s="23">
        <v>82</v>
      </c>
      <c r="L47" s="23">
        <v>97</v>
      </c>
      <c r="M47" s="23">
        <v>113</v>
      </c>
      <c r="N47" s="23">
        <v>130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60"/>
    </row>
    <row r="48" spans="1:26" x14ac:dyDescent="0.35">
      <c r="A48">
        <f t="shared" si="3"/>
        <v>14</v>
      </c>
      <c r="B48" s="59"/>
      <c r="C48" s="23">
        <v>3</v>
      </c>
      <c r="D48" s="23">
        <v>8</v>
      </c>
      <c r="E48" s="23">
        <v>16</v>
      </c>
      <c r="F48" s="23">
        <v>25</v>
      </c>
      <c r="G48" s="23">
        <v>34</v>
      </c>
      <c r="H48" s="23">
        <v>45</v>
      </c>
      <c r="I48" s="23">
        <v>58</v>
      </c>
      <c r="J48" s="23">
        <v>71</v>
      </c>
      <c r="K48" s="23">
        <v>85</v>
      </c>
      <c r="L48" s="23">
        <v>100</v>
      </c>
      <c r="M48" s="23">
        <v>116</v>
      </c>
      <c r="N48" s="23">
        <v>134</v>
      </c>
      <c r="O48" s="23">
        <v>152</v>
      </c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60"/>
    </row>
    <row r="49" spans="1:26" x14ac:dyDescent="0.35">
      <c r="A49">
        <f t="shared" si="3"/>
        <v>15</v>
      </c>
      <c r="B49" s="59"/>
      <c r="C49" s="23">
        <v>3</v>
      </c>
      <c r="D49" s="23">
        <v>9</v>
      </c>
      <c r="E49" s="23">
        <v>17</v>
      </c>
      <c r="F49" s="23">
        <v>26</v>
      </c>
      <c r="G49" s="23">
        <v>36</v>
      </c>
      <c r="H49" s="23">
        <v>47</v>
      </c>
      <c r="I49" s="23">
        <v>60</v>
      </c>
      <c r="J49" s="23">
        <v>73</v>
      </c>
      <c r="K49" s="23">
        <v>88</v>
      </c>
      <c r="L49" s="23">
        <v>103</v>
      </c>
      <c r="M49" s="23">
        <v>120</v>
      </c>
      <c r="N49" s="23">
        <v>138</v>
      </c>
      <c r="O49" s="23">
        <v>156</v>
      </c>
      <c r="P49" s="23">
        <v>176</v>
      </c>
      <c r="Q49" s="23"/>
      <c r="R49" s="23"/>
      <c r="S49" s="23"/>
      <c r="T49" s="23"/>
      <c r="U49" s="23"/>
      <c r="V49" s="23"/>
      <c r="W49" s="23"/>
      <c r="X49" s="23"/>
      <c r="Y49" s="23"/>
      <c r="Z49" s="60"/>
    </row>
    <row r="50" spans="1:26" x14ac:dyDescent="0.35">
      <c r="A50">
        <f t="shared" si="3"/>
        <v>16</v>
      </c>
      <c r="B50" s="59"/>
      <c r="C50" s="23">
        <v>3</v>
      </c>
      <c r="D50" s="23">
        <v>9</v>
      </c>
      <c r="E50" s="23">
        <v>17</v>
      </c>
      <c r="F50" s="23">
        <v>27</v>
      </c>
      <c r="G50" s="23">
        <v>37</v>
      </c>
      <c r="H50" s="23">
        <v>49</v>
      </c>
      <c r="I50" s="23">
        <v>62</v>
      </c>
      <c r="J50" s="23">
        <v>76</v>
      </c>
      <c r="K50" s="23">
        <v>91</v>
      </c>
      <c r="L50" s="23">
        <v>107</v>
      </c>
      <c r="M50" s="23">
        <v>124</v>
      </c>
      <c r="N50" s="23">
        <v>142</v>
      </c>
      <c r="O50" s="23">
        <v>161</v>
      </c>
      <c r="P50" s="23">
        <v>181</v>
      </c>
      <c r="Q50" s="23">
        <v>202</v>
      </c>
      <c r="R50" s="23"/>
      <c r="S50" s="23"/>
      <c r="T50" s="23"/>
      <c r="U50" s="23"/>
      <c r="V50" s="23"/>
      <c r="W50" s="23"/>
      <c r="X50" s="23"/>
      <c r="Y50" s="23"/>
      <c r="Z50" s="60"/>
    </row>
    <row r="51" spans="1:26" x14ac:dyDescent="0.35">
      <c r="A51">
        <f t="shared" si="3"/>
        <v>17</v>
      </c>
      <c r="B51" s="59"/>
      <c r="C51" s="23">
        <v>3</v>
      </c>
      <c r="D51" s="23">
        <v>10</v>
      </c>
      <c r="E51" s="23">
        <v>18</v>
      </c>
      <c r="F51" s="23">
        <v>28</v>
      </c>
      <c r="G51" s="23">
        <v>39</v>
      </c>
      <c r="H51" s="23">
        <v>51</v>
      </c>
      <c r="I51" s="23">
        <v>64</v>
      </c>
      <c r="J51" s="23">
        <v>78</v>
      </c>
      <c r="K51" s="23">
        <v>93</v>
      </c>
      <c r="L51" s="23">
        <v>110</v>
      </c>
      <c r="M51" s="23">
        <v>127</v>
      </c>
      <c r="N51" s="23">
        <v>146</v>
      </c>
      <c r="O51" s="23">
        <v>165</v>
      </c>
      <c r="P51" s="23">
        <v>186</v>
      </c>
      <c r="Q51" s="23">
        <v>207</v>
      </c>
      <c r="R51" s="23">
        <v>230</v>
      </c>
      <c r="S51" s="23"/>
      <c r="T51" s="23"/>
      <c r="U51" s="23"/>
      <c r="V51" s="23"/>
      <c r="W51" s="23"/>
      <c r="X51" s="23"/>
      <c r="Y51" s="23"/>
      <c r="Z51" s="60"/>
    </row>
    <row r="52" spans="1:26" x14ac:dyDescent="0.35">
      <c r="A52">
        <f t="shared" si="3"/>
        <v>18</v>
      </c>
      <c r="B52" s="59"/>
      <c r="C52" s="23">
        <v>3</v>
      </c>
      <c r="D52" s="23">
        <v>10</v>
      </c>
      <c r="E52" s="23">
        <v>19</v>
      </c>
      <c r="F52" s="23">
        <v>29</v>
      </c>
      <c r="G52" s="23">
        <v>40</v>
      </c>
      <c r="H52" s="23">
        <v>52</v>
      </c>
      <c r="I52" s="23">
        <v>66</v>
      </c>
      <c r="J52" s="23">
        <v>81</v>
      </c>
      <c r="K52" s="23">
        <v>96</v>
      </c>
      <c r="L52" s="23">
        <v>113</v>
      </c>
      <c r="M52" s="23">
        <v>131</v>
      </c>
      <c r="N52" s="23">
        <v>150</v>
      </c>
      <c r="O52" s="23">
        <v>170</v>
      </c>
      <c r="P52" s="23">
        <v>190</v>
      </c>
      <c r="Q52" s="23">
        <v>212</v>
      </c>
      <c r="R52" s="23">
        <v>235</v>
      </c>
      <c r="S52" s="23">
        <v>259</v>
      </c>
      <c r="T52" s="23"/>
      <c r="U52" s="23"/>
      <c r="V52" s="23"/>
      <c r="W52" s="23"/>
      <c r="X52" s="23"/>
      <c r="Y52" s="23"/>
      <c r="Z52" s="60"/>
    </row>
    <row r="53" spans="1:26" x14ac:dyDescent="0.35">
      <c r="A53">
        <f t="shared" si="3"/>
        <v>19</v>
      </c>
      <c r="B53" s="59"/>
      <c r="C53" s="23">
        <v>4</v>
      </c>
      <c r="D53" s="23">
        <v>10</v>
      </c>
      <c r="E53" s="23">
        <v>19</v>
      </c>
      <c r="F53" s="23">
        <v>30</v>
      </c>
      <c r="G53" s="23">
        <v>41</v>
      </c>
      <c r="H53" s="23">
        <v>54</v>
      </c>
      <c r="I53" s="23">
        <v>68</v>
      </c>
      <c r="J53" s="23">
        <v>83</v>
      </c>
      <c r="K53" s="23">
        <v>99</v>
      </c>
      <c r="L53" s="23">
        <v>116</v>
      </c>
      <c r="M53" s="23">
        <v>134</v>
      </c>
      <c r="N53" s="23">
        <v>154</v>
      </c>
      <c r="O53" s="23">
        <v>174</v>
      </c>
      <c r="P53" s="23">
        <v>195</v>
      </c>
      <c r="Q53" s="23">
        <v>218</v>
      </c>
      <c r="R53" s="23">
        <v>241</v>
      </c>
      <c r="S53" s="23">
        <v>265</v>
      </c>
      <c r="T53" s="23">
        <v>291</v>
      </c>
      <c r="U53" s="23"/>
      <c r="V53" s="23"/>
      <c r="W53" s="23"/>
      <c r="X53" s="23"/>
      <c r="Y53" s="23"/>
      <c r="Z53" s="60"/>
    </row>
    <row r="54" spans="1:26" x14ac:dyDescent="0.35">
      <c r="A54">
        <f t="shared" si="3"/>
        <v>20</v>
      </c>
      <c r="B54" s="59"/>
      <c r="C54" s="23">
        <v>4</v>
      </c>
      <c r="D54" s="23">
        <v>11</v>
      </c>
      <c r="E54" s="23">
        <v>20</v>
      </c>
      <c r="F54" s="23">
        <v>31</v>
      </c>
      <c r="G54" s="23">
        <v>43</v>
      </c>
      <c r="H54" s="23">
        <v>56</v>
      </c>
      <c r="I54" s="23">
        <v>70</v>
      </c>
      <c r="J54" s="23">
        <v>85</v>
      </c>
      <c r="K54" s="23">
        <v>102</v>
      </c>
      <c r="L54" s="23">
        <v>119</v>
      </c>
      <c r="M54" s="23">
        <v>138</v>
      </c>
      <c r="N54" s="23">
        <v>158</v>
      </c>
      <c r="O54" s="23">
        <v>178</v>
      </c>
      <c r="P54" s="23">
        <v>200</v>
      </c>
      <c r="Q54" s="23">
        <v>223</v>
      </c>
      <c r="R54" s="23">
        <v>246</v>
      </c>
      <c r="S54" s="23">
        <v>271</v>
      </c>
      <c r="T54" s="23">
        <v>297</v>
      </c>
      <c r="U54" s="23">
        <v>324</v>
      </c>
      <c r="V54" s="23"/>
      <c r="W54" s="23"/>
      <c r="X54" s="23"/>
      <c r="Y54" s="23"/>
      <c r="Z54" s="60"/>
    </row>
    <row r="55" spans="1:26" x14ac:dyDescent="0.35">
      <c r="A55">
        <f t="shared" si="3"/>
        <v>21</v>
      </c>
      <c r="B55" s="59"/>
      <c r="C55" s="23">
        <v>4</v>
      </c>
      <c r="D55" s="23">
        <v>11</v>
      </c>
      <c r="E55" s="23">
        <v>21</v>
      </c>
      <c r="F55" s="23">
        <v>32</v>
      </c>
      <c r="G55" s="23">
        <v>44</v>
      </c>
      <c r="H55" s="23">
        <v>58</v>
      </c>
      <c r="I55" s="23">
        <v>72</v>
      </c>
      <c r="J55" s="23">
        <v>88</v>
      </c>
      <c r="K55" s="23">
        <v>105</v>
      </c>
      <c r="L55" s="23">
        <v>123</v>
      </c>
      <c r="M55" s="23">
        <v>142</v>
      </c>
      <c r="N55" s="23">
        <v>162</v>
      </c>
      <c r="O55" s="23">
        <v>183</v>
      </c>
      <c r="P55" s="23">
        <v>205</v>
      </c>
      <c r="Q55" s="23">
        <v>228</v>
      </c>
      <c r="R55" s="23">
        <v>252</v>
      </c>
      <c r="S55" s="23">
        <v>277</v>
      </c>
      <c r="T55" s="23">
        <v>303</v>
      </c>
      <c r="U55" s="23">
        <v>331</v>
      </c>
      <c r="V55" s="23">
        <v>359</v>
      </c>
      <c r="W55" s="23"/>
      <c r="X55" s="23"/>
      <c r="Y55" s="23"/>
      <c r="Z55" s="60"/>
    </row>
    <row r="56" spans="1:26" x14ac:dyDescent="0.35">
      <c r="A56">
        <f t="shared" si="3"/>
        <v>22</v>
      </c>
      <c r="B56" s="59"/>
      <c r="C56" s="23">
        <v>4</v>
      </c>
      <c r="D56" s="23">
        <v>12</v>
      </c>
      <c r="E56" s="23">
        <v>21</v>
      </c>
      <c r="F56" s="23">
        <v>33</v>
      </c>
      <c r="G56" s="23">
        <v>45</v>
      </c>
      <c r="H56" s="23">
        <v>59</v>
      </c>
      <c r="I56" s="23">
        <v>74</v>
      </c>
      <c r="J56" s="23">
        <v>90</v>
      </c>
      <c r="K56" s="23">
        <v>108</v>
      </c>
      <c r="L56" s="23">
        <v>126</v>
      </c>
      <c r="M56" s="23">
        <v>145</v>
      </c>
      <c r="N56" s="23">
        <v>166</v>
      </c>
      <c r="O56" s="23">
        <v>187</v>
      </c>
      <c r="P56" s="23">
        <v>210</v>
      </c>
      <c r="Q56" s="23">
        <v>233</v>
      </c>
      <c r="R56" s="23">
        <v>258</v>
      </c>
      <c r="S56" s="23">
        <v>283</v>
      </c>
      <c r="T56" s="23">
        <v>310</v>
      </c>
      <c r="U56" s="23">
        <v>337</v>
      </c>
      <c r="V56" s="23">
        <v>366</v>
      </c>
      <c r="W56" s="23">
        <v>396</v>
      </c>
      <c r="X56" s="23"/>
      <c r="Y56" s="23"/>
      <c r="Z56" s="60"/>
    </row>
    <row r="57" spans="1:26" x14ac:dyDescent="0.35">
      <c r="A57">
        <f t="shared" si="3"/>
        <v>23</v>
      </c>
      <c r="B57" s="59"/>
      <c r="C57" s="23">
        <v>4</v>
      </c>
      <c r="D57" s="23">
        <v>12</v>
      </c>
      <c r="E57" s="23">
        <v>22</v>
      </c>
      <c r="F57" s="23">
        <v>34</v>
      </c>
      <c r="G57" s="23">
        <v>47</v>
      </c>
      <c r="H57" s="23">
        <v>61</v>
      </c>
      <c r="I57" s="23">
        <v>76</v>
      </c>
      <c r="J57" s="23">
        <v>93</v>
      </c>
      <c r="K57" s="23">
        <v>110</v>
      </c>
      <c r="L57" s="23">
        <v>129</v>
      </c>
      <c r="M57" s="23">
        <v>149</v>
      </c>
      <c r="N57" s="23">
        <v>170</v>
      </c>
      <c r="O57" s="23">
        <v>192</v>
      </c>
      <c r="P57" s="23">
        <v>214</v>
      </c>
      <c r="Q57" s="23">
        <v>238</v>
      </c>
      <c r="R57" s="23">
        <v>263</v>
      </c>
      <c r="S57" s="23">
        <v>289</v>
      </c>
      <c r="T57" s="23">
        <v>316</v>
      </c>
      <c r="U57" s="23">
        <v>344</v>
      </c>
      <c r="V57" s="23">
        <v>373</v>
      </c>
      <c r="W57" s="23">
        <v>403</v>
      </c>
      <c r="X57" s="23">
        <v>434</v>
      </c>
      <c r="Y57" s="23"/>
      <c r="Z57" s="60"/>
    </row>
    <row r="58" spans="1:26" x14ac:dyDescent="0.35">
      <c r="A58">
        <f t="shared" si="3"/>
        <v>24</v>
      </c>
      <c r="B58" s="59"/>
      <c r="C58" s="23">
        <v>4</v>
      </c>
      <c r="D58" s="23">
        <v>12</v>
      </c>
      <c r="E58" s="23">
        <v>23</v>
      </c>
      <c r="F58" s="23">
        <v>35</v>
      </c>
      <c r="G58" s="23">
        <v>48</v>
      </c>
      <c r="H58" s="23">
        <v>63</v>
      </c>
      <c r="I58" s="23">
        <v>78</v>
      </c>
      <c r="J58" s="23">
        <v>95</v>
      </c>
      <c r="K58" s="23">
        <v>113</v>
      </c>
      <c r="L58" s="23">
        <v>132</v>
      </c>
      <c r="M58" s="23">
        <v>153</v>
      </c>
      <c r="N58" s="23">
        <v>174</v>
      </c>
      <c r="O58" s="23">
        <v>196</v>
      </c>
      <c r="P58" s="23">
        <v>219</v>
      </c>
      <c r="Q58" s="23">
        <v>244</v>
      </c>
      <c r="R58" s="23">
        <v>269</v>
      </c>
      <c r="S58" s="23">
        <v>295</v>
      </c>
      <c r="T58" s="23">
        <v>323</v>
      </c>
      <c r="U58" s="23">
        <v>351</v>
      </c>
      <c r="V58" s="23">
        <v>381</v>
      </c>
      <c r="W58" s="23">
        <v>411</v>
      </c>
      <c r="X58" s="23">
        <v>443</v>
      </c>
      <c r="Y58" s="23">
        <v>475</v>
      </c>
      <c r="Z58" s="60"/>
    </row>
    <row r="59" spans="1:26" x14ac:dyDescent="0.35">
      <c r="A59">
        <f t="shared" si="3"/>
        <v>25</v>
      </c>
      <c r="B59" s="97" t="s">
        <v>76</v>
      </c>
      <c r="C59" s="10">
        <v>4</v>
      </c>
      <c r="D59" s="10">
        <v>13</v>
      </c>
      <c r="E59" s="10">
        <v>23</v>
      </c>
      <c r="F59" s="10">
        <v>36</v>
      </c>
      <c r="G59" s="10">
        <v>50</v>
      </c>
      <c r="H59" s="10">
        <v>64</v>
      </c>
      <c r="I59" s="10">
        <v>81</v>
      </c>
      <c r="J59" s="10">
        <v>98</v>
      </c>
      <c r="K59" s="10">
        <v>116</v>
      </c>
      <c r="L59" s="10">
        <v>136</v>
      </c>
      <c r="M59" s="10">
        <v>156</v>
      </c>
      <c r="N59" s="10">
        <v>178</v>
      </c>
      <c r="O59" s="10">
        <v>200</v>
      </c>
      <c r="P59" s="10">
        <v>224</v>
      </c>
      <c r="Q59" s="10">
        <v>249</v>
      </c>
      <c r="R59" s="10">
        <v>275</v>
      </c>
      <c r="S59" s="10">
        <v>301</v>
      </c>
      <c r="T59" s="10">
        <v>329</v>
      </c>
      <c r="U59" s="10">
        <v>358</v>
      </c>
      <c r="V59" s="10">
        <v>388</v>
      </c>
      <c r="W59" s="10">
        <v>419</v>
      </c>
      <c r="X59" s="10">
        <v>451</v>
      </c>
      <c r="Y59" s="10">
        <v>484</v>
      </c>
      <c r="Z59" s="48">
        <v>517</v>
      </c>
    </row>
    <row r="61" spans="1:26" x14ac:dyDescent="0.35">
      <c r="A61" s="1" t="s">
        <v>74</v>
      </c>
    </row>
    <row r="63" spans="1:26" ht="24" x14ac:dyDescent="0.5">
      <c r="A63" s="94" t="s">
        <v>72</v>
      </c>
      <c r="B63">
        <v>1</v>
      </c>
      <c r="C63">
        <f>B63+1</f>
        <v>2</v>
      </c>
      <c r="D63">
        <f t="shared" ref="D63:Z63" si="4">C63+1</f>
        <v>3</v>
      </c>
      <c r="E63">
        <f t="shared" si="4"/>
        <v>4</v>
      </c>
      <c r="F63">
        <f t="shared" si="4"/>
        <v>5</v>
      </c>
      <c r="G63">
        <f t="shared" si="4"/>
        <v>6</v>
      </c>
      <c r="H63">
        <f t="shared" si="4"/>
        <v>7</v>
      </c>
      <c r="I63">
        <f t="shared" si="4"/>
        <v>8</v>
      </c>
      <c r="J63">
        <f t="shared" si="4"/>
        <v>9</v>
      </c>
      <c r="K63">
        <f t="shared" si="4"/>
        <v>10</v>
      </c>
      <c r="L63">
        <f t="shared" si="4"/>
        <v>11</v>
      </c>
      <c r="M63">
        <f t="shared" si="4"/>
        <v>12</v>
      </c>
      <c r="N63">
        <f t="shared" si="4"/>
        <v>13</v>
      </c>
      <c r="O63">
        <f t="shared" si="4"/>
        <v>14</v>
      </c>
      <c r="P63">
        <f t="shared" si="4"/>
        <v>15</v>
      </c>
      <c r="Q63">
        <f t="shared" si="4"/>
        <v>16</v>
      </c>
      <c r="R63">
        <f t="shared" si="4"/>
        <v>17</v>
      </c>
      <c r="S63">
        <f t="shared" si="4"/>
        <v>18</v>
      </c>
      <c r="T63">
        <f t="shared" si="4"/>
        <v>19</v>
      </c>
      <c r="U63">
        <f t="shared" si="4"/>
        <v>20</v>
      </c>
      <c r="V63">
        <f t="shared" si="4"/>
        <v>21</v>
      </c>
      <c r="W63">
        <f t="shared" si="4"/>
        <v>22</v>
      </c>
      <c r="X63">
        <f t="shared" si="4"/>
        <v>23</v>
      </c>
      <c r="Y63">
        <f t="shared" si="4"/>
        <v>24</v>
      </c>
      <c r="Z63">
        <f t="shared" si="4"/>
        <v>25</v>
      </c>
    </row>
    <row r="64" spans="1:26" x14ac:dyDescent="0.35">
      <c r="A64">
        <v>1</v>
      </c>
      <c r="B64" s="9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96"/>
    </row>
    <row r="65" spans="1:26" x14ac:dyDescent="0.35">
      <c r="A65">
        <f>A64+1</f>
        <v>2</v>
      </c>
      <c r="B65" s="5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60"/>
    </row>
    <row r="66" spans="1:26" x14ac:dyDescent="0.35">
      <c r="A66">
        <f t="shared" ref="A66:A88" si="5">A65+1</f>
        <v>3</v>
      </c>
      <c r="B66" s="5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60"/>
    </row>
    <row r="67" spans="1:26" x14ac:dyDescent="0.35">
      <c r="A67">
        <f t="shared" si="5"/>
        <v>4</v>
      </c>
      <c r="B67" s="59"/>
      <c r="D67" s="29" t="s">
        <v>73</v>
      </c>
      <c r="E67" s="7">
        <v>10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60"/>
    </row>
    <row r="68" spans="1:26" x14ac:dyDescent="0.35">
      <c r="A68">
        <f t="shared" si="5"/>
        <v>5</v>
      </c>
      <c r="B68" s="59"/>
      <c r="D68" s="7">
        <v>6</v>
      </c>
      <c r="E68" s="7">
        <v>11</v>
      </c>
      <c r="F68" s="23">
        <v>17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60"/>
    </row>
    <row r="69" spans="1:26" x14ac:dyDescent="0.35">
      <c r="A69">
        <f t="shared" si="5"/>
        <v>6</v>
      </c>
      <c r="B69" s="59"/>
      <c r="D69" s="23">
        <v>7</v>
      </c>
      <c r="E69" s="7">
        <v>12</v>
      </c>
      <c r="F69" s="23">
        <v>18</v>
      </c>
      <c r="G69" s="23">
        <v>26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60"/>
    </row>
    <row r="70" spans="1:26" x14ac:dyDescent="0.35">
      <c r="A70">
        <f t="shared" si="5"/>
        <v>7</v>
      </c>
      <c r="B70" s="59"/>
      <c r="C70" s="31" t="s">
        <v>73</v>
      </c>
      <c r="D70" s="23">
        <v>7</v>
      </c>
      <c r="E70" s="23">
        <v>13</v>
      </c>
      <c r="F70" s="23">
        <v>20</v>
      </c>
      <c r="G70" s="23">
        <v>27</v>
      </c>
      <c r="H70" s="23">
        <v>36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60"/>
    </row>
    <row r="71" spans="1:26" x14ac:dyDescent="0.35">
      <c r="A71">
        <f t="shared" si="5"/>
        <v>8</v>
      </c>
      <c r="B71" s="59"/>
      <c r="C71" s="23">
        <v>3</v>
      </c>
      <c r="D71" s="23">
        <v>8</v>
      </c>
      <c r="E71" s="23">
        <v>14</v>
      </c>
      <c r="F71" s="23">
        <v>21</v>
      </c>
      <c r="G71" s="23">
        <v>29</v>
      </c>
      <c r="H71" s="23">
        <v>38</v>
      </c>
      <c r="I71" s="23">
        <v>49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60"/>
    </row>
    <row r="72" spans="1:26" x14ac:dyDescent="0.35">
      <c r="A72">
        <f t="shared" si="5"/>
        <v>9</v>
      </c>
      <c r="B72" s="59"/>
      <c r="C72" s="23">
        <v>3</v>
      </c>
      <c r="D72" s="23">
        <v>8</v>
      </c>
      <c r="E72" s="23">
        <v>14</v>
      </c>
      <c r="F72" s="23">
        <v>22</v>
      </c>
      <c r="G72" s="23">
        <v>31</v>
      </c>
      <c r="H72" s="23">
        <v>40</v>
      </c>
      <c r="I72" s="23">
        <v>51</v>
      </c>
      <c r="J72" s="23">
        <v>62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60"/>
    </row>
    <row r="73" spans="1:26" x14ac:dyDescent="0.35">
      <c r="A73">
        <f t="shared" si="5"/>
        <v>10</v>
      </c>
      <c r="B73" s="59"/>
      <c r="C73" s="23">
        <v>3</v>
      </c>
      <c r="D73" s="23">
        <v>9</v>
      </c>
      <c r="E73" s="23">
        <v>15</v>
      </c>
      <c r="F73" s="23">
        <v>23</v>
      </c>
      <c r="G73" s="23">
        <v>32</v>
      </c>
      <c r="H73" s="23">
        <v>42</v>
      </c>
      <c r="I73" s="23">
        <v>53</v>
      </c>
      <c r="J73" s="23">
        <v>65</v>
      </c>
      <c r="K73" s="23">
        <v>78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60"/>
    </row>
    <row r="74" spans="1:26" x14ac:dyDescent="0.35">
      <c r="A74">
        <f t="shared" si="5"/>
        <v>11</v>
      </c>
      <c r="B74" s="59"/>
      <c r="C74" s="23">
        <v>3</v>
      </c>
      <c r="D74" s="23">
        <v>9</v>
      </c>
      <c r="E74" s="23">
        <v>16</v>
      </c>
      <c r="F74" s="23">
        <v>24</v>
      </c>
      <c r="G74" s="23">
        <v>34</v>
      </c>
      <c r="H74" s="23">
        <v>44</v>
      </c>
      <c r="I74" s="23">
        <v>55</v>
      </c>
      <c r="J74" s="23">
        <v>68</v>
      </c>
      <c r="K74" s="23">
        <v>81</v>
      </c>
      <c r="L74" s="23">
        <v>96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60"/>
    </row>
    <row r="75" spans="1:26" x14ac:dyDescent="0.35">
      <c r="A75">
        <f t="shared" si="5"/>
        <v>12</v>
      </c>
      <c r="B75" s="59"/>
      <c r="C75" s="23">
        <v>4</v>
      </c>
      <c r="D75" s="23">
        <v>10</v>
      </c>
      <c r="E75" s="23">
        <v>17</v>
      </c>
      <c r="F75" s="23">
        <v>26</v>
      </c>
      <c r="G75" s="23">
        <v>35</v>
      </c>
      <c r="H75" s="23">
        <v>46</v>
      </c>
      <c r="I75" s="23">
        <v>58</v>
      </c>
      <c r="J75" s="23">
        <v>71</v>
      </c>
      <c r="K75" s="23">
        <v>84</v>
      </c>
      <c r="L75" s="23">
        <v>99</v>
      </c>
      <c r="M75" s="23">
        <v>115</v>
      </c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60"/>
    </row>
    <row r="76" spans="1:26" x14ac:dyDescent="0.35">
      <c r="A76">
        <f t="shared" si="5"/>
        <v>13</v>
      </c>
      <c r="B76" s="59"/>
      <c r="C76" s="23">
        <v>4</v>
      </c>
      <c r="D76" s="23">
        <v>10</v>
      </c>
      <c r="E76" s="23">
        <v>18</v>
      </c>
      <c r="F76" s="23">
        <v>27</v>
      </c>
      <c r="G76" s="23">
        <v>37</v>
      </c>
      <c r="H76" s="23">
        <v>48</v>
      </c>
      <c r="I76" s="23">
        <v>60</v>
      </c>
      <c r="J76" s="23">
        <v>73</v>
      </c>
      <c r="K76" s="23">
        <v>88</v>
      </c>
      <c r="L76" s="23">
        <v>103</v>
      </c>
      <c r="M76" s="23">
        <v>119</v>
      </c>
      <c r="N76" s="23">
        <v>136</v>
      </c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60"/>
    </row>
    <row r="77" spans="1:26" x14ac:dyDescent="0.35">
      <c r="A77">
        <f t="shared" si="5"/>
        <v>14</v>
      </c>
      <c r="B77" s="59"/>
      <c r="C77" s="23">
        <v>4</v>
      </c>
      <c r="D77" s="23">
        <v>11</v>
      </c>
      <c r="E77" s="23">
        <v>19</v>
      </c>
      <c r="F77" s="23">
        <v>28</v>
      </c>
      <c r="G77" s="23">
        <v>38</v>
      </c>
      <c r="H77" s="23">
        <v>50</v>
      </c>
      <c r="I77" s="23">
        <v>62</v>
      </c>
      <c r="J77" s="23">
        <v>76</v>
      </c>
      <c r="K77" s="23">
        <v>91</v>
      </c>
      <c r="L77" s="23">
        <v>106</v>
      </c>
      <c r="M77" s="23">
        <v>123</v>
      </c>
      <c r="N77" s="23">
        <v>141</v>
      </c>
      <c r="O77" s="23">
        <v>160</v>
      </c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60"/>
    </row>
    <row r="78" spans="1:26" x14ac:dyDescent="0.35">
      <c r="A78">
        <f t="shared" si="5"/>
        <v>15</v>
      </c>
      <c r="B78" s="59"/>
      <c r="C78" s="23">
        <v>4</v>
      </c>
      <c r="D78" s="23">
        <v>11</v>
      </c>
      <c r="E78" s="23">
        <v>20</v>
      </c>
      <c r="F78" s="23">
        <v>29</v>
      </c>
      <c r="G78" s="23">
        <v>40</v>
      </c>
      <c r="H78" s="23">
        <v>52</v>
      </c>
      <c r="I78" s="23">
        <v>65</v>
      </c>
      <c r="J78" s="23">
        <v>79</v>
      </c>
      <c r="K78" s="23">
        <v>94</v>
      </c>
      <c r="L78" s="23">
        <v>110</v>
      </c>
      <c r="M78" s="23">
        <v>127</v>
      </c>
      <c r="N78" s="23">
        <v>145</v>
      </c>
      <c r="O78" s="23">
        <v>164</v>
      </c>
      <c r="P78" s="23">
        <v>184</v>
      </c>
      <c r="Q78" s="23"/>
      <c r="R78" s="23"/>
      <c r="S78" s="23"/>
      <c r="T78" s="23"/>
      <c r="U78" s="23"/>
      <c r="V78" s="23"/>
      <c r="W78" s="23"/>
      <c r="X78" s="23"/>
      <c r="Y78" s="23"/>
      <c r="Z78" s="60"/>
    </row>
    <row r="79" spans="1:26" x14ac:dyDescent="0.35">
      <c r="A79">
        <f t="shared" si="5"/>
        <v>16</v>
      </c>
      <c r="B79" s="59"/>
      <c r="C79" s="23">
        <v>4</v>
      </c>
      <c r="D79" s="23">
        <v>12</v>
      </c>
      <c r="E79" s="23">
        <v>21</v>
      </c>
      <c r="F79" s="23">
        <v>30</v>
      </c>
      <c r="G79" s="23">
        <v>42</v>
      </c>
      <c r="H79" s="23">
        <v>54</v>
      </c>
      <c r="I79" s="23">
        <v>67</v>
      </c>
      <c r="J79" s="23">
        <v>82</v>
      </c>
      <c r="K79" s="23">
        <v>97</v>
      </c>
      <c r="L79" s="23">
        <v>113</v>
      </c>
      <c r="M79" s="23">
        <v>131</v>
      </c>
      <c r="N79" s="23">
        <v>150</v>
      </c>
      <c r="O79" s="23">
        <v>169</v>
      </c>
      <c r="P79" s="23">
        <v>190</v>
      </c>
      <c r="Q79" s="23">
        <v>211</v>
      </c>
      <c r="R79" s="23"/>
      <c r="S79" s="23"/>
      <c r="T79" s="23"/>
      <c r="U79" s="23"/>
      <c r="V79" s="23"/>
      <c r="W79" s="23"/>
      <c r="X79" s="23"/>
      <c r="Y79" s="23"/>
      <c r="Z79" s="60"/>
    </row>
    <row r="80" spans="1:26" x14ac:dyDescent="0.35">
      <c r="A80">
        <f t="shared" si="5"/>
        <v>17</v>
      </c>
      <c r="B80" s="59"/>
      <c r="C80" s="23">
        <v>5</v>
      </c>
      <c r="D80" s="23">
        <v>12</v>
      </c>
      <c r="E80" s="23">
        <v>21</v>
      </c>
      <c r="F80" s="23">
        <v>32</v>
      </c>
      <c r="G80" s="23">
        <v>43</v>
      </c>
      <c r="H80" s="23">
        <v>56</v>
      </c>
      <c r="I80" s="23">
        <v>70</v>
      </c>
      <c r="J80" s="23">
        <v>84</v>
      </c>
      <c r="K80" s="23">
        <v>100</v>
      </c>
      <c r="L80" s="23">
        <v>117</v>
      </c>
      <c r="M80" s="23">
        <v>135</v>
      </c>
      <c r="N80" s="23">
        <v>154</v>
      </c>
      <c r="O80" s="23">
        <v>174</v>
      </c>
      <c r="P80" s="23">
        <v>195</v>
      </c>
      <c r="Q80" s="23">
        <v>217</v>
      </c>
      <c r="R80" s="23">
        <v>240</v>
      </c>
      <c r="S80" s="23"/>
      <c r="T80" s="23"/>
      <c r="U80" s="23"/>
      <c r="V80" s="23"/>
      <c r="W80" s="23"/>
      <c r="X80" s="23"/>
      <c r="Y80" s="23"/>
      <c r="Z80" s="60"/>
    </row>
    <row r="81" spans="1:26" x14ac:dyDescent="0.35">
      <c r="A81">
        <f t="shared" si="5"/>
        <v>18</v>
      </c>
      <c r="B81" s="59"/>
      <c r="C81" s="23">
        <v>5</v>
      </c>
      <c r="D81" s="23">
        <v>13</v>
      </c>
      <c r="E81" s="23">
        <v>22</v>
      </c>
      <c r="F81" s="23">
        <v>33</v>
      </c>
      <c r="G81" s="23">
        <v>45</v>
      </c>
      <c r="H81" s="23">
        <v>58</v>
      </c>
      <c r="I81" s="23">
        <v>72</v>
      </c>
      <c r="J81" s="23">
        <v>87</v>
      </c>
      <c r="K81" s="23">
        <v>103</v>
      </c>
      <c r="L81" s="23">
        <v>121</v>
      </c>
      <c r="M81" s="23">
        <v>139</v>
      </c>
      <c r="N81" s="23">
        <v>158</v>
      </c>
      <c r="O81" s="23">
        <v>179</v>
      </c>
      <c r="P81" s="23">
        <v>200</v>
      </c>
      <c r="Q81" s="23">
        <v>222</v>
      </c>
      <c r="R81" s="23">
        <v>246</v>
      </c>
      <c r="S81" s="23">
        <v>270</v>
      </c>
      <c r="T81" s="23"/>
      <c r="U81" s="23"/>
      <c r="V81" s="23"/>
      <c r="W81" s="23"/>
      <c r="X81" s="23"/>
      <c r="Y81" s="23"/>
      <c r="Z81" s="60"/>
    </row>
    <row r="82" spans="1:26" x14ac:dyDescent="0.35">
      <c r="A82">
        <f t="shared" si="5"/>
        <v>19</v>
      </c>
      <c r="B82" s="59"/>
      <c r="C82" s="23">
        <v>5</v>
      </c>
      <c r="D82" s="23">
        <v>13</v>
      </c>
      <c r="E82" s="23">
        <v>23</v>
      </c>
      <c r="F82" s="23">
        <v>34</v>
      </c>
      <c r="G82" s="23">
        <v>46</v>
      </c>
      <c r="H82" s="23">
        <v>60</v>
      </c>
      <c r="I82" s="23">
        <v>74</v>
      </c>
      <c r="J82" s="23">
        <v>90</v>
      </c>
      <c r="K82" s="23">
        <v>107</v>
      </c>
      <c r="L82" s="23">
        <v>124</v>
      </c>
      <c r="M82" s="23">
        <v>143</v>
      </c>
      <c r="N82" s="23">
        <v>163</v>
      </c>
      <c r="O82" s="23">
        <v>183</v>
      </c>
      <c r="P82" s="23">
        <v>205</v>
      </c>
      <c r="Q82" s="23">
        <v>228</v>
      </c>
      <c r="R82" s="23">
        <v>252</v>
      </c>
      <c r="S82" s="23">
        <v>277</v>
      </c>
      <c r="T82" s="23">
        <v>303</v>
      </c>
      <c r="U82" s="23"/>
      <c r="V82" s="23"/>
      <c r="W82" s="23"/>
      <c r="X82" s="23"/>
      <c r="Y82" s="23"/>
      <c r="Z82" s="60"/>
    </row>
    <row r="83" spans="1:26" x14ac:dyDescent="0.35">
      <c r="A83">
        <f t="shared" si="5"/>
        <v>20</v>
      </c>
      <c r="B83" s="59"/>
      <c r="C83" s="23">
        <v>5</v>
      </c>
      <c r="D83" s="23">
        <v>14</v>
      </c>
      <c r="E83" s="23">
        <v>24</v>
      </c>
      <c r="F83" s="23">
        <v>35</v>
      </c>
      <c r="G83" s="23">
        <v>48</v>
      </c>
      <c r="H83" s="23">
        <v>62</v>
      </c>
      <c r="I83" s="23">
        <v>77</v>
      </c>
      <c r="J83" s="23">
        <v>93</v>
      </c>
      <c r="K83" s="23">
        <v>110</v>
      </c>
      <c r="L83" s="23">
        <v>128</v>
      </c>
      <c r="M83" s="23">
        <v>147</v>
      </c>
      <c r="N83" s="23">
        <v>167</v>
      </c>
      <c r="O83" s="23">
        <v>188</v>
      </c>
      <c r="P83" s="23">
        <v>210</v>
      </c>
      <c r="Q83" s="23">
        <v>234</v>
      </c>
      <c r="R83" s="23">
        <v>258</v>
      </c>
      <c r="S83" s="23">
        <v>283</v>
      </c>
      <c r="T83" s="23">
        <v>309</v>
      </c>
      <c r="U83" s="23">
        <v>337</v>
      </c>
      <c r="V83" s="23"/>
      <c r="W83" s="23"/>
      <c r="X83" s="23"/>
      <c r="Y83" s="23"/>
      <c r="Z83" s="60"/>
    </row>
    <row r="84" spans="1:26" x14ac:dyDescent="0.35">
      <c r="A84">
        <f t="shared" si="5"/>
        <v>21</v>
      </c>
      <c r="B84" s="59"/>
      <c r="C84" s="23">
        <v>6</v>
      </c>
      <c r="D84" s="23">
        <v>14</v>
      </c>
      <c r="E84" s="23">
        <v>25</v>
      </c>
      <c r="F84" s="23">
        <v>37</v>
      </c>
      <c r="G84" s="23">
        <v>50</v>
      </c>
      <c r="H84" s="23">
        <v>64</v>
      </c>
      <c r="I84" s="23">
        <v>79</v>
      </c>
      <c r="J84" s="23">
        <v>95</v>
      </c>
      <c r="K84" s="23">
        <v>113</v>
      </c>
      <c r="L84" s="23">
        <v>131</v>
      </c>
      <c r="M84" s="23">
        <v>151</v>
      </c>
      <c r="N84" s="23">
        <v>171</v>
      </c>
      <c r="O84" s="23">
        <v>193</v>
      </c>
      <c r="P84" s="23">
        <v>216</v>
      </c>
      <c r="Q84" s="23">
        <v>239</v>
      </c>
      <c r="R84" s="23">
        <v>264</v>
      </c>
      <c r="S84" s="23">
        <v>290</v>
      </c>
      <c r="T84" s="23">
        <v>316</v>
      </c>
      <c r="U84" s="23">
        <v>344</v>
      </c>
      <c r="V84" s="23">
        <v>373</v>
      </c>
      <c r="W84" s="23"/>
      <c r="X84" s="23"/>
      <c r="Y84" s="23"/>
      <c r="Z84" s="60"/>
    </row>
    <row r="85" spans="1:26" x14ac:dyDescent="0.35">
      <c r="A85">
        <f t="shared" si="5"/>
        <v>22</v>
      </c>
      <c r="B85" s="59"/>
      <c r="C85" s="23">
        <v>6</v>
      </c>
      <c r="D85" s="23">
        <v>15</v>
      </c>
      <c r="E85" s="23">
        <v>26</v>
      </c>
      <c r="F85" s="23">
        <v>38</v>
      </c>
      <c r="G85" s="23">
        <v>51</v>
      </c>
      <c r="H85" s="23">
        <v>66</v>
      </c>
      <c r="I85" s="23">
        <v>81</v>
      </c>
      <c r="J85" s="23">
        <v>98</v>
      </c>
      <c r="K85" s="23">
        <v>116</v>
      </c>
      <c r="L85" s="23">
        <v>135</v>
      </c>
      <c r="M85" s="23">
        <v>155</v>
      </c>
      <c r="N85" s="23">
        <v>176</v>
      </c>
      <c r="O85" s="23">
        <v>198</v>
      </c>
      <c r="P85" s="23">
        <v>221</v>
      </c>
      <c r="Q85" s="23">
        <v>245</v>
      </c>
      <c r="R85" s="23">
        <v>270</v>
      </c>
      <c r="S85" s="23">
        <v>296</v>
      </c>
      <c r="T85" s="23">
        <v>323</v>
      </c>
      <c r="U85" s="23">
        <v>351</v>
      </c>
      <c r="V85" s="23">
        <v>381</v>
      </c>
      <c r="W85" s="23">
        <v>411</v>
      </c>
      <c r="X85" s="23"/>
      <c r="Y85" s="23"/>
      <c r="Z85" s="60"/>
    </row>
    <row r="86" spans="1:26" x14ac:dyDescent="0.35">
      <c r="A86">
        <f t="shared" si="5"/>
        <v>23</v>
      </c>
      <c r="B86" s="59"/>
      <c r="C86" s="23">
        <v>6</v>
      </c>
      <c r="D86" s="23">
        <v>15</v>
      </c>
      <c r="E86" s="23">
        <v>27</v>
      </c>
      <c r="F86" s="23">
        <v>39</v>
      </c>
      <c r="G86" s="23">
        <v>53</v>
      </c>
      <c r="H86" s="23">
        <v>68</v>
      </c>
      <c r="I86" s="23">
        <v>84</v>
      </c>
      <c r="J86" s="23">
        <v>101</v>
      </c>
      <c r="K86" s="23">
        <v>119</v>
      </c>
      <c r="L86" s="23">
        <v>139</v>
      </c>
      <c r="M86" s="23">
        <v>159</v>
      </c>
      <c r="N86" s="23">
        <v>180</v>
      </c>
      <c r="O86" s="23">
        <v>203</v>
      </c>
      <c r="P86" s="23">
        <v>226</v>
      </c>
      <c r="Q86" s="23">
        <v>251</v>
      </c>
      <c r="R86" s="23">
        <v>276</v>
      </c>
      <c r="S86" s="23">
        <v>303</v>
      </c>
      <c r="T86" s="23">
        <v>330</v>
      </c>
      <c r="U86" s="23">
        <v>359</v>
      </c>
      <c r="V86" s="23">
        <v>388</v>
      </c>
      <c r="W86" s="23">
        <v>419</v>
      </c>
      <c r="X86" s="23">
        <v>451</v>
      </c>
      <c r="Y86" s="23"/>
      <c r="Z86" s="60"/>
    </row>
    <row r="87" spans="1:26" x14ac:dyDescent="0.35">
      <c r="A87">
        <f t="shared" si="5"/>
        <v>24</v>
      </c>
      <c r="B87" s="59"/>
      <c r="C87" s="23">
        <v>6</v>
      </c>
      <c r="D87" s="23">
        <v>16</v>
      </c>
      <c r="E87" s="23">
        <v>27</v>
      </c>
      <c r="F87" s="23">
        <v>40</v>
      </c>
      <c r="G87" s="23">
        <v>54</v>
      </c>
      <c r="H87" s="23">
        <v>70</v>
      </c>
      <c r="I87" s="23">
        <v>86</v>
      </c>
      <c r="J87" s="23">
        <v>104</v>
      </c>
      <c r="K87" s="23">
        <v>122</v>
      </c>
      <c r="L87" s="23">
        <v>142</v>
      </c>
      <c r="M87" s="23">
        <v>163</v>
      </c>
      <c r="N87" s="23">
        <v>185</v>
      </c>
      <c r="O87" s="23">
        <v>207</v>
      </c>
      <c r="P87" s="23">
        <v>231</v>
      </c>
      <c r="Q87" s="23">
        <v>256</v>
      </c>
      <c r="R87" s="23">
        <v>282</v>
      </c>
      <c r="S87" s="23">
        <v>309</v>
      </c>
      <c r="T87" s="23">
        <v>337</v>
      </c>
      <c r="U87" s="23">
        <v>366</v>
      </c>
      <c r="V87" s="23">
        <v>396</v>
      </c>
      <c r="W87" s="23">
        <v>427</v>
      </c>
      <c r="X87" s="23">
        <v>459</v>
      </c>
      <c r="Y87" s="23">
        <v>492</v>
      </c>
      <c r="Z87" s="60"/>
    </row>
    <row r="88" spans="1:26" x14ac:dyDescent="0.35">
      <c r="A88">
        <f t="shared" si="5"/>
        <v>25</v>
      </c>
      <c r="B88" s="97" t="s">
        <v>73</v>
      </c>
      <c r="C88" s="10">
        <v>6</v>
      </c>
      <c r="D88" s="10">
        <v>16</v>
      </c>
      <c r="E88" s="10">
        <v>28</v>
      </c>
      <c r="F88" s="10">
        <v>42</v>
      </c>
      <c r="G88" s="10">
        <v>56</v>
      </c>
      <c r="H88" s="10">
        <v>72</v>
      </c>
      <c r="I88" s="10">
        <v>89</v>
      </c>
      <c r="J88" s="10">
        <v>107</v>
      </c>
      <c r="K88" s="10">
        <v>126</v>
      </c>
      <c r="L88" s="10">
        <v>146</v>
      </c>
      <c r="M88" s="10">
        <v>167</v>
      </c>
      <c r="N88" s="10">
        <v>189</v>
      </c>
      <c r="O88" s="10">
        <v>212</v>
      </c>
      <c r="P88" s="10">
        <v>237</v>
      </c>
      <c r="Q88" s="10">
        <v>262</v>
      </c>
      <c r="R88" s="10">
        <v>288</v>
      </c>
      <c r="S88" s="10">
        <v>316</v>
      </c>
      <c r="T88" s="10">
        <v>344</v>
      </c>
      <c r="U88" s="10">
        <v>373</v>
      </c>
      <c r="V88" s="10">
        <v>404</v>
      </c>
      <c r="W88" s="10">
        <v>435</v>
      </c>
      <c r="X88" s="10">
        <v>468</v>
      </c>
      <c r="Y88" s="10">
        <v>501</v>
      </c>
      <c r="Z88" s="48">
        <v>536</v>
      </c>
    </row>
    <row r="90" spans="1:26" x14ac:dyDescent="0.35">
      <c r="A90" s="1" t="s">
        <v>148</v>
      </c>
    </row>
    <row r="92" spans="1:26" ht="24" x14ac:dyDescent="0.5">
      <c r="A92" s="94" t="s">
        <v>72</v>
      </c>
      <c r="B92">
        <v>1</v>
      </c>
      <c r="C92">
        <f t="shared" ref="C92:Z92" si="6">B92+1</f>
        <v>2</v>
      </c>
      <c r="D92">
        <f t="shared" si="6"/>
        <v>3</v>
      </c>
      <c r="E92">
        <f t="shared" si="6"/>
        <v>4</v>
      </c>
      <c r="F92">
        <f t="shared" si="6"/>
        <v>5</v>
      </c>
      <c r="G92">
        <f t="shared" si="6"/>
        <v>6</v>
      </c>
      <c r="H92">
        <f t="shared" si="6"/>
        <v>7</v>
      </c>
      <c r="I92">
        <f t="shared" si="6"/>
        <v>8</v>
      </c>
      <c r="J92">
        <f t="shared" si="6"/>
        <v>9</v>
      </c>
      <c r="K92">
        <f t="shared" si="6"/>
        <v>10</v>
      </c>
      <c r="L92">
        <f t="shared" si="6"/>
        <v>11</v>
      </c>
      <c r="M92">
        <f t="shared" si="6"/>
        <v>12</v>
      </c>
      <c r="N92">
        <f t="shared" si="6"/>
        <v>13</v>
      </c>
      <c r="O92">
        <f t="shared" si="6"/>
        <v>14</v>
      </c>
      <c r="P92">
        <f t="shared" si="6"/>
        <v>15</v>
      </c>
      <c r="Q92">
        <f t="shared" si="6"/>
        <v>16</v>
      </c>
      <c r="R92">
        <f t="shared" si="6"/>
        <v>17</v>
      </c>
      <c r="S92">
        <f t="shared" si="6"/>
        <v>18</v>
      </c>
      <c r="T92">
        <f t="shared" si="6"/>
        <v>19</v>
      </c>
      <c r="U92">
        <f t="shared" si="6"/>
        <v>20</v>
      </c>
      <c r="V92">
        <f t="shared" si="6"/>
        <v>21</v>
      </c>
      <c r="W92">
        <f t="shared" si="6"/>
        <v>22</v>
      </c>
      <c r="X92">
        <f t="shared" si="6"/>
        <v>23</v>
      </c>
      <c r="Y92">
        <f t="shared" si="6"/>
        <v>24</v>
      </c>
      <c r="Z92">
        <f t="shared" si="6"/>
        <v>25</v>
      </c>
    </row>
    <row r="93" spans="1:26" x14ac:dyDescent="0.35">
      <c r="A93">
        <v>1</v>
      </c>
      <c r="B93" s="9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96"/>
    </row>
    <row r="94" spans="1:26" x14ac:dyDescent="0.35">
      <c r="A94">
        <f>A93+1</f>
        <v>2</v>
      </c>
      <c r="B94" s="5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60"/>
    </row>
    <row r="95" spans="1:26" x14ac:dyDescent="0.35">
      <c r="A95">
        <f t="shared" ref="A95:A117" si="7">A94+1</f>
        <v>3</v>
      </c>
      <c r="B95" s="59"/>
      <c r="D95" s="7">
        <v>6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60"/>
    </row>
    <row r="96" spans="1:26" x14ac:dyDescent="0.35">
      <c r="A96">
        <f t="shared" si="7"/>
        <v>4</v>
      </c>
      <c r="B96" s="59"/>
      <c r="C96" s="12" t="s">
        <v>76</v>
      </c>
      <c r="D96" s="7">
        <v>6</v>
      </c>
      <c r="E96" s="7">
        <v>11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60"/>
    </row>
    <row r="97" spans="1:26" x14ac:dyDescent="0.35">
      <c r="A97">
        <f t="shared" si="7"/>
        <v>5</v>
      </c>
      <c r="B97" s="59"/>
      <c r="C97" s="7">
        <v>3</v>
      </c>
      <c r="D97" s="7">
        <v>7</v>
      </c>
      <c r="E97" s="7">
        <v>12</v>
      </c>
      <c r="F97" s="23">
        <v>19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60"/>
    </row>
    <row r="98" spans="1:26" x14ac:dyDescent="0.35">
      <c r="A98">
        <f t="shared" si="7"/>
        <v>6</v>
      </c>
      <c r="B98" s="59"/>
      <c r="C98" s="7">
        <v>3</v>
      </c>
      <c r="D98" s="23">
        <v>8</v>
      </c>
      <c r="E98" s="7">
        <v>13</v>
      </c>
      <c r="F98" s="23">
        <v>20</v>
      </c>
      <c r="G98" s="23">
        <v>28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60"/>
    </row>
    <row r="99" spans="1:26" x14ac:dyDescent="0.35">
      <c r="A99">
        <f t="shared" si="7"/>
        <v>7</v>
      </c>
      <c r="B99" s="59"/>
      <c r="C99" s="7">
        <v>3</v>
      </c>
      <c r="D99" s="23">
        <v>8</v>
      </c>
      <c r="E99" s="23">
        <v>14</v>
      </c>
      <c r="F99" s="23">
        <v>21</v>
      </c>
      <c r="G99" s="23">
        <v>29</v>
      </c>
      <c r="H99" s="23">
        <v>39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60"/>
    </row>
    <row r="100" spans="1:26" x14ac:dyDescent="0.35">
      <c r="A100">
        <f t="shared" si="7"/>
        <v>8</v>
      </c>
      <c r="B100" s="59"/>
      <c r="C100" s="23">
        <v>4</v>
      </c>
      <c r="D100" s="23">
        <v>9</v>
      </c>
      <c r="E100" s="23">
        <v>15</v>
      </c>
      <c r="F100" s="23">
        <v>23</v>
      </c>
      <c r="G100" s="23">
        <v>31</v>
      </c>
      <c r="H100" s="23">
        <v>41</v>
      </c>
      <c r="I100" s="23">
        <v>51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60"/>
    </row>
    <row r="101" spans="1:26" x14ac:dyDescent="0.35">
      <c r="A101">
        <f t="shared" si="7"/>
        <v>9</v>
      </c>
      <c r="B101" s="59"/>
      <c r="C101" s="23">
        <v>4</v>
      </c>
      <c r="D101" s="23">
        <v>10</v>
      </c>
      <c r="E101" s="23">
        <v>16</v>
      </c>
      <c r="F101" s="23">
        <v>24</v>
      </c>
      <c r="G101" s="23">
        <v>33</v>
      </c>
      <c r="H101" s="23">
        <v>43</v>
      </c>
      <c r="I101" s="23">
        <v>54</v>
      </c>
      <c r="J101" s="23">
        <v>66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60"/>
    </row>
    <row r="102" spans="1:26" x14ac:dyDescent="0.35">
      <c r="A102">
        <f t="shared" si="7"/>
        <v>10</v>
      </c>
      <c r="B102" s="59"/>
      <c r="C102" s="23">
        <v>4</v>
      </c>
      <c r="D102" s="23">
        <v>10</v>
      </c>
      <c r="E102" s="23">
        <v>17</v>
      </c>
      <c r="F102" s="23">
        <v>26</v>
      </c>
      <c r="G102" s="23">
        <v>35</v>
      </c>
      <c r="H102" s="23">
        <v>45</v>
      </c>
      <c r="I102" s="23">
        <v>56</v>
      </c>
      <c r="J102" s="23">
        <v>69</v>
      </c>
      <c r="K102" s="23">
        <v>82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60"/>
    </row>
    <row r="103" spans="1:26" x14ac:dyDescent="0.35">
      <c r="A103">
        <f t="shared" si="7"/>
        <v>11</v>
      </c>
      <c r="B103" s="59"/>
      <c r="C103" s="23">
        <v>4</v>
      </c>
      <c r="D103" s="23">
        <v>11</v>
      </c>
      <c r="E103" s="23">
        <v>18</v>
      </c>
      <c r="F103" s="23">
        <v>27</v>
      </c>
      <c r="G103" s="23">
        <v>37</v>
      </c>
      <c r="H103" s="23">
        <v>47</v>
      </c>
      <c r="I103" s="23">
        <v>59</v>
      </c>
      <c r="J103" s="23">
        <v>72</v>
      </c>
      <c r="K103" s="23">
        <v>86</v>
      </c>
      <c r="L103" s="23">
        <v>100</v>
      </c>
      <c r="M103" s="7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60"/>
    </row>
    <row r="104" spans="1:26" x14ac:dyDescent="0.35">
      <c r="A104">
        <f t="shared" si="7"/>
        <v>12</v>
      </c>
      <c r="B104" s="59"/>
      <c r="C104" s="23">
        <v>5</v>
      </c>
      <c r="D104" s="23">
        <v>11</v>
      </c>
      <c r="E104" s="23">
        <v>19</v>
      </c>
      <c r="F104" s="23">
        <v>28</v>
      </c>
      <c r="G104" s="23">
        <v>38</v>
      </c>
      <c r="H104" s="23">
        <v>49</v>
      </c>
      <c r="I104" s="23">
        <v>62</v>
      </c>
      <c r="J104" s="23">
        <v>75</v>
      </c>
      <c r="K104" s="23">
        <v>89</v>
      </c>
      <c r="L104" s="23">
        <v>104</v>
      </c>
      <c r="M104" s="23">
        <v>120</v>
      </c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60"/>
    </row>
    <row r="105" spans="1:26" x14ac:dyDescent="0.35">
      <c r="A105">
        <f t="shared" si="7"/>
        <v>13</v>
      </c>
      <c r="B105" s="59"/>
      <c r="C105" s="23">
        <v>5</v>
      </c>
      <c r="D105" s="23">
        <v>12</v>
      </c>
      <c r="E105" s="23">
        <v>20</v>
      </c>
      <c r="F105" s="23">
        <v>30</v>
      </c>
      <c r="G105" s="23">
        <v>40</v>
      </c>
      <c r="H105" s="23">
        <v>52</v>
      </c>
      <c r="I105" s="23">
        <v>64</v>
      </c>
      <c r="J105" s="23">
        <v>78</v>
      </c>
      <c r="K105" s="23">
        <v>92</v>
      </c>
      <c r="L105" s="23">
        <v>108</v>
      </c>
      <c r="M105" s="23">
        <v>125</v>
      </c>
      <c r="N105" s="23">
        <v>142</v>
      </c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60"/>
    </row>
    <row r="106" spans="1:26" x14ac:dyDescent="0.35">
      <c r="A106">
        <f t="shared" si="7"/>
        <v>14</v>
      </c>
      <c r="B106" s="59"/>
      <c r="C106" s="23">
        <v>6</v>
      </c>
      <c r="D106" s="23">
        <v>13</v>
      </c>
      <c r="E106" s="23">
        <v>21</v>
      </c>
      <c r="F106" s="23">
        <v>31</v>
      </c>
      <c r="G106" s="23">
        <v>42</v>
      </c>
      <c r="H106" s="23">
        <v>54</v>
      </c>
      <c r="I106" s="23">
        <v>67</v>
      </c>
      <c r="J106" s="23">
        <v>81</v>
      </c>
      <c r="K106" s="23">
        <v>96</v>
      </c>
      <c r="L106" s="23">
        <v>112</v>
      </c>
      <c r="M106" s="23">
        <v>129</v>
      </c>
      <c r="N106" s="23">
        <v>147</v>
      </c>
      <c r="O106" s="23">
        <v>166</v>
      </c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60"/>
    </row>
    <row r="107" spans="1:26" x14ac:dyDescent="0.35">
      <c r="A107">
        <f t="shared" si="7"/>
        <v>15</v>
      </c>
      <c r="B107" s="59"/>
      <c r="C107" s="23">
        <v>6</v>
      </c>
      <c r="D107" s="23">
        <v>13</v>
      </c>
      <c r="E107" s="23">
        <v>22</v>
      </c>
      <c r="F107" s="23">
        <v>33</v>
      </c>
      <c r="G107" s="23">
        <v>44</v>
      </c>
      <c r="H107" s="23">
        <v>56</v>
      </c>
      <c r="I107" s="23">
        <v>69</v>
      </c>
      <c r="J107" s="23">
        <v>84</v>
      </c>
      <c r="K107" s="23">
        <v>99</v>
      </c>
      <c r="L107" s="23">
        <v>116</v>
      </c>
      <c r="M107" s="23">
        <v>133</v>
      </c>
      <c r="N107" s="23">
        <v>152</v>
      </c>
      <c r="O107" s="23">
        <v>171</v>
      </c>
      <c r="P107" s="23">
        <v>192</v>
      </c>
      <c r="Q107" s="23"/>
      <c r="R107" s="23"/>
      <c r="S107" s="23"/>
      <c r="T107" s="23"/>
      <c r="U107" s="23"/>
      <c r="V107" s="23"/>
      <c r="W107" s="23"/>
      <c r="X107" s="23"/>
      <c r="Y107" s="23"/>
      <c r="Z107" s="60"/>
    </row>
    <row r="108" spans="1:26" x14ac:dyDescent="0.35">
      <c r="A108">
        <f t="shared" si="7"/>
        <v>16</v>
      </c>
      <c r="B108" s="59"/>
      <c r="C108" s="23">
        <v>6</v>
      </c>
      <c r="D108" s="23">
        <v>14</v>
      </c>
      <c r="E108" s="23">
        <v>24</v>
      </c>
      <c r="F108" s="23">
        <v>34</v>
      </c>
      <c r="G108" s="23">
        <v>46</v>
      </c>
      <c r="H108" s="23">
        <v>58</v>
      </c>
      <c r="I108" s="23">
        <v>72</v>
      </c>
      <c r="J108" s="23">
        <v>87</v>
      </c>
      <c r="K108" s="23">
        <v>103</v>
      </c>
      <c r="L108" s="23">
        <v>120</v>
      </c>
      <c r="M108" s="23">
        <v>138</v>
      </c>
      <c r="N108" s="23">
        <v>156</v>
      </c>
      <c r="O108" s="23">
        <v>176</v>
      </c>
      <c r="P108" s="23">
        <v>197</v>
      </c>
      <c r="Q108" s="23">
        <v>219</v>
      </c>
      <c r="R108" s="23"/>
      <c r="S108" s="23"/>
      <c r="T108" s="23"/>
      <c r="U108" s="23"/>
      <c r="V108" s="23"/>
      <c r="W108" s="23"/>
      <c r="X108" s="23"/>
      <c r="Y108" s="23"/>
      <c r="Z108" s="60"/>
    </row>
    <row r="109" spans="1:26" x14ac:dyDescent="0.35">
      <c r="A109">
        <f t="shared" si="7"/>
        <v>17</v>
      </c>
      <c r="B109" s="59"/>
      <c r="C109" s="23">
        <v>6</v>
      </c>
      <c r="D109" s="23">
        <v>15</v>
      </c>
      <c r="E109" s="23">
        <v>25</v>
      </c>
      <c r="F109" s="23">
        <v>35</v>
      </c>
      <c r="G109" s="23">
        <v>47</v>
      </c>
      <c r="H109" s="23">
        <v>61</v>
      </c>
      <c r="I109" s="23">
        <v>75</v>
      </c>
      <c r="J109" s="23">
        <v>90</v>
      </c>
      <c r="K109" s="23">
        <v>106</v>
      </c>
      <c r="L109" s="23">
        <v>123</v>
      </c>
      <c r="M109" s="23">
        <v>142</v>
      </c>
      <c r="N109" s="23">
        <v>161</v>
      </c>
      <c r="O109" s="23">
        <v>182</v>
      </c>
      <c r="P109" s="23">
        <v>203</v>
      </c>
      <c r="Q109" s="23">
        <v>225</v>
      </c>
      <c r="R109" s="23">
        <v>249</v>
      </c>
      <c r="S109" s="23"/>
      <c r="T109" s="23"/>
      <c r="U109" s="23"/>
      <c r="V109" s="23"/>
      <c r="W109" s="23"/>
      <c r="X109" s="23"/>
      <c r="Y109" s="23"/>
      <c r="Z109" s="60"/>
    </row>
    <row r="110" spans="1:26" x14ac:dyDescent="0.35">
      <c r="A110">
        <f t="shared" si="7"/>
        <v>18</v>
      </c>
      <c r="B110" s="85" t="s">
        <v>76</v>
      </c>
      <c r="C110" s="23">
        <v>7</v>
      </c>
      <c r="D110" s="23">
        <v>15</v>
      </c>
      <c r="E110" s="23">
        <v>26</v>
      </c>
      <c r="F110" s="23">
        <v>37</v>
      </c>
      <c r="G110" s="23">
        <v>49</v>
      </c>
      <c r="H110" s="23">
        <v>63</v>
      </c>
      <c r="I110" s="23">
        <v>77</v>
      </c>
      <c r="J110" s="23">
        <v>93</v>
      </c>
      <c r="K110" s="23">
        <v>110</v>
      </c>
      <c r="L110" s="23">
        <v>127</v>
      </c>
      <c r="M110" s="23">
        <v>146</v>
      </c>
      <c r="N110" s="23">
        <v>166</v>
      </c>
      <c r="O110" s="23">
        <v>187</v>
      </c>
      <c r="P110" s="23">
        <v>208</v>
      </c>
      <c r="Q110" s="23">
        <v>231</v>
      </c>
      <c r="R110" s="23">
        <v>255</v>
      </c>
      <c r="S110" s="23">
        <v>280</v>
      </c>
      <c r="T110" s="23"/>
      <c r="U110" s="23"/>
      <c r="V110" s="23"/>
      <c r="W110" s="23"/>
      <c r="X110" s="23"/>
      <c r="Y110" s="23"/>
      <c r="Z110" s="60"/>
    </row>
    <row r="111" spans="1:26" x14ac:dyDescent="0.35">
      <c r="A111">
        <f t="shared" si="7"/>
        <v>19</v>
      </c>
      <c r="B111" s="59">
        <v>1</v>
      </c>
      <c r="C111" s="23">
        <v>7</v>
      </c>
      <c r="D111" s="23">
        <v>16</v>
      </c>
      <c r="E111" s="23">
        <v>27</v>
      </c>
      <c r="F111" s="23">
        <v>38</v>
      </c>
      <c r="G111" s="23">
        <v>51</v>
      </c>
      <c r="H111" s="23">
        <v>65</v>
      </c>
      <c r="I111" s="23">
        <v>80</v>
      </c>
      <c r="J111" s="23">
        <v>96</v>
      </c>
      <c r="K111" s="23">
        <v>113</v>
      </c>
      <c r="L111" s="23">
        <v>131</v>
      </c>
      <c r="M111" s="23">
        <v>150</v>
      </c>
      <c r="N111" s="23">
        <v>171</v>
      </c>
      <c r="O111" s="23">
        <v>192</v>
      </c>
      <c r="P111" s="23">
        <v>214</v>
      </c>
      <c r="Q111" s="23">
        <v>237</v>
      </c>
      <c r="R111" s="23">
        <v>262</v>
      </c>
      <c r="S111" s="23">
        <v>287</v>
      </c>
      <c r="T111" s="23">
        <v>313</v>
      </c>
      <c r="U111" s="23"/>
      <c r="V111" s="23"/>
      <c r="W111" s="23"/>
      <c r="X111" s="23"/>
      <c r="Y111" s="23"/>
      <c r="Z111" s="60"/>
    </row>
    <row r="112" spans="1:26" x14ac:dyDescent="0.35">
      <c r="A112">
        <f t="shared" si="7"/>
        <v>20</v>
      </c>
      <c r="B112" s="59">
        <v>1</v>
      </c>
      <c r="C112" s="23">
        <v>7</v>
      </c>
      <c r="D112" s="23">
        <v>17</v>
      </c>
      <c r="E112" s="23">
        <v>28</v>
      </c>
      <c r="F112" s="23">
        <v>40</v>
      </c>
      <c r="G112" s="23">
        <v>53</v>
      </c>
      <c r="H112" s="23">
        <v>67</v>
      </c>
      <c r="I112" s="23">
        <v>83</v>
      </c>
      <c r="J112" s="23">
        <v>99</v>
      </c>
      <c r="K112" s="23">
        <v>117</v>
      </c>
      <c r="L112" s="23">
        <v>135</v>
      </c>
      <c r="M112" s="23">
        <v>155</v>
      </c>
      <c r="N112" s="23">
        <v>175</v>
      </c>
      <c r="O112" s="23">
        <v>197</v>
      </c>
      <c r="P112" s="23">
        <v>220</v>
      </c>
      <c r="Q112" s="23">
        <v>243</v>
      </c>
      <c r="R112" s="23">
        <v>268</v>
      </c>
      <c r="S112" s="23">
        <v>294</v>
      </c>
      <c r="T112" s="23">
        <v>320</v>
      </c>
      <c r="U112" s="23">
        <v>348</v>
      </c>
      <c r="V112" s="23"/>
      <c r="W112" s="23"/>
      <c r="X112" s="23"/>
      <c r="Y112" s="23"/>
      <c r="Z112" s="60"/>
    </row>
    <row r="113" spans="1:26" x14ac:dyDescent="0.35">
      <c r="A113">
        <f t="shared" si="7"/>
        <v>21</v>
      </c>
      <c r="B113" s="59">
        <v>1</v>
      </c>
      <c r="C113" s="23">
        <v>8</v>
      </c>
      <c r="D113" s="23">
        <v>17</v>
      </c>
      <c r="E113" s="23">
        <v>29</v>
      </c>
      <c r="F113" s="23">
        <v>41</v>
      </c>
      <c r="G113" s="23">
        <v>55</v>
      </c>
      <c r="H113" s="23">
        <v>69</v>
      </c>
      <c r="I113" s="23">
        <v>85</v>
      </c>
      <c r="J113" s="23">
        <v>102</v>
      </c>
      <c r="K113" s="23">
        <v>120</v>
      </c>
      <c r="L113" s="23">
        <v>139</v>
      </c>
      <c r="M113" s="23">
        <v>159</v>
      </c>
      <c r="N113" s="23">
        <v>180</v>
      </c>
      <c r="O113" s="23">
        <v>202</v>
      </c>
      <c r="P113" s="23">
        <v>225</v>
      </c>
      <c r="Q113" s="23">
        <v>249</v>
      </c>
      <c r="R113" s="23">
        <v>274</v>
      </c>
      <c r="S113" s="23">
        <v>301</v>
      </c>
      <c r="T113" s="23">
        <v>328</v>
      </c>
      <c r="U113" s="23">
        <v>356</v>
      </c>
      <c r="V113" s="23">
        <v>385</v>
      </c>
      <c r="W113" s="23"/>
      <c r="X113" s="23"/>
      <c r="Y113" s="23"/>
      <c r="Z113" s="60"/>
    </row>
    <row r="114" spans="1:26" x14ac:dyDescent="0.35">
      <c r="A114">
        <f t="shared" si="7"/>
        <v>22</v>
      </c>
      <c r="B114" s="59">
        <v>1</v>
      </c>
      <c r="C114" s="23">
        <v>8</v>
      </c>
      <c r="D114" s="23">
        <v>18</v>
      </c>
      <c r="E114" s="23">
        <v>30</v>
      </c>
      <c r="F114" s="23">
        <v>43</v>
      </c>
      <c r="G114" s="23">
        <v>57</v>
      </c>
      <c r="H114" s="23">
        <v>72</v>
      </c>
      <c r="I114" s="23">
        <v>88</v>
      </c>
      <c r="J114" s="23">
        <v>105</v>
      </c>
      <c r="K114" s="23">
        <v>123</v>
      </c>
      <c r="L114" s="23">
        <v>143</v>
      </c>
      <c r="M114" s="23">
        <v>163</v>
      </c>
      <c r="N114" s="23">
        <v>185</v>
      </c>
      <c r="O114" s="23">
        <v>207</v>
      </c>
      <c r="P114" s="23">
        <v>231</v>
      </c>
      <c r="Q114" s="23">
        <v>255</v>
      </c>
      <c r="R114" s="23">
        <v>281</v>
      </c>
      <c r="S114" s="23">
        <v>307</v>
      </c>
      <c r="T114" s="23">
        <v>335</v>
      </c>
      <c r="U114" s="23">
        <v>364</v>
      </c>
      <c r="V114" s="23">
        <v>393</v>
      </c>
      <c r="W114" s="23">
        <v>424</v>
      </c>
      <c r="X114" s="23"/>
      <c r="Y114" s="23"/>
      <c r="Z114" s="60"/>
    </row>
    <row r="115" spans="1:26" x14ac:dyDescent="0.35">
      <c r="A115">
        <f t="shared" si="7"/>
        <v>23</v>
      </c>
      <c r="B115" s="59">
        <v>1</v>
      </c>
      <c r="C115" s="23">
        <v>8</v>
      </c>
      <c r="D115" s="23">
        <v>19</v>
      </c>
      <c r="E115" s="23">
        <v>31</v>
      </c>
      <c r="F115" s="23">
        <v>44</v>
      </c>
      <c r="G115" s="23">
        <v>58</v>
      </c>
      <c r="H115" s="23">
        <v>74</v>
      </c>
      <c r="I115" s="23">
        <v>90</v>
      </c>
      <c r="J115" s="23">
        <v>108</v>
      </c>
      <c r="K115" s="23">
        <v>127</v>
      </c>
      <c r="L115" s="23">
        <v>147</v>
      </c>
      <c r="M115" s="23">
        <v>168</v>
      </c>
      <c r="N115" s="23">
        <v>189</v>
      </c>
      <c r="O115" s="23">
        <v>212</v>
      </c>
      <c r="P115" s="23">
        <v>236</v>
      </c>
      <c r="Q115" s="23">
        <v>261</v>
      </c>
      <c r="R115" s="23">
        <v>287</v>
      </c>
      <c r="S115" s="23">
        <v>314</v>
      </c>
      <c r="T115" s="23">
        <v>342</v>
      </c>
      <c r="U115" s="23">
        <v>371</v>
      </c>
      <c r="V115" s="23">
        <v>401</v>
      </c>
      <c r="W115" s="23">
        <v>432</v>
      </c>
      <c r="X115" s="23">
        <v>465</v>
      </c>
      <c r="Y115" s="23"/>
      <c r="Z115" s="60"/>
    </row>
    <row r="116" spans="1:26" x14ac:dyDescent="0.35">
      <c r="A116">
        <f t="shared" si="7"/>
        <v>24</v>
      </c>
      <c r="B116" s="59">
        <v>1</v>
      </c>
      <c r="C116" s="23">
        <v>9</v>
      </c>
      <c r="D116" s="23">
        <v>19</v>
      </c>
      <c r="E116" s="23">
        <v>32</v>
      </c>
      <c r="F116" s="23">
        <v>45</v>
      </c>
      <c r="G116" s="23">
        <v>60</v>
      </c>
      <c r="H116" s="23">
        <v>76</v>
      </c>
      <c r="I116" s="23">
        <v>93</v>
      </c>
      <c r="J116" s="23">
        <v>111</v>
      </c>
      <c r="K116" s="23">
        <v>130</v>
      </c>
      <c r="L116" s="23">
        <v>151</v>
      </c>
      <c r="M116" s="23">
        <v>172</v>
      </c>
      <c r="N116" s="23">
        <v>194</v>
      </c>
      <c r="O116" s="23">
        <v>218</v>
      </c>
      <c r="P116" s="23">
        <v>242</v>
      </c>
      <c r="Q116" s="23">
        <v>267</v>
      </c>
      <c r="R116" s="23">
        <v>294</v>
      </c>
      <c r="S116" s="23">
        <v>321</v>
      </c>
      <c r="T116" s="23">
        <v>350</v>
      </c>
      <c r="U116" s="23">
        <v>379</v>
      </c>
      <c r="V116" s="23">
        <v>410</v>
      </c>
      <c r="W116" s="23">
        <v>441</v>
      </c>
      <c r="X116" s="23">
        <v>474</v>
      </c>
      <c r="Y116" s="23">
        <v>507</v>
      </c>
      <c r="Z116" s="60"/>
    </row>
    <row r="117" spans="1:26" x14ac:dyDescent="0.35">
      <c r="A117">
        <f t="shared" si="7"/>
        <v>25</v>
      </c>
      <c r="B117" s="45">
        <v>1</v>
      </c>
      <c r="C117" s="10">
        <v>9</v>
      </c>
      <c r="D117" s="10">
        <v>20</v>
      </c>
      <c r="E117" s="10">
        <v>33</v>
      </c>
      <c r="F117" s="10">
        <v>47</v>
      </c>
      <c r="G117" s="10">
        <v>62</v>
      </c>
      <c r="H117" s="10">
        <v>78</v>
      </c>
      <c r="I117" s="10">
        <v>96</v>
      </c>
      <c r="J117" s="10">
        <v>114</v>
      </c>
      <c r="K117" s="10">
        <v>134</v>
      </c>
      <c r="L117" s="10">
        <v>155</v>
      </c>
      <c r="M117" s="10">
        <v>176</v>
      </c>
      <c r="N117" s="10">
        <v>199</v>
      </c>
      <c r="O117" s="10">
        <v>223</v>
      </c>
      <c r="P117" s="10">
        <v>248</v>
      </c>
      <c r="Q117" s="10">
        <v>273</v>
      </c>
      <c r="R117" s="10">
        <v>300</v>
      </c>
      <c r="S117" s="10">
        <v>328</v>
      </c>
      <c r="T117" s="10">
        <v>357</v>
      </c>
      <c r="U117" s="10">
        <v>387</v>
      </c>
      <c r="V117" s="10">
        <v>418</v>
      </c>
      <c r="W117" s="10">
        <v>450</v>
      </c>
      <c r="X117" s="10">
        <v>483</v>
      </c>
      <c r="Y117" s="10">
        <v>517</v>
      </c>
      <c r="Z117" s="48">
        <v>552</v>
      </c>
    </row>
    <row r="119" spans="1:26" x14ac:dyDescent="0.35">
      <c r="A119" s="1" t="s">
        <v>75</v>
      </c>
    </row>
    <row r="121" spans="1:26" ht="24" x14ac:dyDescent="0.5">
      <c r="A121" s="94" t="s">
        <v>72</v>
      </c>
      <c r="B121">
        <v>1</v>
      </c>
      <c r="C121">
        <f t="shared" ref="C121:Z121" si="8">B121+1</f>
        <v>2</v>
      </c>
      <c r="D121">
        <f t="shared" si="8"/>
        <v>3</v>
      </c>
      <c r="E121">
        <f t="shared" si="8"/>
        <v>4</v>
      </c>
      <c r="F121">
        <f t="shared" si="8"/>
        <v>5</v>
      </c>
      <c r="G121">
        <f t="shared" si="8"/>
        <v>6</v>
      </c>
      <c r="H121">
        <f t="shared" si="8"/>
        <v>7</v>
      </c>
      <c r="I121">
        <f t="shared" si="8"/>
        <v>8</v>
      </c>
      <c r="J121">
        <f t="shared" si="8"/>
        <v>9</v>
      </c>
      <c r="K121">
        <f t="shared" si="8"/>
        <v>10</v>
      </c>
      <c r="L121">
        <f t="shared" si="8"/>
        <v>11</v>
      </c>
      <c r="M121">
        <f t="shared" si="8"/>
        <v>12</v>
      </c>
      <c r="N121">
        <f t="shared" si="8"/>
        <v>13</v>
      </c>
      <c r="O121">
        <f t="shared" si="8"/>
        <v>14</v>
      </c>
      <c r="P121">
        <f t="shared" si="8"/>
        <v>15</v>
      </c>
      <c r="Q121">
        <f t="shared" si="8"/>
        <v>16</v>
      </c>
      <c r="R121">
        <f t="shared" si="8"/>
        <v>17</v>
      </c>
      <c r="S121">
        <f t="shared" si="8"/>
        <v>18</v>
      </c>
      <c r="T121">
        <f t="shared" si="8"/>
        <v>19</v>
      </c>
      <c r="U121">
        <f t="shared" si="8"/>
        <v>20</v>
      </c>
      <c r="V121">
        <f t="shared" si="8"/>
        <v>21</v>
      </c>
      <c r="W121">
        <f t="shared" si="8"/>
        <v>22</v>
      </c>
      <c r="X121">
        <f t="shared" si="8"/>
        <v>23</v>
      </c>
      <c r="Y121">
        <f t="shared" si="8"/>
        <v>24</v>
      </c>
      <c r="Z121">
        <f t="shared" si="8"/>
        <v>25</v>
      </c>
    </row>
    <row r="122" spans="1:26" x14ac:dyDescent="0.35">
      <c r="A122">
        <v>1</v>
      </c>
      <c r="B122" s="9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96"/>
    </row>
    <row r="123" spans="1:26" x14ac:dyDescent="0.35">
      <c r="A123">
        <f>A122+1</f>
        <v>2</v>
      </c>
      <c r="B123" s="59"/>
      <c r="C123" s="12" t="s">
        <v>76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60"/>
    </row>
    <row r="124" spans="1:26" x14ac:dyDescent="0.35">
      <c r="A124">
        <f t="shared" ref="A124:A146" si="9">A123+1</f>
        <v>3</v>
      </c>
      <c r="B124" s="59"/>
      <c r="C124" s="7">
        <v>3</v>
      </c>
      <c r="D124" s="7">
        <v>7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60"/>
    </row>
    <row r="125" spans="1:26" x14ac:dyDescent="0.35">
      <c r="A125">
        <f t="shared" si="9"/>
        <v>4</v>
      </c>
      <c r="B125" s="59"/>
      <c r="C125" s="7">
        <v>3</v>
      </c>
      <c r="D125" s="7">
        <v>7</v>
      </c>
      <c r="E125" s="7">
        <v>13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60"/>
    </row>
    <row r="126" spans="1:26" x14ac:dyDescent="0.35">
      <c r="A126">
        <f t="shared" si="9"/>
        <v>5</v>
      </c>
      <c r="B126" s="59"/>
      <c r="C126" s="7">
        <v>4</v>
      </c>
      <c r="D126" s="7">
        <v>8</v>
      </c>
      <c r="E126" s="7">
        <v>14</v>
      </c>
      <c r="F126" s="23">
        <v>20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60"/>
    </row>
    <row r="127" spans="1:26" x14ac:dyDescent="0.35">
      <c r="A127">
        <f t="shared" si="9"/>
        <v>6</v>
      </c>
      <c r="B127" s="59"/>
      <c r="C127" s="23">
        <v>4</v>
      </c>
      <c r="D127" s="23">
        <v>9</v>
      </c>
      <c r="E127" s="7">
        <v>15</v>
      </c>
      <c r="F127" s="23">
        <v>22</v>
      </c>
      <c r="G127" s="23">
        <v>30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60"/>
    </row>
    <row r="128" spans="1:26" x14ac:dyDescent="0.35">
      <c r="A128">
        <f t="shared" si="9"/>
        <v>7</v>
      </c>
      <c r="B128" s="59"/>
      <c r="C128" s="23">
        <v>4</v>
      </c>
      <c r="D128" s="23">
        <v>10</v>
      </c>
      <c r="E128" s="23">
        <v>16</v>
      </c>
      <c r="F128" s="23">
        <v>23</v>
      </c>
      <c r="G128" s="23">
        <v>32</v>
      </c>
      <c r="H128" s="23">
        <v>41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60"/>
    </row>
    <row r="129" spans="1:26" x14ac:dyDescent="0.35">
      <c r="A129">
        <f t="shared" si="9"/>
        <v>8</v>
      </c>
      <c r="B129" s="85" t="s">
        <v>76</v>
      </c>
      <c r="C129" s="23">
        <v>5</v>
      </c>
      <c r="D129" s="23">
        <v>11</v>
      </c>
      <c r="E129" s="23">
        <v>17</v>
      </c>
      <c r="F129" s="23">
        <v>25</v>
      </c>
      <c r="G129" s="23">
        <v>34</v>
      </c>
      <c r="H129" s="23">
        <v>44</v>
      </c>
      <c r="I129" s="23">
        <v>55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60"/>
    </row>
    <row r="130" spans="1:26" x14ac:dyDescent="0.35">
      <c r="A130">
        <f t="shared" si="9"/>
        <v>9</v>
      </c>
      <c r="B130" s="59">
        <v>1</v>
      </c>
      <c r="C130" s="23">
        <v>5</v>
      </c>
      <c r="D130" s="23">
        <v>11</v>
      </c>
      <c r="E130" s="23">
        <v>19</v>
      </c>
      <c r="F130" s="23">
        <v>27</v>
      </c>
      <c r="G130" s="23">
        <v>36</v>
      </c>
      <c r="H130" s="23">
        <v>46</v>
      </c>
      <c r="I130" s="23">
        <v>58</v>
      </c>
      <c r="J130" s="23">
        <v>70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60"/>
    </row>
    <row r="131" spans="1:26" x14ac:dyDescent="0.35">
      <c r="A131">
        <f t="shared" si="9"/>
        <v>10</v>
      </c>
      <c r="B131" s="59">
        <v>1</v>
      </c>
      <c r="C131" s="23">
        <v>6</v>
      </c>
      <c r="D131" s="23">
        <v>12</v>
      </c>
      <c r="E131" s="23">
        <v>20</v>
      </c>
      <c r="F131" s="23">
        <v>28</v>
      </c>
      <c r="G131" s="23">
        <v>38</v>
      </c>
      <c r="H131" s="23">
        <v>49</v>
      </c>
      <c r="I131" s="23">
        <v>60</v>
      </c>
      <c r="J131" s="23">
        <v>73</v>
      </c>
      <c r="K131" s="23">
        <v>87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60"/>
    </row>
    <row r="132" spans="1:26" x14ac:dyDescent="0.35">
      <c r="A132">
        <f t="shared" si="9"/>
        <v>11</v>
      </c>
      <c r="B132" s="59">
        <v>1</v>
      </c>
      <c r="C132" s="23">
        <v>6</v>
      </c>
      <c r="D132" s="23">
        <v>13</v>
      </c>
      <c r="E132" s="23">
        <v>21</v>
      </c>
      <c r="F132" s="23">
        <v>30</v>
      </c>
      <c r="G132" s="23">
        <v>40</v>
      </c>
      <c r="H132" s="23">
        <v>51</v>
      </c>
      <c r="I132" s="23">
        <v>63</v>
      </c>
      <c r="J132" s="23">
        <v>76</v>
      </c>
      <c r="K132" s="23">
        <v>91</v>
      </c>
      <c r="L132" s="23">
        <v>106</v>
      </c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60"/>
    </row>
    <row r="133" spans="1:26" x14ac:dyDescent="0.35">
      <c r="A133">
        <f t="shared" si="9"/>
        <v>12</v>
      </c>
      <c r="B133" s="59">
        <v>1</v>
      </c>
      <c r="C133" s="23">
        <v>7</v>
      </c>
      <c r="D133" s="23">
        <v>14</v>
      </c>
      <c r="E133" s="23">
        <v>22</v>
      </c>
      <c r="F133" s="23">
        <v>32</v>
      </c>
      <c r="G133" s="23">
        <v>42</v>
      </c>
      <c r="H133" s="23">
        <v>54</v>
      </c>
      <c r="I133" s="23">
        <v>66</v>
      </c>
      <c r="J133" s="23">
        <v>80</v>
      </c>
      <c r="K133" s="23">
        <v>94</v>
      </c>
      <c r="L133" s="23">
        <v>110</v>
      </c>
      <c r="M133" s="23">
        <v>127</v>
      </c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60"/>
    </row>
    <row r="134" spans="1:26" x14ac:dyDescent="0.35">
      <c r="A134">
        <f t="shared" si="9"/>
        <v>13</v>
      </c>
      <c r="B134" s="59">
        <v>1</v>
      </c>
      <c r="C134" s="23">
        <v>7</v>
      </c>
      <c r="D134" s="23">
        <v>15</v>
      </c>
      <c r="E134" s="23">
        <v>23</v>
      </c>
      <c r="F134" s="23">
        <v>33</v>
      </c>
      <c r="G134" s="23">
        <v>44</v>
      </c>
      <c r="H134" s="23">
        <v>56</v>
      </c>
      <c r="I134" s="23">
        <v>69</v>
      </c>
      <c r="J134" s="23">
        <v>83</v>
      </c>
      <c r="K134" s="23">
        <v>98</v>
      </c>
      <c r="L134" s="23">
        <v>114</v>
      </c>
      <c r="M134" s="23">
        <v>131</v>
      </c>
      <c r="N134" s="23">
        <v>149</v>
      </c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60"/>
    </row>
    <row r="135" spans="1:26" x14ac:dyDescent="0.35">
      <c r="A135">
        <f t="shared" si="9"/>
        <v>14</v>
      </c>
      <c r="B135" s="59">
        <v>1</v>
      </c>
      <c r="C135" s="23">
        <v>8</v>
      </c>
      <c r="D135" s="23">
        <v>16</v>
      </c>
      <c r="E135" s="23">
        <v>25</v>
      </c>
      <c r="F135" s="23">
        <v>35</v>
      </c>
      <c r="G135" s="23">
        <v>46</v>
      </c>
      <c r="H135" s="23">
        <v>59</v>
      </c>
      <c r="I135" s="23">
        <v>72</v>
      </c>
      <c r="J135" s="23">
        <v>86</v>
      </c>
      <c r="K135" s="23">
        <v>102</v>
      </c>
      <c r="L135" s="23">
        <v>118</v>
      </c>
      <c r="M135" s="23">
        <v>136</v>
      </c>
      <c r="N135" s="23">
        <v>154</v>
      </c>
      <c r="O135" s="23">
        <v>174</v>
      </c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60"/>
    </row>
    <row r="136" spans="1:26" x14ac:dyDescent="0.35">
      <c r="A136">
        <f t="shared" si="9"/>
        <v>15</v>
      </c>
      <c r="B136" s="59">
        <v>1</v>
      </c>
      <c r="C136" s="23">
        <v>8</v>
      </c>
      <c r="D136" s="23">
        <v>16</v>
      </c>
      <c r="E136" s="23">
        <v>26</v>
      </c>
      <c r="F136" s="23">
        <v>37</v>
      </c>
      <c r="G136" s="23">
        <v>48</v>
      </c>
      <c r="H136" s="23">
        <v>61</v>
      </c>
      <c r="I136" s="23">
        <v>75</v>
      </c>
      <c r="J136" s="23">
        <v>90</v>
      </c>
      <c r="K136" s="23">
        <v>106</v>
      </c>
      <c r="L136" s="23">
        <v>123</v>
      </c>
      <c r="M136" s="23">
        <v>141</v>
      </c>
      <c r="N136" s="23">
        <v>159</v>
      </c>
      <c r="O136" s="23">
        <v>179</v>
      </c>
      <c r="P136" s="23">
        <v>200</v>
      </c>
      <c r="Q136" s="23"/>
      <c r="R136" s="23"/>
      <c r="S136" s="23"/>
      <c r="T136" s="23"/>
      <c r="U136" s="23"/>
      <c r="V136" s="23"/>
      <c r="W136" s="23"/>
      <c r="X136" s="23"/>
      <c r="Y136" s="23"/>
      <c r="Z136" s="60"/>
    </row>
    <row r="137" spans="1:26" x14ac:dyDescent="0.35">
      <c r="A137">
        <f t="shared" si="9"/>
        <v>16</v>
      </c>
      <c r="B137" s="59">
        <v>1</v>
      </c>
      <c r="C137" s="23">
        <v>8</v>
      </c>
      <c r="D137" s="23">
        <v>17</v>
      </c>
      <c r="E137" s="23">
        <v>27</v>
      </c>
      <c r="F137" s="23">
        <v>38</v>
      </c>
      <c r="G137" s="23">
        <v>50</v>
      </c>
      <c r="H137" s="23">
        <v>64</v>
      </c>
      <c r="I137" s="23">
        <v>78</v>
      </c>
      <c r="J137" s="23">
        <v>93</v>
      </c>
      <c r="K137" s="23">
        <v>109</v>
      </c>
      <c r="L137" s="23">
        <v>127</v>
      </c>
      <c r="M137" s="23">
        <v>145</v>
      </c>
      <c r="N137" s="23">
        <v>165</v>
      </c>
      <c r="O137" s="23">
        <v>185</v>
      </c>
      <c r="P137" s="23">
        <v>206</v>
      </c>
      <c r="Q137" s="23">
        <v>229</v>
      </c>
      <c r="R137" s="23"/>
      <c r="S137" s="23"/>
      <c r="T137" s="23"/>
      <c r="U137" s="23"/>
      <c r="V137" s="23"/>
      <c r="W137" s="23"/>
      <c r="X137" s="23"/>
      <c r="Y137" s="23"/>
      <c r="Z137" s="60"/>
    </row>
    <row r="138" spans="1:26" x14ac:dyDescent="0.35">
      <c r="A138">
        <f t="shared" si="9"/>
        <v>17</v>
      </c>
      <c r="B138" s="59">
        <v>1</v>
      </c>
      <c r="C138" s="23">
        <v>9</v>
      </c>
      <c r="D138" s="23">
        <v>18</v>
      </c>
      <c r="E138" s="23">
        <v>28</v>
      </c>
      <c r="F138" s="23">
        <v>40</v>
      </c>
      <c r="G138" s="23">
        <v>52</v>
      </c>
      <c r="H138" s="23">
        <v>66</v>
      </c>
      <c r="I138" s="23">
        <v>81</v>
      </c>
      <c r="J138" s="23">
        <v>97</v>
      </c>
      <c r="K138" s="23">
        <v>113</v>
      </c>
      <c r="L138" s="23">
        <v>131</v>
      </c>
      <c r="M138" s="23">
        <v>150</v>
      </c>
      <c r="N138" s="23">
        <v>170</v>
      </c>
      <c r="O138" s="23">
        <v>190</v>
      </c>
      <c r="P138" s="23">
        <v>212</v>
      </c>
      <c r="Q138" s="23">
        <v>235</v>
      </c>
      <c r="R138" s="23">
        <v>259</v>
      </c>
      <c r="S138" s="23"/>
      <c r="T138" s="23"/>
      <c r="U138" s="23"/>
      <c r="V138" s="23"/>
      <c r="W138" s="23"/>
      <c r="X138" s="23"/>
      <c r="Y138" s="23"/>
      <c r="Z138" s="60"/>
    </row>
    <row r="139" spans="1:26" x14ac:dyDescent="0.35">
      <c r="A139">
        <f t="shared" si="9"/>
        <v>18</v>
      </c>
      <c r="B139" s="59">
        <v>1</v>
      </c>
      <c r="C139" s="23">
        <v>9</v>
      </c>
      <c r="D139" s="23">
        <v>19</v>
      </c>
      <c r="E139" s="23">
        <v>30</v>
      </c>
      <c r="F139" s="23">
        <v>42</v>
      </c>
      <c r="G139" s="23">
        <v>55</v>
      </c>
      <c r="H139" s="23">
        <v>69</v>
      </c>
      <c r="I139" s="23">
        <v>84</v>
      </c>
      <c r="J139" s="23">
        <v>100</v>
      </c>
      <c r="K139" s="23">
        <v>117</v>
      </c>
      <c r="L139" s="23">
        <v>135</v>
      </c>
      <c r="M139" s="23">
        <v>155</v>
      </c>
      <c r="N139" s="23">
        <v>175</v>
      </c>
      <c r="O139" s="23">
        <v>196</v>
      </c>
      <c r="P139" s="23">
        <v>218</v>
      </c>
      <c r="Q139" s="23">
        <v>242</v>
      </c>
      <c r="R139" s="23">
        <v>266</v>
      </c>
      <c r="S139" s="23">
        <v>291</v>
      </c>
      <c r="T139" s="23"/>
      <c r="U139" s="23"/>
      <c r="V139" s="23"/>
      <c r="W139" s="23"/>
      <c r="X139" s="23"/>
      <c r="Y139" s="23"/>
      <c r="Z139" s="60"/>
    </row>
    <row r="140" spans="1:26" x14ac:dyDescent="0.35">
      <c r="A140">
        <f t="shared" si="9"/>
        <v>19</v>
      </c>
      <c r="B140" s="59">
        <v>2</v>
      </c>
      <c r="C140" s="23">
        <v>10</v>
      </c>
      <c r="D140" s="23">
        <v>20</v>
      </c>
      <c r="E140" s="23">
        <v>31</v>
      </c>
      <c r="F140" s="23">
        <v>43</v>
      </c>
      <c r="G140" s="23">
        <v>57</v>
      </c>
      <c r="H140" s="23">
        <v>71</v>
      </c>
      <c r="I140" s="23">
        <v>87</v>
      </c>
      <c r="J140" s="23">
        <v>103</v>
      </c>
      <c r="K140" s="23">
        <v>121</v>
      </c>
      <c r="L140" s="23">
        <v>139</v>
      </c>
      <c r="M140" s="23">
        <v>159</v>
      </c>
      <c r="N140" s="23">
        <v>180</v>
      </c>
      <c r="O140" s="23">
        <v>202</v>
      </c>
      <c r="P140" s="23">
        <v>224</v>
      </c>
      <c r="Q140" s="23">
        <v>248</v>
      </c>
      <c r="R140" s="23">
        <v>273</v>
      </c>
      <c r="S140" s="23">
        <v>299</v>
      </c>
      <c r="T140" s="23">
        <v>325</v>
      </c>
      <c r="U140" s="23"/>
      <c r="V140" s="23"/>
      <c r="W140" s="23"/>
      <c r="X140" s="23"/>
      <c r="Y140" s="23"/>
      <c r="Z140" s="60"/>
    </row>
    <row r="141" spans="1:26" x14ac:dyDescent="0.35">
      <c r="A141">
        <f t="shared" si="9"/>
        <v>20</v>
      </c>
      <c r="B141" s="59">
        <v>2</v>
      </c>
      <c r="C141" s="23">
        <v>10</v>
      </c>
      <c r="D141" s="23">
        <v>21</v>
      </c>
      <c r="E141" s="23">
        <v>32</v>
      </c>
      <c r="F141" s="23">
        <v>45</v>
      </c>
      <c r="G141" s="23">
        <v>59</v>
      </c>
      <c r="H141" s="23">
        <v>74</v>
      </c>
      <c r="I141" s="23">
        <v>90</v>
      </c>
      <c r="J141" s="23">
        <v>107</v>
      </c>
      <c r="K141" s="23">
        <v>125</v>
      </c>
      <c r="L141" s="23">
        <v>144</v>
      </c>
      <c r="M141" s="23">
        <v>164</v>
      </c>
      <c r="N141" s="23">
        <v>185</v>
      </c>
      <c r="O141" s="23">
        <v>207</v>
      </c>
      <c r="P141" s="23">
        <v>230</v>
      </c>
      <c r="Q141" s="23">
        <v>255</v>
      </c>
      <c r="R141" s="23">
        <v>280</v>
      </c>
      <c r="S141" s="23">
        <v>306</v>
      </c>
      <c r="T141" s="23">
        <v>333</v>
      </c>
      <c r="U141" s="23">
        <v>361</v>
      </c>
      <c r="V141" s="23"/>
      <c r="W141" s="23"/>
      <c r="X141" s="23"/>
      <c r="Y141" s="23"/>
      <c r="Z141" s="60"/>
    </row>
    <row r="142" spans="1:26" x14ac:dyDescent="0.35">
      <c r="A142">
        <f t="shared" si="9"/>
        <v>21</v>
      </c>
      <c r="B142" s="59">
        <v>2</v>
      </c>
      <c r="C142" s="23">
        <v>11</v>
      </c>
      <c r="D142" s="23">
        <v>21</v>
      </c>
      <c r="E142" s="23">
        <v>33</v>
      </c>
      <c r="F142" s="23">
        <v>47</v>
      </c>
      <c r="G142" s="23">
        <v>61</v>
      </c>
      <c r="H142" s="23">
        <v>76</v>
      </c>
      <c r="I142" s="23">
        <v>92</v>
      </c>
      <c r="J142" s="23">
        <v>110</v>
      </c>
      <c r="K142" s="23">
        <v>128</v>
      </c>
      <c r="L142" s="23">
        <v>148</v>
      </c>
      <c r="M142" s="23">
        <v>169</v>
      </c>
      <c r="N142" s="23">
        <v>190</v>
      </c>
      <c r="O142" s="23">
        <v>213</v>
      </c>
      <c r="P142" s="23">
        <v>236</v>
      </c>
      <c r="Q142" s="23">
        <v>261</v>
      </c>
      <c r="R142" s="23">
        <v>287</v>
      </c>
      <c r="S142" s="23">
        <v>313</v>
      </c>
      <c r="T142" s="23">
        <v>341</v>
      </c>
      <c r="U142" s="23">
        <v>370</v>
      </c>
      <c r="V142" s="23">
        <v>399</v>
      </c>
      <c r="W142" s="23"/>
      <c r="X142" s="23"/>
      <c r="Y142" s="23"/>
      <c r="Z142" s="60"/>
    </row>
    <row r="143" spans="1:26" x14ac:dyDescent="0.35">
      <c r="A143">
        <f t="shared" si="9"/>
        <v>22</v>
      </c>
      <c r="B143" s="59">
        <v>2</v>
      </c>
      <c r="C143" s="23">
        <v>11</v>
      </c>
      <c r="D143" s="23">
        <v>22</v>
      </c>
      <c r="E143" s="23">
        <v>35</v>
      </c>
      <c r="F143" s="23">
        <v>48</v>
      </c>
      <c r="G143" s="23">
        <v>63</v>
      </c>
      <c r="H143" s="23">
        <v>79</v>
      </c>
      <c r="I143" s="23">
        <v>95</v>
      </c>
      <c r="J143" s="23">
        <v>113</v>
      </c>
      <c r="K143" s="23">
        <v>132</v>
      </c>
      <c r="L143" s="23">
        <v>152</v>
      </c>
      <c r="M143" s="23">
        <v>173</v>
      </c>
      <c r="N143" s="23">
        <v>195</v>
      </c>
      <c r="O143" s="23">
        <v>218</v>
      </c>
      <c r="P143" s="23">
        <v>242</v>
      </c>
      <c r="Q143" s="23">
        <v>267</v>
      </c>
      <c r="R143" s="23">
        <v>294</v>
      </c>
      <c r="S143" s="23">
        <v>321</v>
      </c>
      <c r="T143" s="23">
        <v>349</v>
      </c>
      <c r="U143" s="23">
        <v>378</v>
      </c>
      <c r="V143" s="23">
        <v>408</v>
      </c>
      <c r="W143" s="23">
        <v>439</v>
      </c>
      <c r="X143" s="23"/>
      <c r="Y143" s="23"/>
      <c r="Z143" s="60"/>
    </row>
    <row r="144" spans="1:26" x14ac:dyDescent="0.35">
      <c r="A144">
        <f t="shared" si="9"/>
        <v>23</v>
      </c>
      <c r="B144" s="59">
        <v>2</v>
      </c>
      <c r="C144" s="23">
        <v>12</v>
      </c>
      <c r="D144" s="23">
        <v>23</v>
      </c>
      <c r="E144" s="23">
        <v>36</v>
      </c>
      <c r="F144" s="23">
        <v>50</v>
      </c>
      <c r="G144" s="23">
        <v>65</v>
      </c>
      <c r="H144" s="23">
        <v>81</v>
      </c>
      <c r="I144" s="23">
        <v>98</v>
      </c>
      <c r="J144" s="23">
        <v>117</v>
      </c>
      <c r="K144" s="23">
        <v>136</v>
      </c>
      <c r="L144" s="23">
        <v>156</v>
      </c>
      <c r="M144" s="23">
        <v>178</v>
      </c>
      <c r="N144" s="23">
        <v>200</v>
      </c>
      <c r="O144" s="23">
        <v>224</v>
      </c>
      <c r="P144" s="23">
        <v>248</v>
      </c>
      <c r="Q144" s="23">
        <v>274</v>
      </c>
      <c r="R144" s="23">
        <v>300</v>
      </c>
      <c r="S144" s="23">
        <v>328</v>
      </c>
      <c r="T144" s="23">
        <v>357</v>
      </c>
      <c r="U144" s="23">
        <v>386</v>
      </c>
      <c r="V144" s="23">
        <v>417</v>
      </c>
      <c r="W144" s="23">
        <v>448</v>
      </c>
      <c r="X144" s="23">
        <v>481</v>
      </c>
      <c r="Y144" s="23"/>
      <c r="Z144" s="60"/>
    </row>
    <row r="145" spans="1:26" x14ac:dyDescent="0.35">
      <c r="A145">
        <f t="shared" si="9"/>
        <v>24</v>
      </c>
      <c r="B145" s="59">
        <v>2</v>
      </c>
      <c r="C145" s="23">
        <v>12</v>
      </c>
      <c r="D145" s="23">
        <v>24</v>
      </c>
      <c r="E145" s="23">
        <v>38</v>
      </c>
      <c r="F145" s="23">
        <v>51</v>
      </c>
      <c r="G145" s="23">
        <v>67</v>
      </c>
      <c r="H145" s="23">
        <v>84</v>
      </c>
      <c r="I145" s="23">
        <v>101</v>
      </c>
      <c r="J145" s="23">
        <v>120</v>
      </c>
      <c r="K145" s="23">
        <v>140</v>
      </c>
      <c r="L145" s="23">
        <v>161</v>
      </c>
      <c r="M145" s="23">
        <v>183</v>
      </c>
      <c r="N145" s="23">
        <v>205</v>
      </c>
      <c r="O145" s="23">
        <v>229</v>
      </c>
      <c r="P145" s="23">
        <v>254</v>
      </c>
      <c r="Q145" s="23">
        <v>280</v>
      </c>
      <c r="R145" s="23">
        <v>307</v>
      </c>
      <c r="S145" s="23">
        <v>335</v>
      </c>
      <c r="T145" s="23">
        <v>364</v>
      </c>
      <c r="U145" s="23">
        <v>394</v>
      </c>
      <c r="V145" s="23">
        <v>425</v>
      </c>
      <c r="W145" s="23">
        <v>457</v>
      </c>
      <c r="X145" s="23">
        <v>491</v>
      </c>
      <c r="Y145" s="23">
        <v>525</v>
      </c>
      <c r="Z145" s="60"/>
    </row>
    <row r="146" spans="1:26" x14ac:dyDescent="0.35">
      <c r="A146">
        <f t="shared" si="9"/>
        <v>25</v>
      </c>
      <c r="B146" s="45">
        <v>2</v>
      </c>
      <c r="C146" s="10">
        <v>12</v>
      </c>
      <c r="D146" s="10">
        <v>25</v>
      </c>
      <c r="E146" s="10">
        <v>38</v>
      </c>
      <c r="F146" s="10">
        <v>53</v>
      </c>
      <c r="G146" s="10">
        <v>69</v>
      </c>
      <c r="H146" s="10">
        <v>86</v>
      </c>
      <c r="I146" s="10">
        <v>104</v>
      </c>
      <c r="J146" s="10">
        <v>123</v>
      </c>
      <c r="K146" s="10">
        <v>144</v>
      </c>
      <c r="L146" s="10">
        <v>165</v>
      </c>
      <c r="M146" s="10">
        <v>187</v>
      </c>
      <c r="N146" s="10">
        <v>211</v>
      </c>
      <c r="O146" s="10">
        <v>235</v>
      </c>
      <c r="P146" s="10">
        <v>260</v>
      </c>
      <c r="Q146" s="10">
        <v>287</v>
      </c>
      <c r="R146" s="10">
        <v>314</v>
      </c>
      <c r="S146" s="10">
        <v>343</v>
      </c>
      <c r="T146" s="10">
        <v>372</v>
      </c>
      <c r="U146" s="10">
        <v>403</v>
      </c>
      <c r="V146" s="10">
        <v>434</v>
      </c>
      <c r="W146" s="10">
        <v>467</v>
      </c>
      <c r="X146" s="10">
        <v>500</v>
      </c>
      <c r="Y146" s="10">
        <v>535</v>
      </c>
      <c r="Z146" s="48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3"/>
  <dimension ref="A1:U174"/>
  <sheetViews>
    <sheetView workbookViewId="0">
      <selection activeCell="J12" sqref="J12"/>
    </sheetView>
  </sheetViews>
  <sheetFormatPr defaultRowHeight="14.5" x14ac:dyDescent="0.35"/>
  <cols>
    <col min="1" max="1" width="6.81640625" customWidth="1"/>
    <col min="2" max="20" width="5.81640625" customWidth="1"/>
  </cols>
  <sheetData>
    <row r="1" spans="1:20" x14ac:dyDescent="0.35">
      <c r="A1" s="1" t="s">
        <v>77</v>
      </c>
      <c r="E1">
        <v>0.05</v>
      </c>
      <c r="G1" t="s">
        <v>247</v>
      </c>
    </row>
    <row r="3" spans="1:20" ht="24" x14ac:dyDescent="0.5">
      <c r="A3" s="28" t="s">
        <v>78</v>
      </c>
      <c r="B3">
        <v>2</v>
      </c>
      <c r="C3">
        <f>B3+1</f>
        <v>3</v>
      </c>
      <c r="D3">
        <f t="shared" ref="D3:T3" si="0">C3+1</f>
        <v>4</v>
      </c>
      <c r="E3">
        <f t="shared" si="0"/>
        <v>5</v>
      </c>
      <c r="F3">
        <f t="shared" si="0"/>
        <v>6</v>
      </c>
      <c r="G3">
        <f t="shared" si="0"/>
        <v>7</v>
      </c>
      <c r="H3">
        <f t="shared" si="0"/>
        <v>8</v>
      </c>
      <c r="I3">
        <f t="shared" si="0"/>
        <v>9</v>
      </c>
      <c r="J3">
        <f t="shared" si="0"/>
        <v>10</v>
      </c>
      <c r="K3">
        <f t="shared" si="0"/>
        <v>11</v>
      </c>
      <c r="L3">
        <f t="shared" si="0"/>
        <v>12</v>
      </c>
      <c r="M3">
        <f t="shared" si="0"/>
        <v>13</v>
      </c>
      <c r="N3">
        <f t="shared" si="0"/>
        <v>14</v>
      </c>
      <c r="O3">
        <f t="shared" si="0"/>
        <v>15</v>
      </c>
      <c r="P3">
        <f t="shared" si="0"/>
        <v>16</v>
      </c>
      <c r="Q3">
        <f t="shared" si="0"/>
        <v>17</v>
      </c>
      <c r="R3">
        <f t="shared" si="0"/>
        <v>18</v>
      </c>
      <c r="S3">
        <f t="shared" si="0"/>
        <v>19</v>
      </c>
      <c r="T3">
        <f t="shared" si="0"/>
        <v>20</v>
      </c>
    </row>
    <row r="4" spans="1:20" x14ac:dyDescent="0.35">
      <c r="A4">
        <v>2</v>
      </c>
      <c r="B4" s="3"/>
      <c r="C4" s="4"/>
      <c r="D4" s="4"/>
      <c r="E4" s="4"/>
      <c r="F4" s="4"/>
      <c r="G4" s="4"/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2</v>
      </c>
      <c r="R4" s="4">
        <v>2</v>
      </c>
      <c r="S4" s="4">
        <v>2</v>
      </c>
      <c r="T4" s="5">
        <v>2</v>
      </c>
    </row>
    <row r="5" spans="1:20" x14ac:dyDescent="0.35">
      <c r="A5">
        <f>A4+1</f>
        <v>3</v>
      </c>
      <c r="B5" s="6"/>
      <c r="C5" s="7"/>
      <c r="D5" s="7"/>
      <c r="E5" s="7">
        <v>0</v>
      </c>
      <c r="F5" s="7">
        <v>1</v>
      </c>
      <c r="G5" s="7">
        <v>1</v>
      </c>
      <c r="H5" s="7">
        <v>2</v>
      </c>
      <c r="I5" s="7">
        <v>2</v>
      </c>
      <c r="J5" s="7">
        <v>3</v>
      </c>
      <c r="K5" s="7">
        <v>3</v>
      </c>
      <c r="L5" s="7">
        <v>4</v>
      </c>
      <c r="M5" s="7">
        <v>4</v>
      </c>
      <c r="N5" s="7">
        <v>5</v>
      </c>
      <c r="O5" s="7">
        <v>5</v>
      </c>
      <c r="P5" s="7">
        <v>6</v>
      </c>
      <c r="Q5" s="7">
        <v>6</v>
      </c>
      <c r="R5" s="7">
        <v>7</v>
      </c>
      <c r="S5" s="7">
        <v>7</v>
      </c>
      <c r="T5" s="8">
        <v>8</v>
      </c>
    </row>
    <row r="6" spans="1:20" x14ac:dyDescent="0.35">
      <c r="A6">
        <f t="shared" ref="A6:A22" si="1">A5+1</f>
        <v>4</v>
      </c>
      <c r="B6" s="6"/>
      <c r="C6" s="7"/>
      <c r="D6" s="7">
        <v>0</v>
      </c>
      <c r="E6" s="7">
        <v>1</v>
      </c>
      <c r="F6" s="7">
        <v>2</v>
      </c>
      <c r="G6" s="7">
        <v>3</v>
      </c>
      <c r="H6" s="7">
        <v>4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11</v>
      </c>
      <c r="R6" s="7">
        <v>12</v>
      </c>
      <c r="S6" s="7">
        <v>13</v>
      </c>
      <c r="T6" s="8">
        <v>14</v>
      </c>
    </row>
    <row r="7" spans="1:20" x14ac:dyDescent="0.35">
      <c r="A7">
        <f t="shared" si="1"/>
        <v>5</v>
      </c>
      <c r="B7" s="6"/>
      <c r="C7" s="7">
        <v>0</v>
      </c>
      <c r="D7" s="7">
        <v>1</v>
      </c>
      <c r="E7" s="7">
        <v>2</v>
      </c>
      <c r="F7" s="7">
        <v>3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17</v>
      </c>
      <c r="R7" s="7">
        <v>18</v>
      </c>
      <c r="S7" s="7">
        <v>19</v>
      </c>
      <c r="T7" s="8">
        <v>20</v>
      </c>
    </row>
    <row r="8" spans="1:20" x14ac:dyDescent="0.35">
      <c r="A8">
        <f t="shared" si="1"/>
        <v>6</v>
      </c>
      <c r="B8" s="6"/>
      <c r="C8" s="7">
        <v>1</v>
      </c>
      <c r="D8" s="7">
        <v>2</v>
      </c>
      <c r="E8" s="7">
        <v>3</v>
      </c>
      <c r="F8" s="7">
        <v>5</v>
      </c>
      <c r="G8" s="7">
        <v>6</v>
      </c>
      <c r="H8" s="7">
        <v>7</v>
      </c>
      <c r="I8" s="7">
        <v>10</v>
      </c>
      <c r="J8" s="7">
        <v>11</v>
      </c>
      <c r="K8" s="7">
        <v>13</v>
      </c>
      <c r="L8" s="7">
        <v>14</v>
      </c>
      <c r="M8" s="7">
        <v>16</v>
      </c>
      <c r="N8" s="7">
        <v>17</v>
      </c>
      <c r="O8" s="7">
        <v>19</v>
      </c>
      <c r="P8" s="7">
        <v>21</v>
      </c>
      <c r="Q8" s="7">
        <v>22</v>
      </c>
      <c r="R8" s="7">
        <v>24</v>
      </c>
      <c r="S8" s="7">
        <v>25</v>
      </c>
      <c r="T8" s="8">
        <v>27</v>
      </c>
    </row>
    <row r="9" spans="1:20" x14ac:dyDescent="0.35">
      <c r="A9">
        <f t="shared" si="1"/>
        <v>7</v>
      </c>
      <c r="B9" s="6"/>
      <c r="C9" s="7">
        <v>1</v>
      </c>
      <c r="D9" s="7">
        <v>3</v>
      </c>
      <c r="E9" s="7">
        <v>5</v>
      </c>
      <c r="F9" s="7">
        <v>6</v>
      </c>
      <c r="G9" s="7">
        <v>8</v>
      </c>
      <c r="H9" s="7">
        <v>10</v>
      </c>
      <c r="I9" s="7">
        <v>12</v>
      </c>
      <c r="J9" s="7">
        <v>14</v>
      </c>
      <c r="K9" s="7">
        <v>16</v>
      </c>
      <c r="L9" s="7">
        <v>18</v>
      </c>
      <c r="M9" s="7">
        <v>20</v>
      </c>
      <c r="N9" s="7">
        <v>22</v>
      </c>
      <c r="O9" s="7">
        <v>24</v>
      </c>
      <c r="P9" s="7">
        <v>26</v>
      </c>
      <c r="Q9" s="7">
        <v>28</v>
      </c>
      <c r="R9" s="7">
        <v>30</v>
      </c>
      <c r="S9" s="7">
        <v>32</v>
      </c>
      <c r="T9" s="8">
        <v>34</v>
      </c>
    </row>
    <row r="10" spans="1:20" x14ac:dyDescent="0.35">
      <c r="A10">
        <f t="shared" si="1"/>
        <v>8</v>
      </c>
      <c r="B10" s="6">
        <v>0</v>
      </c>
      <c r="C10" s="7">
        <v>2</v>
      </c>
      <c r="D10" s="7">
        <v>4</v>
      </c>
      <c r="E10" s="7">
        <v>6</v>
      </c>
      <c r="F10" s="7">
        <v>7</v>
      </c>
      <c r="G10" s="7">
        <v>10</v>
      </c>
      <c r="H10" s="7">
        <v>13</v>
      </c>
      <c r="I10" s="7">
        <v>15</v>
      </c>
      <c r="J10" s="7">
        <v>17</v>
      </c>
      <c r="K10" s="7">
        <v>19</v>
      </c>
      <c r="L10" s="7">
        <v>22</v>
      </c>
      <c r="M10" s="7">
        <v>24</v>
      </c>
      <c r="N10" s="7">
        <v>26</v>
      </c>
      <c r="O10" s="7">
        <v>29</v>
      </c>
      <c r="P10" s="7">
        <v>31</v>
      </c>
      <c r="Q10" s="7">
        <v>34</v>
      </c>
      <c r="R10" s="7">
        <v>36</v>
      </c>
      <c r="S10" s="7">
        <v>38</v>
      </c>
      <c r="T10" s="8">
        <v>41</v>
      </c>
    </row>
    <row r="11" spans="1:20" x14ac:dyDescent="0.35">
      <c r="A11">
        <f t="shared" si="1"/>
        <v>9</v>
      </c>
      <c r="B11" s="6">
        <v>0</v>
      </c>
      <c r="C11" s="7">
        <v>2</v>
      </c>
      <c r="D11" s="7">
        <v>4</v>
      </c>
      <c r="E11" s="7">
        <v>7</v>
      </c>
      <c r="F11" s="7">
        <v>10</v>
      </c>
      <c r="G11" s="7">
        <v>12</v>
      </c>
      <c r="H11" s="7">
        <v>15</v>
      </c>
      <c r="I11" s="7">
        <v>17</v>
      </c>
      <c r="J11" s="7">
        <v>20</v>
      </c>
      <c r="K11" s="7">
        <v>23</v>
      </c>
      <c r="L11" s="7">
        <v>26</v>
      </c>
      <c r="M11" s="7">
        <v>28</v>
      </c>
      <c r="N11" s="7">
        <v>31</v>
      </c>
      <c r="O11" s="7">
        <v>34</v>
      </c>
      <c r="P11" s="7">
        <v>37</v>
      </c>
      <c r="Q11" s="7">
        <v>39</v>
      </c>
      <c r="R11" s="7">
        <v>42</v>
      </c>
      <c r="S11" s="7">
        <v>45</v>
      </c>
      <c r="T11" s="8">
        <v>48</v>
      </c>
    </row>
    <row r="12" spans="1:20" x14ac:dyDescent="0.35">
      <c r="A12">
        <f t="shared" si="1"/>
        <v>10</v>
      </c>
      <c r="B12" s="6">
        <v>0</v>
      </c>
      <c r="C12" s="7">
        <v>3</v>
      </c>
      <c r="D12" s="7">
        <v>5</v>
      </c>
      <c r="E12" s="7">
        <v>8</v>
      </c>
      <c r="F12" s="7">
        <v>11</v>
      </c>
      <c r="G12" s="7">
        <v>14</v>
      </c>
      <c r="H12" s="7">
        <v>17</v>
      </c>
      <c r="I12" s="7">
        <v>20</v>
      </c>
      <c r="J12" s="7">
        <v>23</v>
      </c>
      <c r="K12" s="7">
        <v>26</v>
      </c>
      <c r="L12" s="7">
        <v>29</v>
      </c>
      <c r="M12" s="7">
        <v>33</v>
      </c>
      <c r="N12" s="7">
        <v>36</v>
      </c>
      <c r="O12" s="7">
        <v>39</v>
      </c>
      <c r="P12" s="7">
        <v>42</v>
      </c>
      <c r="Q12" s="7">
        <v>45</v>
      </c>
      <c r="R12" s="7">
        <v>48</v>
      </c>
      <c r="S12" s="7">
        <v>52</v>
      </c>
      <c r="T12" s="8">
        <v>55</v>
      </c>
    </row>
    <row r="13" spans="1:20" x14ac:dyDescent="0.35">
      <c r="A13">
        <f t="shared" si="1"/>
        <v>11</v>
      </c>
      <c r="B13" s="6">
        <v>0</v>
      </c>
      <c r="C13" s="7">
        <v>3</v>
      </c>
      <c r="D13" s="7">
        <v>6</v>
      </c>
      <c r="E13" s="7">
        <v>9</v>
      </c>
      <c r="F13" s="7">
        <v>13</v>
      </c>
      <c r="G13" s="7">
        <v>16</v>
      </c>
      <c r="H13" s="7">
        <v>19</v>
      </c>
      <c r="I13" s="7">
        <v>23</v>
      </c>
      <c r="J13" s="7">
        <v>26</v>
      </c>
      <c r="K13" s="7">
        <v>30</v>
      </c>
      <c r="L13" s="7">
        <v>33</v>
      </c>
      <c r="M13" s="7">
        <v>37</v>
      </c>
      <c r="N13" s="7">
        <v>40</v>
      </c>
      <c r="O13" s="7">
        <v>44</v>
      </c>
      <c r="P13" s="7">
        <v>47</v>
      </c>
      <c r="Q13" s="7">
        <v>51</v>
      </c>
      <c r="R13" s="7">
        <v>55</v>
      </c>
      <c r="S13" s="7">
        <v>58</v>
      </c>
      <c r="T13" s="8">
        <v>62</v>
      </c>
    </row>
    <row r="14" spans="1:20" x14ac:dyDescent="0.35">
      <c r="A14">
        <f t="shared" si="1"/>
        <v>12</v>
      </c>
      <c r="B14" s="6">
        <v>1</v>
      </c>
      <c r="C14" s="7">
        <v>4</v>
      </c>
      <c r="D14" s="7">
        <v>7</v>
      </c>
      <c r="E14" s="7">
        <v>11</v>
      </c>
      <c r="F14" s="7">
        <v>14</v>
      </c>
      <c r="G14" s="7">
        <v>18</v>
      </c>
      <c r="H14" s="7">
        <v>22</v>
      </c>
      <c r="I14" s="7">
        <v>26</v>
      </c>
      <c r="J14" s="7">
        <v>29</v>
      </c>
      <c r="K14" s="7">
        <v>33</v>
      </c>
      <c r="L14" s="23">
        <v>37</v>
      </c>
      <c r="M14" s="23">
        <v>41</v>
      </c>
      <c r="N14" s="23">
        <v>45</v>
      </c>
      <c r="O14" s="23">
        <v>49</v>
      </c>
      <c r="P14" s="23">
        <v>53</v>
      </c>
      <c r="Q14" s="23">
        <v>57</v>
      </c>
      <c r="R14" s="23">
        <v>61</v>
      </c>
      <c r="S14" s="23">
        <v>65</v>
      </c>
      <c r="T14" s="8">
        <v>69</v>
      </c>
    </row>
    <row r="15" spans="1:20" x14ac:dyDescent="0.35">
      <c r="A15">
        <f t="shared" si="1"/>
        <v>13</v>
      </c>
      <c r="B15" s="6">
        <v>1</v>
      </c>
      <c r="C15" s="7">
        <v>4</v>
      </c>
      <c r="D15" s="7">
        <v>8</v>
      </c>
      <c r="E15" s="7">
        <v>12</v>
      </c>
      <c r="F15" s="7">
        <v>16</v>
      </c>
      <c r="G15" s="7">
        <v>20</v>
      </c>
      <c r="H15" s="7">
        <v>24</v>
      </c>
      <c r="I15" s="7">
        <v>28</v>
      </c>
      <c r="J15" s="7">
        <v>33</v>
      </c>
      <c r="K15" s="7">
        <v>37</v>
      </c>
      <c r="L15" s="23">
        <v>41</v>
      </c>
      <c r="M15" s="23">
        <v>45</v>
      </c>
      <c r="N15" s="23">
        <v>50</v>
      </c>
      <c r="O15" s="23">
        <v>54</v>
      </c>
      <c r="P15" s="23">
        <v>59</v>
      </c>
      <c r="Q15" s="23">
        <v>63</v>
      </c>
      <c r="R15" s="23">
        <v>67</v>
      </c>
      <c r="S15" s="23">
        <v>72</v>
      </c>
      <c r="T15" s="8">
        <v>76</v>
      </c>
    </row>
    <row r="16" spans="1:20" x14ac:dyDescent="0.35">
      <c r="A16">
        <f t="shared" si="1"/>
        <v>14</v>
      </c>
      <c r="B16" s="6">
        <v>1</v>
      </c>
      <c r="C16" s="7">
        <v>5</v>
      </c>
      <c r="D16" s="7">
        <v>9</v>
      </c>
      <c r="E16" s="7">
        <v>13</v>
      </c>
      <c r="F16" s="7">
        <v>17</v>
      </c>
      <c r="G16" s="7">
        <v>22</v>
      </c>
      <c r="H16" s="7">
        <v>26</v>
      </c>
      <c r="I16" s="7">
        <v>31</v>
      </c>
      <c r="J16" s="7">
        <v>36</v>
      </c>
      <c r="K16" s="7">
        <v>40</v>
      </c>
      <c r="L16" s="23">
        <v>45</v>
      </c>
      <c r="M16" s="23">
        <v>50</v>
      </c>
      <c r="N16" s="23">
        <v>55</v>
      </c>
      <c r="O16" s="23">
        <v>59</v>
      </c>
      <c r="P16" s="23">
        <v>64</v>
      </c>
      <c r="Q16" s="23">
        <v>67</v>
      </c>
      <c r="R16" s="23">
        <v>74</v>
      </c>
      <c r="S16" s="23">
        <v>78</v>
      </c>
      <c r="T16" s="8">
        <v>83</v>
      </c>
    </row>
    <row r="17" spans="1:20" x14ac:dyDescent="0.35">
      <c r="A17">
        <f t="shared" si="1"/>
        <v>15</v>
      </c>
      <c r="B17" s="6">
        <v>1</v>
      </c>
      <c r="C17" s="7">
        <v>5</v>
      </c>
      <c r="D17" s="7">
        <v>10</v>
      </c>
      <c r="E17" s="7">
        <v>14</v>
      </c>
      <c r="F17" s="7">
        <v>19</v>
      </c>
      <c r="G17" s="7">
        <v>24</v>
      </c>
      <c r="H17" s="7">
        <v>29</v>
      </c>
      <c r="I17" s="7">
        <v>34</v>
      </c>
      <c r="J17" s="7">
        <v>39</v>
      </c>
      <c r="K17" s="7">
        <v>44</v>
      </c>
      <c r="L17" s="23">
        <v>49</v>
      </c>
      <c r="M17" s="23">
        <v>54</v>
      </c>
      <c r="N17" s="23">
        <v>59</v>
      </c>
      <c r="O17" s="23">
        <v>64</v>
      </c>
      <c r="P17" s="23">
        <v>70</v>
      </c>
      <c r="Q17" s="23">
        <v>75</v>
      </c>
      <c r="R17" s="23">
        <v>80</v>
      </c>
      <c r="S17" s="23">
        <v>85</v>
      </c>
      <c r="T17" s="8">
        <v>90</v>
      </c>
    </row>
    <row r="18" spans="1:20" x14ac:dyDescent="0.35">
      <c r="A18">
        <f t="shared" si="1"/>
        <v>16</v>
      </c>
      <c r="B18" s="6">
        <v>1</v>
      </c>
      <c r="C18" s="7">
        <v>6</v>
      </c>
      <c r="D18" s="7">
        <v>11</v>
      </c>
      <c r="E18" s="7">
        <v>15</v>
      </c>
      <c r="F18" s="7">
        <v>21</v>
      </c>
      <c r="G18" s="7">
        <v>26</v>
      </c>
      <c r="H18" s="7">
        <v>31</v>
      </c>
      <c r="I18" s="7">
        <v>37</v>
      </c>
      <c r="J18" s="7">
        <v>42</v>
      </c>
      <c r="K18" s="7">
        <v>47</v>
      </c>
      <c r="L18" s="23">
        <v>53</v>
      </c>
      <c r="M18" s="23">
        <v>59</v>
      </c>
      <c r="N18" s="23">
        <v>64</v>
      </c>
      <c r="O18" s="23">
        <v>70</v>
      </c>
      <c r="P18" s="23">
        <v>75</v>
      </c>
      <c r="Q18" s="23">
        <v>81</v>
      </c>
      <c r="R18" s="23">
        <v>86</v>
      </c>
      <c r="S18" s="23">
        <v>92</v>
      </c>
      <c r="T18" s="8">
        <v>98</v>
      </c>
    </row>
    <row r="19" spans="1:20" x14ac:dyDescent="0.35">
      <c r="A19">
        <f t="shared" si="1"/>
        <v>17</v>
      </c>
      <c r="B19" s="6">
        <v>2</v>
      </c>
      <c r="C19" s="7">
        <v>6</v>
      </c>
      <c r="D19" s="7">
        <v>11</v>
      </c>
      <c r="E19" s="7">
        <v>17</v>
      </c>
      <c r="F19" s="7">
        <v>22</v>
      </c>
      <c r="G19" s="7">
        <v>28</v>
      </c>
      <c r="H19" s="7">
        <v>34</v>
      </c>
      <c r="I19" s="7">
        <v>39</v>
      </c>
      <c r="J19" s="7">
        <v>45</v>
      </c>
      <c r="K19" s="7">
        <v>51</v>
      </c>
      <c r="L19" s="23">
        <v>57</v>
      </c>
      <c r="M19" s="23">
        <v>63</v>
      </c>
      <c r="N19" s="23">
        <v>67</v>
      </c>
      <c r="O19" s="23">
        <v>75</v>
      </c>
      <c r="P19" s="23">
        <v>81</v>
      </c>
      <c r="Q19" s="23">
        <v>87</v>
      </c>
      <c r="R19" s="23">
        <v>93</v>
      </c>
      <c r="S19" s="23">
        <v>99</v>
      </c>
      <c r="T19" s="8">
        <v>105</v>
      </c>
    </row>
    <row r="20" spans="1:20" x14ac:dyDescent="0.35">
      <c r="A20">
        <f t="shared" si="1"/>
        <v>18</v>
      </c>
      <c r="B20" s="6">
        <v>2</v>
      </c>
      <c r="C20" s="7">
        <v>7</v>
      </c>
      <c r="D20" s="7">
        <v>12</v>
      </c>
      <c r="E20" s="7">
        <v>18</v>
      </c>
      <c r="F20" s="7">
        <v>24</v>
      </c>
      <c r="G20" s="7">
        <v>30</v>
      </c>
      <c r="H20" s="7">
        <v>36</v>
      </c>
      <c r="I20" s="7">
        <v>42</v>
      </c>
      <c r="J20" s="7">
        <v>48</v>
      </c>
      <c r="K20" s="7">
        <v>55</v>
      </c>
      <c r="L20" s="23">
        <v>61</v>
      </c>
      <c r="M20" s="23">
        <v>67</v>
      </c>
      <c r="N20" s="23">
        <v>74</v>
      </c>
      <c r="O20" s="23">
        <v>80</v>
      </c>
      <c r="P20" s="23">
        <v>86</v>
      </c>
      <c r="Q20" s="23">
        <v>93</v>
      </c>
      <c r="R20" s="23">
        <v>99</v>
      </c>
      <c r="S20" s="23">
        <v>106</v>
      </c>
      <c r="T20" s="8">
        <v>112</v>
      </c>
    </row>
    <row r="21" spans="1:20" x14ac:dyDescent="0.35">
      <c r="A21">
        <f t="shared" si="1"/>
        <v>19</v>
      </c>
      <c r="B21" s="6">
        <v>2</v>
      </c>
      <c r="C21" s="7">
        <v>7</v>
      </c>
      <c r="D21" s="7">
        <v>13</v>
      </c>
      <c r="E21" s="7">
        <v>19</v>
      </c>
      <c r="F21" s="7">
        <v>25</v>
      </c>
      <c r="G21" s="7">
        <v>32</v>
      </c>
      <c r="H21" s="7">
        <v>38</v>
      </c>
      <c r="I21" s="7">
        <v>45</v>
      </c>
      <c r="J21" s="7">
        <v>52</v>
      </c>
      <c r="K21" s="7">
        <v>58</v>
      </c>
      <c r="L21" s="23">
        <v>65</v>
      </c>
      <c r="M21" s="23">
        <v>72</v>
      </c>
      <c r="N21" s="23">
        <v>78</v>
      </c>
      <c r="O21" s="23">
        <v>85</v>
      </c>
      <c r="P21" s="23">
        <v>92</v>
      </c>
      <c r="Q21" s="23">
        <v>99</v>
      </c>
      <c r="R21" s="23">
        <v>106</v>
      </c>
      <c r="S21" s="23">
        <v>113</v>
      </c>
      <c r="T21" s="8">
        <v>119</v>
      </c>
    </row>
    <row r="22" spans="1:20" x14ac:dyDescent="0.35">
      <c r="A22">
        <f t="shared" si="1"/>
        <v>20</v>
      </c>
      <c r="B22" s="9">
        <v>2</v>
      </c>
      <c r="C22" s="10">
        <v>8</v>
      </c>
      <c r="D22" s="10">
        <v>13</v>
      </c>
      <c r="E22" s="10">
        <v>20</v>
      </c>
      <c r="F22" s="10">
        <v>27</v>
      </c>
      <c r="G22" s="10">
        <v>34</v>
      </c>
      <c r="H22" s="10">
        <v>41</v>
      </c>
      <c r="I22" s="10">
        <v>48</v>
      </c>
      <c r="J22" s="10">
        <v>55</v>
      </c>
      <c r="K22" s="10">
        <v>62</v>
      </c>
      <c r="L22" s="10">
        <v>69</v>
      </c>
      <c r="M22" s="10">
        <v>76</v>
      </c>
      <c r="N22" s="10">
        <v>83</v>
      </c>
      <c r="O22" s="10">
        <v>90</v>
      </c>
      <c r="P22" s="10">
        <v>98</v>
      </c>
      <c r="Q22" s="10">
        <v>105</v>
      </c>
      <c r="R22" s="10">
        <v>112</v>
      </c>
      <c r="S22" s="10">
        <v>119</v>
      </c>
      <c r="T22" s="11">
        <v>127</v>
      </c>
    </row>
    <row r="23" spans="1:20" x14ac:dyDescent="0.35">
      <c r="A23">
        <v>21</v>
      </c>
      <c r="B23" s="117">
        <v>3</v>
      </c>
      <c r="C23" s="111">
        <v>8</v>
      </c>
      <c r="D23" s="111">
        <v>15</v>
      </c>
      <c r="E23" s="111">
        <v>22</v>
      </c>
      <c r="F23" s="111">
        <v>29</v>
      </c>
      <c r="G23" s="111">
        <v>36</v>
      </c>
      <c r="H23" s="111">
        <v>43</v>
      </c>
      <c r="I23" s="111">
        <v>50</v>
      </c>
      <c r="J23" s="111">
        <v>58</v>
      </c>
      <c r="K23" s="111">
        <v>65</v>
      </c>
      <c r="L23" s="111">
        <v>73</v>
      </c>
      <c r="M23" s="111">
        <v>80</v>
      </c>
      <c r="N23" s="111">
        <v>88</v>
      </c>
      <c r="O23" s="111">
        <v>96</v>
      </c>
      <c r="P23" s="111">
        <v>103</v>
      </c>
      <c r="Q23" s="111">
        <v>111</v>
      </c>
      <c r="R23" s="111">
        <v>119</v>
      </c>
      <c r="S23" s="111">
        <v>126</v>
      </c>
      <c r="T23" s="5">
        <v>134</v>
      </c>
    </row>
    <row r="24" spans="1:20" x14ac:dyDescent="0.35">
      <c r="A24">
        <f>A23+1</f>
        <v>22</v>
      </c>
      <c r="B24" s="6">
        <v>3</v>
      </c>
      <c r="C24" s="7">
        <v>9</v>
      </c>
      <c r="D24" s="7">
        <v>16</v>
      </c>
      <c r="E24" s="23">
        <v>23</v>
      </c>
      <c r="F24" s="23">
        <v>30</v>
      </c>
      <c r="G24" s="7">
        <v>38</v>
      </c>
      <c r="H24" s="23">
        <v>45</v>
      </c>
      <c r="I24" s="23">
        <v>53</v>
      </c>
      <c r="J24" s="23">
        <v>61</v>
      </c>
      <c r="K24" s="23">
        <v>69</v>
      </c>
      <c r="L24" s="23">
        <v>77</v>
      </c>
      <c r="M24" s="23">
        <v>85</v>
      </c>
      <c r="N24" s="23">
        <v>93</v>
      </c>
      <c r="O24" s="23">
        <v>101</v>
      </c>
      <c r="P24" s="23">
        <v>109</v>
      </c>
      <c r="Q24" s="23">
        <v>117</v>
      </c>
      <c r="R24" s="23">
        <v>125</v>
      </c>
      <c r="S24" s="23">
        <v>133</v>
      </c>
      <c r="T24" s="60">
        <v>141</v>
      </c>
    </row>
    <row r="25" spans="1:20" x14ac:dyDescent="0.35">
      <c r="A25">
        <f t="shared" ref="A25:A42" si="2">A24+1</f>
        <v>23</v>
      </c>
      <c r="B25" s="6">
        <v>3</v>
      </c>
      <c r="C25" s="7">
        <v>9</v>
      </c>
      <c r="D25" s="7">
        <v>17</v>
      </c>
      <c r="E25" s="23">
        <v>24</v>
      </c>
      <c r="F25" s="23">
        <v>32</v>
      </c>
      <c r="G25" s="7">
        <v>40</v>
      </c>
      <c r="H25" s="23">
        <v>48</v>
      </c>
      <c r="I25" s="23">
        <v>56</v>
      </c>
      <c r="J25" s="23">
        <v>64</v>
      </c>
      <c r="K25" s="23">
        <v>73</v>
      </c>
      <c r="L25" s="23">
        <v>81</v>
      </c>
      <c r="M25" s="23">
        <v>89</v>
      </c>
      <c r="N25" s="23">
        <v>98</v>
      </c>
      <c r="O25" s="23">
        <v>106</v>
      </c>
      <c r="P25" s="23">
        <v>115</v>
      </c>
      <c r="Q25" s="23">
        <v>123</v>
      </c>
      <c r="R25" s="23">
        <v>132</v>
      </c>
      <c r="S25" s="23">
        <v>140</v>
      </c>
      <c r="T25" s="60">
        <v>149</v>
      </c>
    </row>
    <row r="26" spans="1:20" x14ac:dyDescent="0.35">
      <c r="A26">
        <f t="shared" si="2"/>
        <v>24</v>
      </c>
      <c r="B26" s="6">
        <v>3</v>
      </c>
      <c r="C26" s="7">
        <v>10</v>
      </c>
      <c r="D26" s="23">
        <v>17</v>
      </c>
      <c r="E26" s="23">
        <v>25</v>
      </c>
      <c r="F26" s="23">
        <v>33</v>
      </c>
      <c r="G26" s="7">
        <v>42</v>
      </c>
      <c r="H26" s="23">
        <v>50</v>
      </c>
      <c r="I26" s="23">
        <v>59</v>
      </c>
      <c r="J26" s="23">
        <v>67</v>
      </c>
      <c r="K26" s="23">
        <v>76</v>
      </c>
      <c r="L26" s="23">
        <v>85</v>
      </c>
      <c r="M26" s="23">
        <v>94</v>
      </c>
      <c r="N26" s="23">
        <v>102</v>
      </c>
      <c r="O26" s="23">
        <v>111</v>
      </c>
      <c r="P26" s="23">
        <v>120</v>
      </c>
      <c r="Q26" s="23">
        <v>129</v>
      </c>
      <c r="R26" s="23">
        <v>138</v>
      </c>
      <c r="S26" s="23">
        <v>147</v>
      </c>
      <c r="T26" s="60">
        <v>156</v>
      </c>
    </row>
    <row r="27" spans="1:20" x14ac:dyDescent="0.35">
      <c r="A27">
        <f t="shared" si="2"/>
        <v>25</v>
      </c>
      <c r="B27" s="6">
        <v>3</v>
      </c>
      <c r="C27" s="7">
        <v>10</v>
      </c>
      <c r="D27" s="23">
        <v>18</v>
      </c>
      <c r="E27" s="23">
        <v>27</v>
      </c>
      <c r="F27" s="23">
        <v>35</v>
      </c>
      <c r="G27" s="7">
        <v>44</v>
      </c>
      <c r="H27" s="23">
        <v>53</v>
      </c>
      <c r="I27" s="23">
        <v>62</v>
      </c>
      <c r="J27" s="23">
        <v>71</v>
      </c>
      <c r="K27" s="23">
        <v>80</v>
      </c>
      <c r="L27" s="23">
        <v>89</v>
      </c>
      <c r="M27" s="23">
        <v>98</v>
      </c>
      <c r="N27" s="23">
        <v>107</v>
      </c>
      <c r="O27" s="23">
        <v>117</v>
      </c>
      <c r="P27" s="23">
        <v>126</v>
      </c>
      <c r="Q27" s="23">
        <v>135</v>
      </c>
      <c r="R27" s="23">
        <v>145</v>
      </c>
      <c r="S27" s="23">
        <v>154</v>
      </c>
      <c r="T27" s="60">
        <v>163</v>
      </c>
    </row>
    <row r="28" spans="1:20" x14ac:dyDescent="0.35">
      <c r="A28">
        <f t="shared" si="2"/>
        <v>26</v>
      </c>
      <c r="B28" s="6">
        <v>4</v>
      </c>
      <c r="C28" s="7">
        <v>11</v>
      </c>
      <c r="D28" s="23">
        <v>19</v>
      </c>
      <c r="E28" s="23">
        <v>28</v>
      </c>
      <c r="F28" s="23">
        <v>37</v>
      </c>
      <c r="G28" s="7">
        <v>46</v>
      </c>
      <c r="H28" s="23">
        <v>55</v>
      </c>
      <c r="I28" s="23">
        <v>64</v>
      </c>
      <c r="J28" s="23">
        <v>74</v>
      </c>
      <c r="K28" s="23">
        <v>83</v>
      </c>
      <c r="L28" s="23">
        <v>93</v>
      </c>
      <c r="M28" s="23">
        <v>102</v>
      </c>
      <c r="N28" s="23">
        <v>112</v>
      </c>
      <c r="O28" s="23">
        <v>122</v>
      </c>
      <c r="P28" s="23">
        <v>132</v>
      </c>
      <c r="Q28" s="23">
        <v>141</v>
      </c>
      <c r="R28" s="23">
        <v>151</v>
      </c>
      <c r="S28" s="23">
        <v>161</v>
      </c>
      <c r="T28" s="60">
        <v>171</v>
      </c>
    </row>
    <row r="29" spans="1:20" x14ac:dyDescent="0.35">
      <c r="A29">
        <f t="shared" si="2"/>
        <v>27</v>
      </c>
      <c r="B29" s="6">
        <v>4</v>
      </c>
      <c r="C29" s="7">
        <v>11</v>
      </c>
      <c r="D29" s="23">
        <v>20</v>
      </c>
      <c r="E29" s="23">
        <v>29</v>
      </c>
      <c r="F29" s="23">
        <v>38</v>
      </c>
      <c r="G29" s="7">
        <v>48</v>
      </c>
      <c r="H29" s="23">
        <v>57</v>
      </c>
      <c r="I29" s="23">
        <v>67</v>
      </c>
      <c r="J29" s="23">
        <v>77</v>
      </c>
      <c r="K29" s="23">
        <v>87</v>
      </c>
      <c r="L29" s="23">
        <v>97</v>
      </c>
      <c r="M29" s="23">
        <v>107</v>
      </c>
      <c r="N29" s="23">
        <v>117</v>
      </c>
      <c r="O29" s="23">
        <v>127</v>
      </c>
      <c r="P29" s="23">
        <v>137</v>
      </c>
      <c r="Q29" s="23">
        <v>147</v>
      </c>
      <c r="R29" s="23">
        <v>158</v>
      </c>
      <c r="S29" s="23">
        <v>168</v>
      </c>
      <c r="T29" s="60">
        <v>178</v>
      </c>
    </row>
    <row r="30" spans="1:20" x14ac:dyDescent="0.35">
      <c r="A30">
        <f t="shared" si="2"/>
        <v>28</v>
      </c>
      <c r="B30" s="6">
        <v>4</v>
      </c>
      <c r="C30" s="7">
        <v>12</v>
      </c>
      <c r="D30" s="23">
        <v>21</v>
      </c>
      <c r="E30" s="23">
        <v>30</v>
      </c>
      <c r="F30" s="23">
        <v>40</v>
      </c>
      <c r="G30" s="7">
        <v>50</v>
      </c>
      <c r="H30" s="23">
        <v>60</v>
      </c>
      <c r="I30" s="23">
        <v>70</v>
      </c>
      <c r="J30" s="23">
        <v>80</v>
      </c>
      <c r="K30" s="23">
        <v>90</v>
      </c>
      <c r="L30" s="23">
        <v>101</v>
      </c>
      <c r="M30" s="23">
        <v>111</v>
      </c>
      <c r="N30" s="23">
        <v>122</v>
      </c>
      <c r="O30" s="23">
        <v>132</v>
      </c>
      <c r="P30" s="23">
        <v>143</v>
      </c>
      <c r="Q30" s="23">
        <v>154</v>
      </c>
      <c r="R30" s="23">
        <v>164</v>
      </c>
      <c r="S30" s="23">
        <v>175</v>
      </c>
      <c r="T30" s="60">
        <v>186</v>
      </c>
    </row>
    <row r="31" spans="1:20" x14ac:dyDescent="0.35">
      <c r="A31">
        <f t="shared" si="2"/>
        <v>29</v>
      </c>
      <c r="B31" s="6">
        <v>4</v>
      </c>
      <c r="C31" s="7">
        <v>13</v>
      </c>
      <c r="D31" s="7">
        <v>22</v>
      </c>
      <c r="E31" s="7">
        <v>32</v>
      </c>
      <c r="F31" s="7">
        <v>42</v>
      </c>
      <c r="G31" s="7">
        <v>52</v>
      </c>
      <c r="H31" s="7">
        <v>62</v>
      </c>
      <c r="I31" s="7">
        <v>73</v>
      </c>
      <c r="J31" s="7">
        <v>83</v>
      </c>
      <c r="K31" s="7">
        <v>94</v>
      </c>
      <c r="L31" s="7">
        <v>105</v>
      </c>
      <c r="M31" s="7">
        <v>116</v>
      </c>
      <c r="N31" s="7">
        <v>127</v>
      </c>
      <c r="O31" s="7">
        <v>138</v>
      </c>
      <c r="P31" s="7">
        <v>149</v>
      </c>
      <c r="Q31" s="7">
        <v>160</v>
      </c>
      <c r="R31" s="7">
        <v>171</v>
      </c>
      <c r="S31" s="7">
        <v>182</v>
      </c>
      <c r="T31" s="60">
        <v>193</v>
      </c>
    </row>
    <row r="32" spans="1:20" x14ac:dyDescent="0.35">
      <c r="A32">
        <f t="shared" si="2"/>
        <v>30</v>
      </c>
      <c r="B32" s="6">
        <v>5</v>
      </c>
      <c r="C32" s="7">
        <v>13</v>
      </c>
      <c r="D32" s="7">
        <v>23</v>
      </c>
      <c r="E32" s="7">
        <v>33</v>
      </c>
      <c r="F32" s="7">
        <v>43</v>
      </c>
      <c r="G32" s="7">
        <v>54</v>
      </c>
      <c r="H32" s="7">
        <v>65</v>
      </c>
      <c r="I32" s="7">
        <v>76</v>
      </c>
      <c r="J32" s="7">
        <v>87</v>
      </c>
      <c r="K32" s="7">
        <v>98</v>
      </c>
      <c r="L32" s="7">
        <v>109</v>
      </c>
      <c r="M32" s="7">
        <v>120</v>
      </c>
      <c r="N32" s="23">
        <v>131</v>
      </c>
      <c r="O32" s="23">
        <v>143</v>
      </c>
      <c r="P32" s="23">
        <v>154</v>
      </c>
      <c r="Q32" s="23">
        <v>166</v>
      </c>
      <c r="R32" s="23">
        <v>177</v>
      </c>
      <c r="S32" s="23">
        <v>189</v>
      </c>
      <c r="T32" s="60">
        <v>200</v>
      </c>
    </row>
    <row r="33" spans="1:20" x14ac:dyDescent="0.35">
      <c r="A33">
        <f t="shared" si="2"/>
        <v>31</v>
      </c>
      <c r="B33" s="6">
        <v>5</v>
      </c>
      <c r="C33" s="7">
        <v>14</v>
      </c>
      <c r="D33" s="7">
        <v>24</v>
      </c>
      <c r="E33" s="7">
        <v>34</v>
      </c>
      <c r="F33" s="7">
        <v>45</v>
      </c>
      <c r="G33" s="7">
        <v>56</v>
      </c>
      <c r="H33" s="7">
        <v>67</v>
      </c>
      <c r="I33" s="7">
        <v>78</v>
      </c>
      <c r="J33" s="7">
        <v>90</v>
      </c>
      <c r="K33" s="7">
        <v>101</v>
      </c>
      <c r="L33" s="7">
        <v>113</v>
      </c>
      <c r="M33" s="7">
        <v>125</v>
      </c>
      <c r="N33" s="23">
        <v>136</v>
      </c>
      <c r="O33" s="23">
        <v>148</v>
      </c>
      <c r="P33" s="23">
        <v>160</v>
      </c>
      <c r="Q33" s="23">
        <v>172</v>
      </c>
      <c r="R33" s="23">
        <v>184</v>
      </c>
      <c r="S33" s="23">
        <v>196</v>
      </c>
      <c r="T33" s="60">
        <v>208</v>
      </c>
    </row>
    <row r="34" spans="1:20" x14ac:dyDescent="0.35">
      <c r="A34">
        <f t="shared" si="2"/>
        <v>32</v>
      </c>
      <c r="B34" s="6">
        <v>5</v>
      </c>
      <c r="C34" s="7">
        <v>14</v>
      </c>
      <c r="D34" s="7">
        <v>24</v>
      </c>
      <c r="E34" s="7">
        <v>35</v>
      </c>
      <c r="F34" s="7">
        <v>46</v>
      </c>
      <c r="G34" s="7">
        <v>58</v>
      </c>
      <c r="H34" s="7">
        <v>69</v>
      </c>
      <c r="I34" s="7">
        <v>81</v>
      </c>
      <c r="J34" s="7">
        <v>93</v>
      </c>
      <c r="K34" s="7">
        <v>105</v>
      </c>
      <c r="L34" s="7">
        <v>117</v>
      </c>
      <c r="M34" s="7">
        <v>129</v>
      </c>
      <c r="N34" s="23">
        <v>141</v>
      </c>
      <c r="O34" s="23">
        <v>153</v>
      </c>
      <c r="P34" s="23">
        <v>166</v>
      </c>
      <c r="Q34" s="23">
        <v>178</v>
      </c>
      <c r="R34" s="23">
        <v>190</v>
      </c>
      <c r="S34" s="23">
        <v>203</v>
      </c>
      <c r="T34" s="60">
        <v>215</v>
      </c>
    </row>
    <row r="35" spans="1:20" x14ac:dyDescent="0.35">
      <c r="A35">
        <f t="shared" si="2"/>
        <v>33</v>
      </c>
      <c r="B35" s="6">
        <v>5</v>
      </c>
      <c r="C35" s="7">
        <v>15</v>
      </c>
      <c r="D35" s="7">
        <v>25</v>
      </c>
      <c r="E35" s="7">
        <v>37</v>
      </c>
      <c r="F35" s="7">
        <v>48</v>
      </c>
      <c r="G35" s="7">
        <v>60</v>
      </c>
      <c r="H35" s="7">
        <v>72</v>
      </c>
      <c r="I35" s="7">
        <v>84</v>
      </c>
      <c r="J35" s="7">
        <v>96</v>
      </c>
      <c r="K35" s="7">
        <v>108</v>
      </c>
      <c r="L35" s="7">
        <v>121</v>
      </c>
      <c r="M35" s="7">
        <v>133</v>
      </c>
      <c r="N35" s="23">
        <v>146</v>
      </c>
      <c r="O35" s="23">
        <v>159</v>
      </c>
      <c r="P35" s="23">
        <v>171</v>
      </c>
      <c r="Q35" s="23">
        <v>184</v>
      </c>
      <c r="R35" s="23">
        <v>197</v>
      </c>
      <c r="S35" s="23">
        <v>210</v>
      </c>
      <c r="T35" s="60">
        <v>222</v>
      </c>
    </row>
    <row r="36" spans="1:20" x14ac:dyDescent="0.35">
      <c r="A36">
        <f t="shared" si="2"/>
        <v>34</v>
      </c>
      <c r="B36" s="6">
        <v>5</v>
      </c>
      <c r="C36" s="7">
        <v>15</v>
      </c>
      <c r="D36" s="7">
        <v>26</v>
      </c>
      <c r="E36" s="7">
        <v>38</v>
      </c>
      <c r="F36" s="7">
        <v>50</v>
      </c>
      <c r="G36" s="7">
        <v>62</v>
      </c>
      <c r="H36" s="7">
        <v>74</v>
      </c>
      <c r="I36" s="7">
        <v>87</v>
      </c>
      <c r="J36" s="7">
        <v>99</v>
      </c>
      <c r="K36" s="7">
        <v>112</v>
      </c>
      <c r="L36" s="7">
        <v>125</v>
      </c>
      <c r="M36" s="7">
        <v>138</v>
      </c>
      <c r="N36" s="23">
        <v>151</v>
      </c>
      <c r="O36" s="23">
        <v>164</v>
      </c>
      <c r="P36" s="23">
        <v>177</v>
      </c>
      <c r="Q36" s="23">
        <v>190</v>
      </c>
      <c r="R36" s="23">
        <v>203</v>
      </c>
      <c r="S36" s="23">
        <v>217</v>
      </c>
      <c r="T36" s="60">
        <v>230</v>
      </c>
    </row>
    <row r="37" spans="1:20" x14ac:dyDescent="0.35">
      <c r="A37">
        <f t="shared" si="2"/>
        <v>35</v>
      </c>
      <c r="B37" s="6">
        <v>6</v>
      </c>
      <c r="C37" s="7">
        <v>16</v>
      </c>
      <c r="D37" s="7">
        <v>27</v>
      </c>
      <c r="E37" s="7">
        <v>39</v>
      </c>
      <c r="F37" s="7">
        <v>51</v>
      </c>
      <c r="G37" s="7">
        <v>64</v>
      </c>
      <c r="H37" s="7">
        <v>77</v>
      </c>
      <c r="I37" s="7">
        <v>89</v>
      </c>
      <c r="J37" s="7">
        <v>103</v>
      </c>
      <c r="K37" s="7">
        <v>116</v>
      </c>
      <c r="L37" s="7">
        <v>129</v>
      </c>
      <c r="M37" s="7">
        <v>142</v>
      </c>
      <c r="N37" s="23">
        <v>156</v>
      </c>
      <c r="O37" s="23">
        <v>169</v>
      </c>
      <c r="P37" s="23">
        <v>183</v>
      </c>
      <c r="Q37" s="23">
        <v>196</v>
      </c>
      <c r="R37" s="23">
        <v>210</v>
      </c>
      <c r="S37" s="23">
        <v>224</v>
      </c>
      <c r="T37" s="60">
        <v>237</v>
      </c>
    </row>
    <row r="38" spans="1:20" x14ac:dyDescent="0.35">
      <c r="A38">
        <f t="shared" si="2"/>
        <v>36</v>
      </c>
      <c r="B38" s="6">
        <v>6</v>
      </c>
      <c r="C38" s="7">
        <v>16</v>
      </c>
      <c r="D38" s="7">
        <v>28</v>
      </c>
      <c r="E38" s="7">
        <v>40</v>
      </c>
      <c r="F38" s="7">
        <v>53</v>
      </c>
      <c r="G38" s="7">
        <v>66</v>
      </c>
      <c r="H38" s="7">
        <v>79</v>
      </c>
      <c r="I38" s="7">
        <v>92</v>
      </c>
      <c r="J38" s="7">
        <v>106</v>
      </c>
      <c r="K38" s="7">
        <v>119</v>
      </c>
      <c r="L38" s="7">
        <v>133</v>
      </c>
      <c r="M38" s="7">
        <v>147</v>
      </c>
      <c r="N38" s="23">
        <v>161</v>
      </c>
      <c r="O38" s="23">
        <v>174</v>
      </c>
      <c r="P38" s="23">
        <v>188</v>
      </c>
      <c r="Q38" s="23">
        <v>202</v>
      </c>
      <c r="R38" s="23">
        <v>216</v>
      </c>
      <c r="S38" s="23">
        <v>231</v>
      </c>
      <c r="T38" s="60">
        <v>245</v>
      </c>
    </row>
    <row r="39" spans="1:20" x14ac:dyDescent="0.35">
      <c r="A39">
        <f t="shared" si="2"/>
        <v>37</v>
      </c>
      <c r="B39" s="6">
        <v>6</v>
      </c>
      <c r="C39" s="7">
        <v>17</v>
      </c>
      <c r="D39" s="7">
        <v>29</v>
      </c>
      <c r="E39" s="7">
        <v>41</v>
      </c>
      <c r="F39" s="7">
        <v>55</v>
      </c>
      <c r="G39" s="7">
        <v>68</v>
      </c>
      <c r="H39" s="7">
        <v>81</v>
      </c>
      <c r="I39" s="7">
        <v>95</v>
      </c>
      <c r="J39" s="7">
        <v>109</v>
      </c>
      <c r="K39" s="7">
        <v>123</v>
      </c>
      <c r="L39" s="7">
        <v>137</v>
      </c>
      <c r="M39" s="7">
        <v>151</v>
      </c>
      <c r="N39" s="23">
        <v>165</v>
      </c>
      <c r="O39" s="23">
        <v>180</v>
      </c>
      <c r="P39" s="23">
        <v>194</v>
      </c>
      <c r="Q39" s="23">
        <v>209</v>
      </c>
      <c r="R39" s="23">
        <v>223</v>
      </c>
      <c r="S39" s="23">
        <v>238</v>
      </c>
      <c r="T39" s="60">
        <v>252</v>
      </c>
    </row>
    <row r="40" spans="1:20" x14ac:dyDescent="0.35">
      <c r="A40">
        <f t="shared" si="2"/>
        <v>38</v>
      </c>
      <c r="B40" s="6">
        <v>6</v>
      </c>
      <c r="C40" s="7">
        <v>17</v>
      </c>
      <c r="D40" s="7">
        <v>30</v>
      </c>
      <c r="E40" s="7">
        <v>43</v>
      </c>
      <c r="F40" s="7">
        <v>56</v>
      </c>
      <c r="G40" s="7">
        <v>70</v>
      </c>
      <c r="H40" s="7">
        <v>84</v>
      </c>
      <c r="I40" s="7">
        <v>98</v>
      </c>
      <c r="J40" s="7">
        <v>112</v>
      </c>
      <c r="K40" s="7">
        <v>127</v>
      </c>
      <c r="L40" s="7">
        <v>141</v>
      </c>
      <c r="M40" s="7">
        <v>156</v>
      </c>
      <c r="N40" s="23">
        <v>170</v>
      </c>
      <c r="O40" s="23">
        <v>185</v>
      </c>
      <c r="P40" s="23">
        <v>200</v>
      </c>
      <c r="Q40" s="23">
        <v>215</v>
      </c>
      <c r="R40" s="23">
        <v>230</v>
      </c>
      <c r="S40" s="23">
        <v>245</v>
      </c>
      <c r="T40" s="60">
        <v>259</v>
      </c>
    </row>
    <row r="41" spans="1:20" x14ac:dyDescent="0.35">
      <c r="A41">
        <f t="shared" si="2"/>
        <v>39</v>
      </c>
      <c r="B41" s="6">
        <v>7</v>
      </c>
      <c r="C41" s="7">
        <v>18</v>
      </c>
      <c r="D41" s="7">
        <v>31</v>
      </c>
      <c r="E41" s="7">
        <v>44</v>
      </c>
      <c r="F41" s="7">
        <v>58</v>
      </c>
      <c r="G41" s="7">
        <v>72</v>
      </c>
      <c r="H41" s="7">
        <v>86</v>
      </c>
      <c r="I41" s="7">
        <v>101</v>
      </c>
      <c r="J41" s="7">
        <v>115</v>
      </c>
      <c r="K41" s="7">
        <v>130</v>
      </c>
      <c r="L41" s="7">
        <v>145</v>
      </c>
      <c r="M41" s="7">
        <v>160</v>
      </c>
      <c r="N41" s="23">
        <v>175</v>
      </c>
      <c r="O41" s="23">
        <v>190</v>
      </c>
      <c r="P41" s="23">
        <v>206</v>
      </c>
      <c r="Q41" s="23">
        <v>221</v>
      </c>
      <c r="R41" s="23">
        <v>236</v>
      </c>
      <c r="S41" s="23">
        <v>252</v>
      </c>
      <c r="T41" s="60">
        <v>267</v>
      </c>
    </row>
    <row r="42" spans="1:20" x14ac:dyDescent="0.35">
      <c r="A42">
        <f t="shared" si="2"/>
        <v>40</v>
      </c>
      <c r="B42" s="45">
        <v>7</v>
      </c>
      <c r="C42" s="106">
        <v>18</v>
      </c>
      <c r="D42" s="106">
        <v>31</v>
      </c>
      <c r="E42" s="106">
        <v>45</v>
      </c>
      <c r="F42" s="106">
        <v>59</v>
      </c>
      <c r="G42" s="106">
        <v>74</v>
      </c>
      <c r="H42" s="106">
        <v>89</v>
      </c>
      <c r="I42" s="106">
        <v>103</v>
      </c>
      <c r="J42" s="106">
        <v>119</v>
      </c>
      <c r="K42" s="106">
        <v>134</v>
      </c>
      <c r="L42" s="106">
        <v>149</v>
      </c>
      <c r="M42" s="106">
        <v>165</v>
      </c>
      <c r="N42" s="106">
        <v>180</v>
      </c>
      <c r="O42" s="106">
        <v>196</v>
      </c>
      <c r="P42" s="106">
        <v>211</v>
      </c>
      <c r="Q42" s="106">
        <v>227</v>
      </c>
      <c r="R42" s="106">
        <v>243</v>
      </c>
      <c r="S42" s="106">
        <v>258</v>
      </c>
      <c r="T42" s="48">
        <v>274</v>
      </c>
    </row>
    <row r="43" spans="1:20" x14ac:dyDescent="0.3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35">
      <c r="A44" t="s">
        <v>79</v>
      </c>
    </row>
    <row r="46" spans="1:20" x14ac:dyDescent="0.35">
      <c r="A46" s="1" t="s">
        <v>77</v>
      </c>
      <c r="E46">
        <v>0.01</v>
      </c>
      <c r="G46" t="s">
        <v>247</v>
      </c>
    </row>
    <row r="48" spans="1:20" ht="24" x14ac:dyDescent="0.5">
      <c r="A48" s="28" t="s">
        <v>78</v>
      </c>
      <c r="B48">
        <v>2</v>
      </c>
      <c r="C48">
        <f>B48+1</f>
        <v>3</v>
      </c>
      <c r="D48">
        <f t="shared" ref="D48:T48" si="3">C48+1</f>
        <v>4</v>
      </c>
      <c r="E48">
        <f t="shared" si="3"/>
        <v>5</v>
      </c>
      <c r="F48">
        <f t="shared" si="3"/>
        <v>6</v>
      </c>
      <c r="G48">
        <f t="shared" si="3"/>
        <v>7</v>
      </c>
      <c r="H48">
        <f t="shared" si="3"/>
        <v>8</v>
      </c>
      <c r="I48">
        <f t="shared" si="3"/>
        <v>9</v>
      </c>
      <c r="J48">
        <f t="shared" si="3"/>
        <v>10</v>
      </c>
      <c r="K48">
        <f t="shared" si="3"/>
        <v>11</v>
      </c>
      <c r="L48">
        <f t="shared" si="3"/>
        <v>12</v>
      </c>
      <c r="M48">
        <f t="shared" si="3"/>
        <v>13</v>
      </c>
      <c r="N48">
        <f t="shared" si="3"/>
        <v>14</v>
      </c>
      <c r="O48">
        <f t="shared" si="3"/>
        <v>15</v>
      </c>
      <c r="P48">
        <f t="shared" si="3"/>
        <v>16</v>
      </c>
      <c r="Q48">
        <f t="shared" si="3"/>
        <v>17</v>
      </c>
      <c r="R48">
        <f t="shared" si="3"/>
        <v>18</v>
      </c>
      <c r="S48">
        <f t="shared" si="3"/>
        <v>19</v>
      </c>
      <c r="T48">
        <f t="shared" si="3"/>
        <v>20</v>
      </c>
    </row>
    <row r="49" spans="1:21" x14ac:dyDescent="0.35">
      <c r="A49">
        <v>2</v>
      </c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>
        <v>0</v>
      </c>
      <c r="T49" s="5">
        <v>0</v>
      </c>
    </row>
    <row r="50" spans="1:21" x14ac:dyDescent="0.35">
      <c r="A50">
        <f>A49+1</f>
        <v>3</v>
      </c>
      <c r="B50" s="6"/>
      <c r="C50" s="7"/>
      <c r="D50" s="7"/>
      <c r="E50" s="7"/>
      <c r="F50" s="7"/>
      <c r="G50" s="7"/>
      <c r="H50" s="7"/>
      <c r="I50" s="7">
        <v>0</v>
      </c>
      <c r="J50" s="7">
        <v>0</v>
      </c>
      <c r="K50" s="7">
        <v>0</v>
      </c>
      <c r="L50" s="7">
        <v>1</v>
      </c>
      <c r="M50" s="7">
        <v>1</v>
      </c>
      <c r="N50" s="7">
        <v>1</v>
      </c>
      <c r="O50" s="7">
        <v>2</v>
      </c>
      <c r="P50" s="7">
        <v>2</v>
      </c>
      <c r="Q50" s="7">
        <v>2</v>
      </c>
      <c r="R50" s="7">
        <v>2</v>
      </c>
      <c r="S50" s="7">
        <v>3</v>
      </c>
      <c r="T50" s="8">
        <v>3</v>
      </c>
    </row>
    <row r="51" spans="1:21" x14ac:dyDescent="0.35">
      <c r="A51">
        <f t="shared" ref="A51:A67" si="4">A50+1</f>
        <v>4</v>
      </c>
      <c r="B51" s="6"/>
      <c r="C51" s="7"/>
      <c r="D51" s="7"/>
      <c r="E51" s="7"/>
      <c r="F51" s="7">
        <v>0</v>
      </c>
      <c r="G51" s="7">
        <v>0</v>
      </c>
      <c r="H51" s="7">
        <v>1</v>
      </c>
      <c r="I51" s="7">
        <v>1</v>
      </c>
      <c r="J51" s="7">
        <v>2</v>
      </c>
      <c r="K51" s="7">
        <v>2</v>
      </c>
      <c r="L51" s="7">
        <v>3</v>
      </c>
      <c r="M51" s="7">
        <v>3</v>
      </c>
      <c r="N51" s="7">
        <v>4</v>
      </c>
      <c r="O51" s="7">
        <v>5</v>
      </c>
      <c r="P51" s="7">
        <v>5</v>
      </c>
      <c r="Q51" s="7">
        <v>6</v>
      </c>
      <c r="R51" s="7">
        <v>6</v>
      </c>
      <c r="S51" s="7">
        <v>7</v>
      </c>
      <c r="T51" s="8">
        <v>8</v>
      </c>
    </row>
    <row r="52" spans="1:21" x14ac:dyDescent="0.35">
      <c r="A52">
        <f t="shared" si="4"/>
        <v>5</v>
      </c>
      <c r="B52" s="6"/>
      <c r="C52" s="7"/>
      <c r="D52" s="7"/>
      <c r="E52" s="7">
        <v>0</v>
      </c>
      <c r="F52" s="7">
        <v>1</v>
      </c>
      <c r="G52" s="7">
        <v>1</v>
      </c>
      <c r="H52" s="7">
        <v>2</v>
      </c>
      <c r="I52" s="7">
        <v>3</v>
      </c>
      <c r="J52" s="7">
        <v>4</v>
      </c>
      <c r="K52" s="7">
        <v>5</v>
      </c>
      <c r="L52" s="7">
        <v>6</v>
      </c>
      <c r="M52" s="7">
        <v>7</v>
      </c>
      <c r="N52" s="7">
        <v>7</v>
      </c>
      <c r="O52" s="7">
        <v>8</v>
      </c>
      <c r="P52" s="7">
        <v>9</v>
      </c>
      <c r="Q52" s="7">
        <v>10</v>
      </c>
      <c r="R52" s="7">
        <v>11</v>
      </c>
      <c r="S52" s="7">
        <v>12</v>
      </c>
      <c r="T52" s="8">
        <v>13</v>
      </c>
    </row>
    <row r="53" spans="1:21" x14ac:dyDescent="0.35">
      <c r="A53">
        <f t="shared" si="4"/>
        <v>6</v>
      </c>
      <c r="B53" s="6"/>
      <c r="C53" s="7"/>
      <c r="D53" s="7">
        <v>0</v>
      </c>
      <c r="E53" s="7">
        <v>1</v>
      </c>
      <c r="F53" s="7">
        <v>2</v>
      </c>
      <c r="G53" s="7">
        <v>3</v>
      </c>
      <c r="H53" s="7">
        <v>4</v>
      </c>
      <c r="I53" s="7">
        <v>5</v>
      </c>
      <c r="J53" s="7">
        <v>6</v>
      </c>
      <c r="K53" s="7">
        <v>7</v>
      </c>
      <c r="L53" s="7">
        <v>9</v>
      </c>
      <c r="M53" s="7">
        <v>10</v>
      </c>
      <c r="N53" s="7">
        <v>11</v>
      </c>
      <c r="O53" s="7">
        <v>12</v>
      </c>
      <c r="P53" s="7">
        <v>13</v>
      </c>
      <c r="Q53" s="7">
        <v>15</v>
      </c>
      <c r="R53" s="7">
        <v>16</v>
      </c>
      <c r="S53" s="7">
        <v>17</v>
      </c>
      <c r="T53" s="8">
        <v>18</v>
      </c>
    </row>
    <row r="54" spans="1:21" x14ac:dyDescent="0.35">
      <c r="A54">
        <f t="shared" si="4"/>
        <v>7</v>
      </c>
      <c r="B54" s="6"/>
      <c r="C54" s="7"/>
      <c r="D54" s="7">
        <v>0</v>
      </c>
      <c r="E54" s="7">
        <v>1</v>
      </c>
      <c r="F54" s="7">
        <v>3</v>
      </c>
      <c r="G54" s="7">
        <v>4</v>
      </c>
      <c r="H54" s="7">
        <v>6</v>
      </c>
      <c r="I54" s="7">
        <v>7</v>
      </c>
      <c r="J54" s="7">
        <v>9</v>
      </c>
      <c r="K54" s="7">
        <v>10</v>
      </c>
      <c r="L54" s="7">
        <v>12</v>
      </c>
      <c r="M54" s="7">
        <v>13</v>
      </c>
      <c r="N54" s="7">
        <v>15</v>
      </c>
      <c r="O54" s="7">
        <v>16</v>
      </c>
      <c r="P54" s="7">
        <v>18</v>
      </c>
      <c r="Q54" s="7">
        <v>19</v>
      </c>
      <c r="R54" s="7">
        <v>21</v>
      </c>
      <c r="S54" s="7">
        <v>22</v>
      </c>
      <c r="T54" s="8">
        <v>24</v>
      </c>
    </row>
    <row r="55" spans="1:21" x14ac:dyDescent="0.35">
      <c r="A55">
        <f t="shared" si="4"/>
        <v>8</v>
      </c>
      <c r="B55" s="6"/>
      <c r="C55" s="7"/>
      <c r="D55" s="7">
        <v>1</v>
      </c>
      <c r="E55" s="7">
        <v>2</v>
      </c>
      <c r="F55" s="7">
        <v>4</v>
      </c>
      <c r="G55" s="7">
        <v>6</v>
      </c>
      <c r="H55" s="7">
        <v>7</v>
      </c>
      <c r="I55" s="7">
        <v>9</v>
      </c>
      <c r="J55" s="7">
        <v>11</v>
      </c>
      <c r="K55" s="7">
        <v>13</v>
      </c>
      <c r="L55" s="7">
        <v>15</v>
      </c>
      <c r="M55" s="7">
        <v>17</v>
      </c>
      <c r="N55" s="7">
        <v>18</v>
      </c>
      <c r="O55" s="7">
        <v>20</v>
      </c>
      <c r="P55" s="7">
        <v>22</v>
      </c>
      <c r="Q55" s="7">
        <v>24</v>
      </c>
      <c r="R55" s="7">
        <v>26</v>
      </c>
      <c r="S55" s="7">
        <v>28</v>
      </c>
      <c r="T55" s="8">
        <v>30</v>
      </c>
    </row>
    <row r="56" spans="1:21" x14ac:dyDescent="0.35">
      <c r="A56">
        <f t="shared" si="4"/>
        <v>9</v>
      </c>
      <c r="B56" s="6"/>
      <c r="C56" s="7">
        <v>0</v>
      </c>
      <c r="D56" s="7">
        <v>1</v>
      </c>
      <c r="E56" s="7">
        <v>3</v>
      </c>
      <c r="F56" s="7">
        <v>5</v>
      </c>
      <c r="G56" s="7">
        <v>7</v>
      </c>
      <c r="H56" s="7">
        <v>9</v>
      </c>
      <c r="I56" s="7">
        <v>11</v>
      </c>
      <c r="J56" s="7">
        <v>13</v>
      </c>
      <c r="K56" s="7">
        <v>16</v>
      </c>
      <c r="L56" s="7">
        <v>18</v>
      </c>
      <c r="M56" s="7">
        <v>20</v>
      </c>
      <c r="N56" s="7">
        <v>22</v>
      </c>
      <c r="O56" s="7">
        <v>24</v>
      </c>
      <c r="P56" s="7">
        <v>27</v>
      </c>
      <c r="Q56" s="7">
        <v>29</v>
      </c>
      <c r="R56" s="7">
        <v>31</v>
      </c>
      <c r="S56" s="7">
        <v>33</v>
      </c>
      <c r="T56" s="8">
        <v>36</v>
      </c>
    </row>
    <row r="57" spans="1:21" x14ac:dyDescent="0.35">
      <c r="A57">
        <f t="shared" si="4"/>
        <v>10</v>
      </c>
      <c r="B57" s="6"/>
      <c r="C57" s="7">
        <v>0</v>
      </c>
      <c r="D57" s="7">
        <v>2</v>
      </c>
      <c r="E57" s="7">
        <v>4</v>
      </c>
      <c r="F57" s="7">
        <v>6</v>
      </c>
      <c r="G57" s="7">
        <v>9</v>
      </c>
      <c r="H57" s="7">
        <v>11</v>
      </c>
      <c r="I57" s="7">
        <v>13</v>
      </c>
      <c r="J57" s="7">
        <v>16</v>
      </c>
      <c r="K57" s="7">
        <v>18</v>
      </c>
      <c r="L57" s="7">
        <v>21</v>
      </c>
      <c r="M57" s="7">
        <v>24</v>
      </c>
      <c r="N57" s="7">
        <v>26</v>
      </c>
      <c r="O57" s="7">
        <v>29</v>
      </c>
      <c r="P57" s="7">
        <v>31</v>
      </c>
      <c r="Q57" s="7">
        <v>34</v>
      </c>
      <c r="R57" s="7">
        <v>37</v>
      </c>
      <c r="S57" s="7">
        <v>39</v>
      </c>
      <c r="T57" s="8">
        <v>42</v>
      </c>
    </row>
    <row r="58" spans="1:21" x14ac:dyDescent="0.35">
      <c r="A58">
        <f t="shared" si="4"/>
        <v>11</v>
      </c>
      <c r="B58" s="6"/>
      <c r="C58" s="7">
        <v>0</v>
      </c>
      <c r="D58" s="7">
        <v>2</v>
      </c>
      <c r="E58" s="7">
        <v>5</v>
      </c>
      <c r="F58" s="7">
        <v>7</v>
      </c>
      <c r="G58" s="7">
        <v>10</v>
      </c>
      <c r="H58" s="7">
        <v>13</v>
      </c>
      <c r="I58" s="7">
        <v>16</v>
      </c>
      <c r="J58" s="7">
        <v>18</v>
      </c>
      <c r="K58" s="7">
        <v>21</v>
      </c>
      <c r="L58" s="7">
        <v>24</v>
      </c>
      <c r="M58" s="7">
        <v>27</v>
      </c>
      <c r="N58" s="7">
        <v>30</v>
      </c>
      <c r="O58" s="7">
        <v>33</v>
      </c>
      <c r="P58" s="7">
        <v>36</v>
      </c>
      <c r="Q58" s="7">
        <v>39</v>
      </c>
      <c r="R58" s="7">
        <v>42</v>
      </c>
      <c r="S58" s="7">
        <v>45</v>
      </c>
      <c r="T58" s="8">
        <v>46</v>
      </c>
    </row>
    <row r="59" spans="1:21" x14ac:dyDescent="0.35">
      <c r="A59">
        <f t="shared" si="4"/>
        <v>12</v>
      </c>
      <c r="B59" s="6"/>
      <c r="C59" s="7">
        <v>1</v>
      </c>
      <c r="D59" s="7">
        <v>3</v>
      </c>
      <c r="E59" s="7">
        <v>6</v>
      </c>
      <c r="F59" s="7">
        <v>9</v>
      </c>
      <c r="G59" s="7">
        <v>12</v>
      </c>
      <c r="H59" s="7">
        <v>15</v>
      </c>
      <c r="I59" s="7">
        <v>18</v>
      </c>
      <c r="J59" s="7">
        <v>21</v>
      </c>
      <c r="K59" s="7">
        <v>24</v>
      </c>
      <c r="L59" s="23">
        <v>27</v>
      </c>
      <c r="M59" s="23">
        <v>31</v>
      </c>
      <c r="N59" s="23">
        <v>34</v>
      </c>
      <c r="O59" s="23">
        <v>37</v>
      </c>
      <c r="P59" s="23">
        <v>41</v>
      </c>
      <c r="Q59" s="23">
        <v>44</v>
      </c>
      <c r="R59" s="23">
        <v>47</v>
      </c>
      <c r="S59" s="23">
        <v>51</v>
      </c>
      <c r="T59" s="8">
        <v>54</v>
      </c>
    </row>
    <row r="60" spans="1:21" x14ac:dyDescent="0.35">
      <c r="A60">
        <f t="shared" si="4"/>
        <v>13</v>
      </c>
      <c r="B60" s="6"/>
      <c r="C60" s="7">
        <v>1</v>
      </c>
      <c r="D60" s="7">
        <v>3</v>
      </c>
      <c r="E60" s="7">
        <v>7</v>
      </c>
      <c r="F60" s="7">
        <v>10</v>
      </c>
      <c r="G60" s="7">
        <v>13</v>
      </c>
      <c r="H60" s="7">
        <v>17</v>
      </c>
      <c r="I60" s="7">
        <v>20</v>
      </c>
      <c r="J60" s="7">
        <v>24</v>
      </c>
      <c r="K60" s="7">
        <v>27</v>
      </c>
      <c r="L60" s="23">
        <v>31</v>
      </c>
      <c r="M60" s="23">
        <v>34</v>
      </c>
      <c r="N60" s="23">
        <v>38</v>
      </c>
      <c r="O60" s="23">
        <v>42</v>
      </c>
      <c r="P60" s="23">
        <v>45</v>
      </c>
      <c r="Q60" s="23">
        <v>49</v>
      </c>
      <c r="R60" s="23">
        <v>53</v>
      </c>
      <c r="S60" s="23">
        <v>56</v>
      </c>
      <c r="T60" s="8">
        <v>60</v>
      </c>
    </row>
    <row r="61" spans="1:21" x14ac:dyDescent="0.35">
      <c r="A61">
        <f t="shared" si="4"/>
        <v>14</v>
      </c>
      <c r="B61" s="6"/>
      <c r="C61" s="7">
        <v>1</v>
      </c>
      <c r="D61" s="7">
        <v>4</v>
      </c>
      <c r="E61" s="7">
        <v>7</v>
      </c>
      <c r="F61" s="7">
        <v>11</v>
      </c>
      <c r="G61" s="7">
        <v>15</v>
      </c>
      <c r="H61" s="7">
        <v>18</v>
      </c>
      <c r="I61" s="7">
        <v>22</v>
      </c>
      <c r="J61" s="7">
        <v>26</v>
      </c>
      <c r="K61" s="7">
        <v>30</v>
      </c>
      <c r="L61" s="23">
        <v>34</v>
      </c>
      <c r="M61" s="23">
        <v>38</v>
      </c>
      <c r="N61" s="23">
        <v>42</v>
      </c>
      <c r="O61" s="23">
        <v>46</v>
      </c>
      <c r="P61" s="23">
        <v>50</v>
      </c>
      <c r="Q61" s="23">
        <v>54</v>
      </c>
      <c r="R61" s="23">
        <v>58</v>
      </c>
      <c r="S61" s="23">
        <v>63</v>
      </c>
      <c r="T61" s="8">
        <v>67</v>
      </c>
    </row>
    <row r="62" spans="1:21" x14ac:dyDescent="0.35">
      <c r="A62">
        <f t="shared" si="4"/>
        <v>15</v>
      </c>
      <c r="B62" s="6"/>
      <c r="C62" s="7">
        <v>2</v>
      </c>
      <c r="D62" s="7">
        <v>5</v>
      </c>
      <c r="E62" s="7">
        <v>8</v>
      </c>
      <c r="F62" s="7">
        <v>12</v>
      </c>
      <c r="G62" s="7">
        <v>16</v>
      </c>
      <c r="H62" s="7">
        <v>20</v>
      </c>
      <c r="I62" s="7">
        <v>24</v>
      </c>
      <c r="J62" s="7">
        <v>29</v>
      </c>
      <c r="K62" s="7">
        <v>33</v>
      </c>
      <c r="L62" s="23">
        <v>37</v>
      </c>
      <c r="M62" s="23">
        <v>42</v>
      </c>
      <c r="N62" s="23">
        <v>46</v>
      </c>
      <c r="O62" s="23">
        <v>51</v>
      </c>
      <c r="P62" s="23">
        <v>55</v>
      </c>
      <c r="Q62" s="23">
        <v>60</v>
      </c>
      <c r="R62" s="23">
        <v>64</v>
      </c>
      <c r="S62" s="23">
        <v>69</v>
      </c>
      <c r="T62" s="8">
        <v>73</v>
      </c>
    </row>
    <row r="63" spans="1:21" x14ac:dyDescent="0.35">
      <c r="A63">
        <f t="shared" si="4"/>
        <v>16</v>
      </c>
      <c r="B63" s="6"/>
      <c r="C63" s="7">
        <v>2</v>
      </c>
      <c r="D63" s="7">
        <v>5</v>
      </c>
      <c r="E63" s="7">
        <v>9</v>
      </c>
      <c r="F63" s="7">
        <v>13</v>
      </c>
      <c r="G63" s="7">
        <v>18</v>
      </c>
      <c r="H63" s="7">
        <v>22</v>
      </c>
      <c r="I63" s="7">
        <v>27</v>
      </c>
      <c r="J63" s="23">
        <v>31</v>
      </c>
      <c r="K63" s="23">
        <v>36</v>
      </c>
      <c r="L63" s="23">
        <v>41</v>
      </c>
      <c r="M63" s="23">
        <v>45</v>
      </c>
      <c r="N63" s="23">
        <v>50</v>
      </c>
      <c r="O63" s="23">
        <v>55</v>
      </c>
      <c r="P63" s="23">
        <v>60</v>
      </c>
      <c r="Q63" s="23">
        <v>65</v>
      </c>
      <c r="R63" s="23">
        <v>70</v>
      </c>
      <c r="S63" s="23">
        <v>74</v>
      </c>
      <c r="T63" s="8">
        <v>79</v>
      </c>
      <c r="U63" s="23"/>
    </row>
    <row r="64" spans="1:21" x14ac:dyDescent="0.35">
      <c r="A64">
        <f t="shared" si="4"/>
        <v>17</v>
      </c>
      <c r="B64" s="6"/>
      <c r="C64" s="7">
        <v>2</v>
      </c>
      <c r="D64" s="7">
        <v>6</v>
      </c>
      <c r="E64" s="7">
        <v>10</v>
      </c>
      <c r="F64" s="7">
        <v>15</v>
      </c>
      <c r="G64" s="7">
        <v>19</v>
      </c>
      <c r="H64" s="7">
        <v>24</v>
      </c>
      <c r="I64" s="7">
        <v>29</v>
      </c>
      <c r="J64" s="7">
        <v>34</v>
      </c>
      <c r="K64" s="7">
        <v>39</v>
      </c>
      <c r="L64" s="23">
        <v>44</v>
      </c>
      <c r="M64" s="23">
        <v>49</v>
      </c>
      <c r="N64" s="23">
        <v>54</v>
      </c>
      <c r="O64" s="23">
        <v>60</v>
      </c>
      <c r="P64" s="23">
        <v>65</v>
      </c>
      <c r="Q64" s="23">
        <v>70</v>
      </c>
      <c r="R64" s="23">
        <v>75</v>
      </c>
      <c r="S64" s="23">
        <v>81</v>
      </c>
      <c r="T64" s="8">
        <v>86</v>
      </c>
    </row>
    <row r="65" spans="1:20" x14ac:dyDescent="0.35">
      <c r="A65">
        <f t="shared" si="4"/>
        <v>18</v>
      </c>
      <c r="B65" s="6"/>
      <c r="C65" s="7">
        <v>2</v>
      </c>
      <c r="D65" s="7">
        <v>6</v>
      </c>
      <c r="E65" s="7">
        <v>11</v>
      </c>
      <c r="F65" s="7">
        <v>16</v>
      </c>
      <c r="G65" s="7">
        <v>21</v>
      </c>
      <c r="H65" s="7">
        <v>26</v>
      </c>
      <c r="I65" s="7">
        <v>31</v>
      </c>
      <c r="J65" s="7">
        <v>37</v>
      </c>
      <c r="K65" s="7">
        <v>42</v>
      </c>
      <c r="L65" s="23">
        <v>47</v>
      </c>
      <c r="M65" s="23">
        <v>53</v>
      </c>
      <c r="N65" s="23">
        <v>58</v>
      </c>
      <c r="O65" s="23">
        <v>64</v>
      </c>
      <c r="P65" s="23">
        <v>70</v>
      </c>
      <c r="Q65" s="23">
        <v>75</v>
      </c>
      <c r="R65" s="23">
        <v>81</v>
      </c>
      <c r="S65" s="23">
        <v>87</v>
      </c>
      <c r="T65" s="8">
        <v>92</v>
      </c>
    </row>
    <row r="66" spans="1:20" x14ac:dyDescent="0.35">
      <c r="A66">
        <f t="shared" si="4"/>
        <v>19</v>
      </c>
      <c r="B66" s="6">
        <v>0</v>
      </c>
      <c r="C66" s="7">
        <v>3</v>
      </c>
      <c r="D66" s="7">
        <v>7</v>
      </c>
      <c r="E66" s="7">
        <v>12</v>
      </c>
      <c r="F66" s="7">
        <v>17</v>
      </c>
      <c r="G66" s="7">
        <v>22</v>
      </c>
      <c r="H66" s="7">
        <v>28</v>
      </c>
      <c r="I66" s="7">
        <v>33</v>
      </c>
      <c r="J66" s="7">
        <v>39</v>
      </c>
      <c r="K66" s="7">
        <v>45</v>
      </c>
      <c r="L66" s="23">
        <v>51</v>
      </c>
      <c r="M66" s="23">
        <v>56</v>
      </c>
      <c r="N66" s="23">
        <v>63</v>
      </c>
      <c r="O66" s="23">
        <v>69</v>
      </c>
      <c r="P66" s="23">
        <v>74</v>
      </c>
      <c r="Q66" s="23">
        <v>81</v>
      </c>
      <c r="R66" s="23">
        <v>87</v>
      </c>
      <c r="S66" s="23">
        <v>93</v>
      </c>
      <c r="T66" s="8">
        <v>99</v>
      </c>
    </row>
    <row r="67" spans="1:20" x14ac:dyDescent="0.35">
      <c r="A67">
        <f t="shared" si="4"/>
        <v>20</v>
      </c>
      <c r="B67" s="9">
        <v>0</v>
      </c>
      <c r="C67" s="10">
        <v>3</v>
      </c>
      <c r="D67" s="10">
        <v>8</v>
      </c>
      <c r="E67" s="10">
        <v>13</v>
      </c>
      <c r="F67" s="10">
        <v>18</v>
      </c>
      <c r="G67" s="10">
        <v>24</v>
      </c>
      <c r="H67" s="10">
        <v>30</v>
      </c>
      <c r="I67" s="10">
        <v>36</v>
      </c>
      <c r="J67" s="10">
        <v>42</v>
      </c>
      <c r="K67" s="10">
        <v>46</v>
      </c>
      <c r="L67" s="10">
        <v>54</v>
      </c>
      <c r="M67" s="10">
        <v>60</v>
      </c>
      <c r="N67" s="10">
        <v>67</v>
      </c>
      <c r="O67" s="10">
        <v>73</v>
      </c>
      <c r="P67" s="10">
        <v>79</v>
      </c>
      <c r="Q67" s="10">
        <v>86</v>
      </c>
      <c r="R67" s="10">
        <v>92</v>
      </c>
      <c r="S67" s="10">
        <v>99</v>
      </c>
      <c r="T67" s="11">
        <v>105</v>
      </c>
    </row>
    <row r="69" spans="1:20" x14ac:dyDescent="0.35">
      <c r="A69" t="s">
        <v>80</v>
      </c>
    </row>
    <row r="71" spans="1:20" x14ac:dyDescent="0.35">
      <c r="A71" s="1" t="s">
        <v>77</v>
      </c>
      <c r="E71">
        <v>0.1</v>
      </c>
      <c r="G71" t="s">
        <v>247</v>
      </c>
    </row>
    <row r="73" spans="1:20" ht="24" x14ac:dyDescent="0.5">
      <c r="A73" s="28" t="s">
        <v>78</v>
      </c>
      <c r="B73">
        <v>2</v>
      </c>
      <c r="C73">
        <f>B73+1</f>
        <v>3</v>
      </c>
      <c r="D73">
        <f t="shared" ref="D73:T73" si="5">C73+1</f>
        <v>4</v>
      </c>
      <c r="E73">
        <f t="shared" si="5"/>
        <v>5</v>
      </c>
      <c r="F73">
        <f t="shared" si="5"/>
        <v>6</v>
      </c>
      <c r="G73">
        <f t="shared" si="5"/>
        <v>7</v>
      </c>
      <c r="H73">
        <f t="shared" si="5"/>
        <v>8</v>
      </c>
      <c r="I73">
        <f t="shared" si="5"/>
        <v>9</v>
      </c>
      <c r="J73">
        <f t="shared" si="5"/>
        <v>10</v>
      </c>
      <c r="K73">
        <f t="shared" si="5"/>
        <v>11</v>
      </c>
      <c r="L73">
        <f t="shared" si="5"/>
        <v>12</v>
      </c>
      <c r="M73">
        <f t="shared" si="5"/>
        <v>13</v>
      </c>
      <c r="N73">
        <f t="shared" si="5"/>
        <v>14</v>
      </c>
      <c r="O73">
        <f t="shared" si="5"/>
        <v>15</v>
      </c>
      <c r="P73">
        <f t="shared" si="5"/>
        <v>16</v>
      </c>
      <c r="Q73">
        <f t="shared" si="5"/>
        <v>17</v>
      </c>
      <c r="R73">
        <f t="shared" si="5"/>
        <v>18</v>
      </c>
      <c r="S73">
        <f t="shared" si="5"/>
        <v>19</v>
      </c>
      <c r="T73">
        <f t="shared" si="5"/>
        <v>20</v>
      </c>
    </row>
    <row r="74" spans="1:20" x14ac:dyDescent="0.35">
      <c r="A74">
        <v>2</v>
      </c>
      <c r="B74" s="3"/>
      <c r="C74" s="111"/>
      <c r="D74" s="111"/>
      <c r="E74" s="111">
        <v>0</v>
      </c>
      <c r="F74" s="111">
        <v>0</v>
      </c>
      <c r="G74" s="111">
        <v>0</v>
      </c>
      <c r="H74" s="111">
        <v>1</v>
      </c>
      <c r="I74" s="111">
        <v>1</v>
      </c>
      <c r="J74" s="111">
        <v>1</v>
      </c>
      <c r="K74" s="111">
        <v>1</v>
      </c>
      <c r="L74" s="111">
        <v>2</v>
      </c>
      <c r="M74" s="111">
        <v>2</v>
      </c>
      <c r="N74" s="111">
        <v>3</v>
      </c>
      <c r="O74" s="111">
        <v>3</v>
      </c>
      <c r="P74" s="111">
        <v>3</v>
      </c>
      <c r="Q74" s="111">
        <v>3</v>
      </c>
      <c r="R74" s="111">
        <v>4</v>
      </c>
      <c r="S74" s="111">
        <v>4</v>
      </c>
      <c r="T74" s="5">
        <v>4</v>
      </c>
    </row>
    <row r="75" spans="1:20" x14ac:dyDescent="0.35">
      <c r="A75">
        <f>A74+1</f>
        <v>3</v>
      </c>
      <c r="B75" s="59"/>
      <c r="C75" s="7">
        <v>0</v>
      </c>
      <c r="D75" s="7">
        <v>0</v>
      </c>
      <c r="E75" s="7">
        <v>1</v>
      </c>
      <c r="F75" s="7">
        <v>2</v>
      </c>
      <c r="G75" s="7">
        <v>2</v>
      </c>
      <c r="H75" s="7">
        <v>3</v>
      </c>
      <c r="I75" s="7">
        <v>4</v>
      </c>
      <c r="J75" s="7">
        <v>4</v>
      </c>
      <c r="K75" s="7">
        <v>5</v>
      </c>
      <c r="L75" s="7">
        <v>5</v>
      </c>
      <c r="M75" s="7">
        <v>6</v>
      </c>
      <c r="N75" s="7">
        <v>7</v>
      </c>
      <c r="O75" s="7">
        <v>7</v>
      </c>
      <c r="P75" s="7">
        <v>8</v>
      </c>
      <c r="Q75" s="7">
        <v>9</v>
      </c>
      <c r="R75" s="7">
        <v>9</v>
      </c>
      <c r="S75" s="7">
        <v>10</v>
      </c>
      <c r="T75" s="60">
        <v>11</v>
      </c>
    </row>
    <row r="76" spans="1:20" x14ac:dyDescent="0.35">
      <c r="A76">
        <f t="shared" ref="A76:A92" si="6">A75+1</f>
        <v>4</v>
      </c>
      <c r="B76" s="59"/>
      <c r="C76" s="7">
        <v>0</v>
      </c>
      <c r="D76" s="7">
        <v>1</v>
      </c>
      <c r="E76" s="7">
        <v>2</v>
      </c>
      <c r="F76" s="7">
        <v>3</v>
      </c>
      <c r="G76" s="7">
        <v>4</v>
      </c>
      <c r="H76" s="7">
        <v>5</v>
      </c>
      <c r="I76" s="7">
        <v>6</v>
      </c>
      <c r="J76" s="7">
        <v>7</v>
      </c>
      <c r="K76" s="7">
        <v>8</v>
      </c>
      <c r="L76" s="7">
        <v>9</v>
      </c>
      <c r="M76" s="7">
        <v>10</v>
      </c>
      <c r="N76" s="7">
        <v>11</v>
      </c>
      <c r="O76" s="7">
        <v>12</v>
      </c>
      <c r="P76" s="7">
        <v>14</v>
      </c>
      <c r="Q76" s="7">
        <v>15</v>
      </c>
      <c r="R76" s="7">
        <v>16</v>
      </c>
      <c r="S76" s="7">
        <v>17</v>
      </c>
      <c r="T76" s="60">
        <v>18</v>
      </c>
    </row>
    <row r="77" spans="1:20" x14ac:dyDescent="0.35">
      <c r="A77">
        <f t="shared" si="6"/>
        <v>5</v>
      </c>
      <c r="B77" s="59">
        <v>0</v>
      </c>
      <c r="C77" s="7">
        <v>1</v>
      </c>
      <c r="D77" s="7">
        <v>2</v>
      </c>
      <c r="E77" s="7">
        <v>4</v>
      </c>
      <c r="F77" s="7">
        <v>5</v>
      </c>
      <c r="G77" s="7">
        <v>6</v>
      </c>
      <c r="H77" s="7">
        <v>8</v>
      </c>
      <c r="I77" s="7">
        <v>9</v>
      </c>
      <c r="J77" s="7">
        <v>11</v>
      </c>
      <c r="K77" s="7">
        <v>12</v>
      </c>
      <c r="L77" s="7">
        <v>13</v>
      </c>
      <c r="M77" s="7">
        <v>15</v>
      </c>
      <c r="N77" s="7">
        <v>16</v>
      </c>
      <c r="O77" s="7">
        <v>18</v>
      </c>
      <c r="P77" s="7">
        <v>19</v>
      </c>
      <c r="Q77" s="7">
        <v>20</v>
      </c>
      <c r="R77" s="7">
        <v>22</v>
      </c>
      <c r="S77" s="7">
        <v>23</v>
      </c>
      <c r="T77" s="60">
        <v>25</v>
      </c>
    </row>
    <row r="78" spans="1:20" x14ac:dyDescent="0.35">
      <c r="A78">
        <f t="shared" si="6"/>
        <v>6</v>
      </c>
      <c r="B78" s="59">
        <v>0</v>
      </c>
      <c r="C78" s="7">
        <v>2</v>
      </c>
      <c r="D78" s="7">
        <v>3</v>
      </c>
      <c r="E78" s="7">
        <v>5</v>
      </c>
      <c r="F78" s="7">
        <v>7</v>
      </c>
      <c r="G78" s="7">
        <v>8</v>
      </c>
      <c r="H78" s="7">
        <v>10</v>
      </c>
      <c r="I78" s="7">
        <v>12</v>
      </c>
      <c r="J78" s="7">
        <v>14</v>
      </c>
      <c r="K78" s="7">
        <v>16</v>
      </c>
      <c r="L78" s="7">
        <v>17</v>
      </c>
      <c r="M78" s="7">
        <v>19</v>
      </c>
      <c r="N78" s="7">
        <v>21</v>
      </c>
      <c r="O78" s="7">
        <v>23</v>
      </c>
      <c r="P78" s="7">
        <v>25</v>
      </c>
      <c r="Q78" s="7">
        <v>26</v>
      </c>
      <c r="R78" s="7">
        <v>28</v>
      </c>
      <c r="S78" s="7">
        <v>30</v>
      </c>
      <c r="T78" s="60">
        <v>32</v>
      </c>
    </row>
    <row r="79" spans="1:20" x14ac:dyDescent="0.35">
      <c r="A79">
        <f t="shared" si="6"/>
        <v>7</v>
      </c>
      <c r="B79" s="59">
        <v>0</v>
      </c>
      <c r="C79" s="7">
        <v>2</v>
      </c>
      <c r="D79" s="7">
        <v>4</v>
      </c>
      <c r="E79" s="7">
        <v>6</v>
      </c>
      <c r="F79" s="7">
        <v>8</v>
      </c>
      <c r="G79" s="7">
        <v>11</v>
      </c>
      <c r="H79" s="7">
        <v>13</v>
      </c>
      <c r="I79" s="7">
        <v>15</v>
      </c>
      <c r="J79" s="7">
        <v>17</v>
      </c>
      <c r="K79" s="7">
        <v>19</v>
      </c>
      <c r="L79" s="7">
        <v>21</v>
      </c>
      <c r="M79" s="7">
        <v>24</v>
      </c>
      <c r="N79" s="7">
        <v>26</v>
      </c>
      <c r="O79" s="7">
        <v>28</v>
      </c>
      <c r="P79" s="7">
        <v>30</v>
      </c>
      <c r="Q79" s="7">
        <v>33</v>
      </c>
      <c r="R79" s="7">
        <v>35</v>
      </c>
      <c r="S79" s="7">
        <v>37</v>
      </c>
      <c r="T79" s="60">
        <v>39</v>
      </c>
    </row>
    <row r="80" spans="1:20" x14ac:dyDescent="0.35">
      <c r="A80">
        <f t="shared" si="6"/>
        <v>8</v>
      </c>
      <c r="B80" s="59">
        <v>1</v>
      </c>
      <c r="C80" s="7">
        <v>3</v>
      </c>
      <c r="D80" s="7">
        <v>5</v>
      </c>
      <c r="E80" s="7">
        <v>8</v>
      </c>
      <c r="F80" s="7">
        <v>10</v>
      </c>
      <c r="G80" s="7">
        <v>13</v>
      </c>
      <c r="H80" s="7">
        <v>15</v>
      </c>
      <c r="I80" s="7">
        <v>18</v>
      </c>
      <c r="J80" s="7">
        <v>20</v>
      </c>
      <c r="K80" s="7">
        <v>23</v>
      </c>
      <c r="L80" s="7">
        <v>26</v>
      </c>
      <c r="M80" s="7">
        <v>28</v>
      </c>
      <c r="N80" s="7">
        <v>31</v>
      </c>
      <c r="O80" s="7">
        <v>33</v>
      </c>
      <c r="P80" s="7">
        <v>36</v>
      </c>
      <c r="Q80" s="7">
        <v>39</v>
      </c>
      <c r="R80" s="7">
        <v>41</v>
      </c>
      <c r="S80" s="7">
        <v>44</v>
      </c>
      <c r="T80" s="60">
        <v>47</v>
      </c>
    </row>
    <row r="81" spans="1:20" x14ac:dyDescent="0.35">
      <c r="A81">
        <f t="shared" si="6"/>
        <v>9</v>
      </c>
      <c r="B81" s="59">
        <v>1</v>
      </c>
      <c r="C81" s="23">
        <v>4</v>
      </c>
      <c r="D81" s="23">
        <v>6</v>
      </c>
      <c r="E81" s="23">
        <v>9</v>
      </c>
      <c r="F81" s="23">
        <v>12</v>
      </c>
      <c r="G81" s="23">
        <v>15</v>
      </c>
      <c r="H81" s="23">
        <v>18</v>
      </c>
      <c r="I81" s="23">
        <v>21</v>
      </c>
      <c r="J81" s="23">
        <v>24</v>
      </c>
      <c r="K81" s="23">
        <v>27</v>
      </c>
      <c r="L81" s="23">
        <v>30</v>
      </c>
      <c r="M81" s="23">
        <v>33</v>
      </c>
      <c r="N81" s="23">
        <v>36</v>
      </c>
      <c r="O81" s="23">
        <v>39</v>
      </c>
      <c r="P81" s="23">
        <v>42</v>
      </c>
      <c r="Q81" s="23">
        <v>45</v>
      </c>
      <c r="R81" s="23">
        <v>48</v>
      </c>
      <c r="S81" s="23">
        <v>51</v>
      </c>
      <c r="T81" s="60">
        <v>54</v>
      </c>
    </row>
    <row r="82" spans="1:20" x14ac:dyDescent="0.35">
      <c r="A82">
        <f t="shared" si="6"/>
        <v>10</v>
      </c>
      <c r="B82" s="59">
        <v>1</v>
      </c>
      <c r="C82" s="23">
        <v>4</v>
      </c>
      <c r="D82" s="23">
        <v>7</v>
      </c>
      <c r="E82" s="23">
        <v>11</v>
      </c>
      <c r="F82" s="23">
        <v>14</v>
      </c>
      <c r="G82" s="23">
        <v>17</v>
      </c>
      <c r="H82" s="23">
        <v>20</v>
      </c>
      <c r="I82" s="23">
        <v>24</v>
      </c>
      <c r="J82" s="23">
        <v>27</v>
      </c>
      <c r="K82" s="23">
        <v>31</v>
      </c>
      <c r="L82" s="23">
        <v>34</v>
      </c>
      <c r="M82" s="23">
        <v>37</v>
      </c>
      <c r="N82" s="23">
        <v>41</v>
      </c>
      <c r="O82" s="23">
        <v>44</v>
      </c>
      <c r="P82" s="23">
        <v>48</v>
      </c>
      <c r="Q82" s="23">
        <v>51</v>
      </c>
      <c r="R82" s="23">
        <v>55</v>
      </c>
      <c r="S82" s="23">
        <v>58</v>
      </c>
      <c r="T82" s="60">
        <v>62</v>
      </c>
    </row>
    <row r="83" spans="1:20" x14ac:dyDescent="0.35">
      <c r="A83">
        <f t="shared" si="6"/>
        <v>11</v>
      </c>
      <c r="B83" s="59">
        <v>1</v>
      </c>
      <c r="C83" s="23">
        <v>5</v>
      </c>
      <c r="D83" s="23">
        <v>8</v>
      </c>
      <c r="E83" s="23">
        <v>12</v>
      </c>
      <c r="F83" s="23">
        <v>16</v>
      </c>
      <c r="G83" s="23">
        <v>19</v>
      </c>
      <c r="H83" s="23">
        <v>23</v>
      </c>
      <c r="I83" s="23">
        <v>27</v>
      </c>
      <c r="J83" s="23">
        <v>31</v>
      </c>
      <c r="K83" s="23">
        <v>34</v>
      </c>
      <c r="L83" s="23">
        <v>38</v>
      </c>
      <c r="M83" s="23">
        <v>42</v>
      </c>
      <c r="N83" s="23">
        <v>46</v>
      </c>
      <c r="O83" s="23">
        <v>50</v>
      </c>
      <c r="P83" s="23">
        <v>54</v>
      </c>
      <c r="Q83" s="23">
        <v>57</v>
      </c>
      <c r="R83" s="23">
        <v>61</v>
      </c>
      <c r="S83" s="23">
        <v>65</v>
      </c>
      <c r="T83" s="60">
        <v>69</v>
      </c>
    </row>
    <row r="84" spans="1:20" x14ac:dyDescent="0.35">
      <c r="A84">
        <f t="shared" si="6"/>
        <v>12</v>
      </c>
      <c r="B84" s="59">
        <v>2</v>
      </c>
      <c r="C84" s="23">
        <v>5</v>
      </c>
      <c r="D84" s="23">
        <v>9</v>
      </c>
      <c r="E84" s="23">
        <v>13</v>
      </c>
      <c r="F84" s="23">
        <v>17</v>
      </c>
      <c r="G84" s="23">
        <v>21</v>
      </c>
      <c r="H84" s="23">
        <v>26</v>
      </c>
      <c r="I84" s="23">
        <v>30</v>
      </c>
      <c r="J84" s="23">
        <v>34</v>
      </c>
      <c r="K84" s="23">
        <v>38</v>
      </c>
      <c r="L84" s="23">
        <v>42</v>
      </c>
      <c r="M84" s="23">
        <v>47</v>
      </c>
      <c r="N84" s="23">
        <v>51</v>
      </c>
      <c r="O84" s="23">
        <v>55</v>
      </c>
      <c r="P84" s="23">
        <v>60</v>
      </c>
      <c r="Q84" s="23">
        <v>64</v>
      </c>
      <c r="R84" s="23">
        <v>68</v>
      </c>
      <c r="S84" s="23">
        <v>72</v>
      </c>
      <c r="T84" s="60">
        <v>77</v>
      </c>
    </row>
    <row r="85" spans="1:20" x14ac:dyDescent="0.35">
      <c r="A85">
        <f t="shared" si="6"/>
        <v>13</v>
      </c>
      <c r="B85" s="59">
        <v>2</v>
      </c>
      <c r="C85" s="23">
        <v>6</v>
      </c>
      <c r="D85" s="23">
        <v>10</v>
      </c>
      <c r="E85" s="23">
        <v>15</v>
      </c>
      <c r="F85" s="23">
        <v>19</v>
      </c>
      <c r="G85" s="23">
        <v>24</v>
      </c>
      <c r="H85" s="23">
        <v>28</v>
      </c>
      <c r="I85" s="23">
        <v>33</v>
      </c>
      <c r="J85" s="23">
        <v>37</v>
      </c>
      <c r="K85" s="23">
        <v>42</v>
      </c>
      <c r="L85" s="23">
        <v>47</v>
      </c>
      <c r="M85" s="23">
        <v>51</v>
      </c>
      <c r="N85" s="23">
        <v>56</v>
      </c>
      <c r="O85" s="23">
        <v>61</v>
      </c>
      <c r="P85" s="23">
        <v>65</v>
      </c>
      <c r="Q85" s="23">
        <v>70</v>
      </c>
      <c r="R85" s="23">
        <v>75</v>
      </c>
      <c r="S85" s="23">
        <v>80</v>
      </c>
      <c r="T85" s="60">
        <v>84</v>
      </c>
    </row>
    <row r="86" spans="1:20" x14ac:dyDescent="0.35">
      <c r="A86">
        <f t="shared" si="6"/>
        <v>14</v>
      </c>
      <c r="B86" s="59">
        <v>3</v>
      </c>
      <c r="C86" s="23">
        <v>7</v>
      </c>
      <c r="D86" s="23">
        <v>11</v>
      </c>
      <c r="E86" s="23">
        <v>16</v>
      </c>
      <c r="F86" s="23">
        <v>21</v>
      </c>
      <c r="G86" s="23">
        <v>26</v>
      </c>
      <c r="H86" s="23">
        <v>31</v>
      </c>
      <c r="I86" s="23">
        <v>36</v>
      </c>
      <c r="J86" s="23">
        <v>41</v>
      </c>
      <c r="K86" s="23">
        <v>46</v>
      </c>
      <c r="L86" s="23">
        <v>51</v>
      </c>
      <c r="M86" s="23">
        <v>56</v>
      </c>
      <c r="N86" s="23">
        <v>61</v>
      </c>
      <c r="O86" s="23">
        <v>66</v>
      </c>
      <c r="P86" s="23">
        <v>71</v>
      </c>
      <c r="Q86" s="23">
        <v>77</v>
      </c>
      <c r="R86" s="23">
        <v>82</v>
      </c>
      <c r="S86" s="23">
        <v>87</v>
      </c>
      <c r="T86" s="60">
        <v>92</v>
      </c>
    </row>
    <row r="87" spans="1:20" x14ac:dyDescent="0.35">
      <c r="A87">
        <f t="shared" si="6"/>
        <v>15</v>
      </c>
      <c r="B87" s="59">
        <v>3</v>
      </c>
      <c r="C87" s="23">
        <v>7</v>
      </c>
      <c r="D87" s="23">
        <v>12</v>
      </c>
      <c r="E87" s="23">
        <v>18</v>
      </c>
      <c r="F87" s="23">
        <v>23</v>
      </c>
      <c r="G87" s="23">
        <v>28</v>
      </c>
      <c r="H87" s="23">
        <v>33</v>
      </c>
      <c r="I87" s="23">
        <v>39</v>
      </c>
      <c r="J87" s="23">
        <v>44</v>
      </c>
      <c r="K87" s="23">
        <v>50</v>
      </c>
      <c r="L87" s="23">
        <v>55</v>
      </c>
      <c r="M87" s="23">
        <v>61</v>
      </c>
      <c r="N87" s="23">
        <v>66</v>
      </c>
      <c r="O87" s="23">
        <v>72</v>
      </c>
      <c r="P87" s="23">
        <v>77</v>
      </c>
      <c r="Q87" s="23">
        <v>83</v>
      </c>
      <c r="R87" s="23">
        <v>88</v>
      </c>
      <c r="S87" s="23">
        <v>94</v>
      </c>
      <c r="T87" s="60">
        <v>100</v>
      </c>
    </row>
    <row r="88" spans="1:20" x14ac:dyDescent="0.35">
      <c r="A88">
        <f t="shared" si="6"/>
        <v>16</v>
      </c>
      <c r="B88" s="59">
        <v>3</v>
      </c>
      <c r="C88" s="23">
        <v>8</v>
      </c>
      <c r="D88" s="23">
        <v>14</v>
      </c>
      <c r="E88" s="23">
        <v>19</v>
      </c>
      <c r="F88" s="23">
        <v>25</v>
      </c>
      <c r="G88" s="23">
        <v>30</v>
      </c>
      <c r="H88" s="23">
        <v>36</v>
      </c>
      <c r="I88" s="23">
        <v>42</v>
      </c>
      <c r="J88" s="23">
        <v>48</v>
      </c>
      <c r="K88" s="23">
        <v>54</v>
      </c>
      <c r="L88" s="23">
        <v>60</v>
      </c>
      <c r="M88" s="23">
        <v>65</v>
      </c>
      <c r="N88" s="23">
        <v>71</v>
      </c>
      <c r="O88" s="23">
        <v>77</v>
      </c>
      <c r="P88" s="23">
        <v>83</v>
      </c>
      <c r="Q88" s="23">
        <v>89</v>
      </c>
      <c r="R88" s="23">
        <v>95</v>
      </c>
      <c r="S88" s="23">
        <v>101</v>
      </c>
      <c r="T88" s="60">
        <v>107</v>
      </c>
    </row>
    <row r="89" spans="1:20" x14ac:dyDescent="0.35">
      <c r="A89">
        <f t="shared" si="6"/>
        <v>17</v>
      </c>
      <c r="B89" s="59">
        <v>3</v>
      </c>
      <c r="C89" s="23">
        <v>9</v>
      </c>
      <c r="D89" s="23">
        <v>15</v>
      </c>
      <c r="E89" s="23">
        <v>20</v>
      </c>
      <c r="F89" s="23">
        <v>26</v>
      </c>
      <c r="G89" s="23">
        <v>33</v>
      </c>
      <c r="H89" s="23">
        <v>39</v>
      </c>
      <c r="I89" s="23">
        <v>45</v>
      </c>
      <c r="J89" s="23">
        <v>51</v>
      </c>
      <c r="K89" s="23">
        <v>57</v>
      </c>
      <c r="L89" s="23">
        <v>64</v>
      </c>
      <c r="M89" s="23">
        <v>70</v>
      </c>
      <c r="N89" s="23">
        <v>77</v>
      </c>
      <c r="O89" s="23">
        <v>83</v>
      </c>
      <c r="P89" s="23">
        <v>89</v>
      </c>
      <c r="Q89" s="23">
        <v>96</v>
      </c>
      <c r="R89" s="23">
        <v>102</v>
      </c>
      <c r="S89" s="23">
        <v>109</v>
      </c>
      <c r="T89" s="60">
        <v>115</v>
      </c>
    </row>
    <row r="90" spans="1:20" x14ac:dyDescent="0.35">
      <c r="A90">
        <f t="shared" si="6"/>
        <v>18</v>
      </c>
      <c r="B90" s="59">
        <v>4</v>
      </c>
      <c r="C90" s="23">
        <v>9</v>
      </c>
      <c r="D90" s="23">
        <v>16</v>
      </c>
      <c r="E90" s="23">
        <v>22</v>
      </c>
      <c r="F90" s="23">
        <v>28</v>
      </c>
      <c r="G90" s="23">
        <v>35</v>
      </c>
      <c r="H90" s="23">
        <v>41</v>
      </c>
      <c r="I90" s="23">
        <v>48</v>
      </c>
      <c r="J90" s="23">
        <v>55</v>
      </c>
      <c r="K90" s="23">
        <v>61</v>
      </c>
      <c r="L90" s="23">
        <v>68</v>
      </c>
      <c r="M90" s="23">
        <v>75</v>
      </c>
      <c r="N90" s="23">
        <v>82</v>
      </c>
      <c r="O90" s="23">
        <v>88</v>
      </c>
      <c r="P90" s="23">
        <v>95</v>
      </c>
      <c r="Q90" s="23">
        <v>102</v>
      </c>
      <c r="R90" s="23">
        <v>109</v>
      </c>
      <c r="S90" s="23">
        <v>116</v>
      </c>
      <c r="T90" s="60">
        <v>123</v>
      </c>
    </row>
    <row r="91" spans="1:20" x14ac:dyDescent="0.35">
      <c r="A91">
        <f t="shared" si="6"/>
        <v>19</v>
      </c>
      <c r="B91" s="59">
        <v>4</v>
      </c>
      <c r="C91" s="23">
        <v>10</v>
      </c>
      <c r="D91" s="23">
        <v>17</v>
      </c>
      <c r="E91" s="23">
        <v>23</v>
      </c>
      <c r="F91" s="23">
        <v>30</v>
      </c>
      <c r="G91" s="23">
        <v>37</v>
      </c>
      <c r="H91" s="23">
        <v>44</v>
      </c>
      <c r="I91" s="23">
        <v>51</v>
      </c>
      <c r="J91" s="23">
        <v>58</v>
      </c>
      <c r="K91" s="23">
        <v>65</v>
      </c>
      <c r="L91" s="23">
        <v>72</v>
      </c>
      <c r="M91" s="23">
        <v>80</v>
      </c>
      <c r="N91" s="23">
        <v>87</v>
      </c>
      <c r="O91" s="23">
        <v>94</v>
      </c>
      <c r="P91" s="23">
        <v>101</v>
      </c>
      <c r="Q91" s="23">
        <v>109</v>
      </c>
      <c r="R91" s="23">
        <v>116</v>
      </c>
      <c r="S91" s="23">
        <v>123</v>
      </c>
      <c r="T91" s="60">
        <v>130</v>
      </c>
    </row>
    <row r="92" spans="1:20" x14ac:dyDescent="0.35">
      <c r="A92">
        <f t="shared" si="6"/>
        <v>20</v>
      </c>
      <c r="B92" s="45">
        <v>4</v>
      </c>
      <c r="C92" s="102">
        <v>11</v>
      </c>
      <c r="D92" s="102">
        <v>18</v>
      </c>
      <c r="E92" s="102">
        <v>25</v>
      </c>
      <c r="F92" s="102">
        <v>32</v>
      </c>
      <c r="G92" s="102">
        <v>39</v>
      </c>
      <c r="H92" s="102">
        <v>47</v>
      </c>
      <c r="I92" s="102">
        <v>54</v>
      </c>
      <c r="J92" s="102">
        <v>62</v>
      </c>
      <c r="K92" s="102">
        <v>69</v>
      </c>
      <c r="L92" s="102">
        <v>77</v>
      </c>
      <c r="M92" s="102">
        <v>84</v>
      </c>
      <c r="N92" s="102">
        <v>92</v>
      </c>
      <c r="O92" s="102">
        <v>100</v>
      </c>
      <c r="P92" s="102">
        <v>107</v>
      </c>
      <c r="Q92" s="102">
        <v>115</v>
      </c>
      <c r="R92" s="102">
        <v>123</v>
      </c>
      <c r="S92" s="102">
        <v>130</v>
      </c>
      <c r="T92" s="48">
        <v>138</v>
      </c>
    </row>
    <row r="94" spans="1:20" x14ac:dyDescent="0.35">
      <c r="A94" t="s">
        <v>81</v>
      </c>
    </row>
    <row r="96" spans="1:20" x14ac:dyDescent="0.35">
      <c r="A96" s="1" t="s">
        <v>77</v>
      </c>
      <c r="E96">
        <v>0.02</v>
      </c>
      <c r="G96" t="s">
        <v>247</v>
      </c>
    </row>
    <row r="98" spans="1:20" ht="24" x14ac:dyDescent="0.5">
      <c r="A98" s="28" t="s">
        <v>78</v>
      </c>
      <c r="B98">
        <v>2</v>
      </c>
      <c r="C98">
        <f>B98+1</f>
        <v>3</v>
      </c>
      <c r="D98">
        <f t="shared" ref="D98:T98" si="7">C98+1</f>
        <v>4</v>
      </c>
      <c r="E98">
        <f t="shared" si="7"/>
        <v>5</v>
      </c>
      <c r="F98">
        <f t="shared" si="7"/>
        <v>6</v>
      </c>
      <c r="G98">
        <f t="shared" si="7"/>
        <v>7</v>
      </c>
      <c r="H98">
        <f t="shared" si="7"/>
        <v>8</v>
      </c>
      <c r="I98">
        <f t="shared" si="7"/>
        <v>9</v>
      </c>
      <c r="J98">
        <f t="shared" si="7"/>
        <v>10</v>
      </c>
      <c r="K98">
        <f t="shared" si="7"/>
        <v>11</v>
      </c>
      <c r="L98">
        <f t="shared" si="7"/>
        <v>12</v>
      </c>
      <c r="M98">
        <f t="shared" si="7"/>
        <v>13</v>
      </c>
      <c r="N98">
        <f t="shared" si="7"/>
        <v>14</v>
      </c>
      <c r="O98">
        <f t="shared" si="7"/>
        <v>15</v>
      </c>
      <c r="P98">
        <f t="shared" si="7"/>
        <v>16</v>
      </c>
      <c r="Q98">
        <f t="shared" si="7"/>
        <v>17</v>
      </c>
      <c r="R98">
        <f t="shared" si="7"/>
        <v>18</v>
      </c>
      <c r="S98">
        <f t="shared" si="7"/>
        <v>19</v>
      </c>
      <c r="T98">
        <f t="shared" si="7"/>
        <v>20</v>
      </c>
    </row>
    <row r="99" spans="1:20" x14ac:dyDescent="0.35">
      <c r="A99">
        <v>2</v>
      </c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1</v>
      </c>
      <c r="T99" s="5">
        <v>1</v>
      </c>
    </row>
    <row r="100" spans="1:20" x14ac:dyDescent="0.35">
      <c r="A100">
        <f>A99+1</f>
        <v>3</v>
      </c>
      <c r="B100" s="6"/>
      <c r="C100" s="29"/>
      <c r="D100" s="7"/>
      <c r="E100" s="7"/>
      <c r="F100" s="7"/>
      <c r="G100" s="7">
        <v>0</v>
      </c>
      <c r="H100" s="7">
        <v>0</v>
      </c>
      <c r="I100" s="7">
        <v>1</v>
      </c>
      <c r="J100" s="7">
        <v>1</v>
      </c>
      <c r="K100" s="7">
        <v>1</v>
      </c>
      <c r="L100" s="7">
        <v>2</v>
      </c>
      <c r="M100" s="7">
        <v>2</v>
      </c>
      <c r="N100" s="7">
        <v>2</v>
      </c>
      <c r="O100" s="7">
        <v>3</v>
      </c>
      <c r="P100" s="7">
        <v>3</v>
      </c>
      <c r="Q100" s="7">
        <v>4</v>
      </c>
      <c r="R100" s="7">
        <v>4</v>
      </c>
      <c r="S100" s="7">
        <v>4</v>
      </c>
      <c r="T100" s="8">
        <v>5</v>
      </c>
    </row>
    <row r="101" spans="1:20" x14ac:dyDescent="0.35">
      <c r="A101">
        <f t="shared" ref="A101:A117" si="8">A100+1</f>
        <v>4</v>
      </c>
      <c r="B101" s="6"/>
      <c r="C101" s="29"/>
      <c r="D101" s="29"/>
      <c r="E101" s="7">
        <v>0</v>
      </c>
      <c r="F101" s="7">
        <v>1</v>
      </c>
      <c r="G101" s="7">
        <v>1</v>
      </c>
      <c r="H101" s="7">
        <v>2</v>
      </c>
      <c r="I101" s="7">
        <v>3</v>
      </c>
      <c r="J101" s="7">
        <v>3</v>
      </c>
      <c r="K101" s="7">
        <v>4</v>
      </c>
      <c r="L101" s="7">
        <v>5</v>
      </c>
      <c r="M101" s="7">
        <v>5</v>
      </c>
      <c r="N101" s="7">
        <v>6</v>
      </c>
      <c r="O101" s="7">
        <v>7</v>
      </c>
      <c r="P101" s="7">
        <v>7</v>
      </c>
      <c r="Q101" s="7">
        <v>8</v>
      </c>
      <c r="R101" s="7">
        <v>9</v>
      </c>
      <c r="S101" s="7">
        <v>9</v>
      </c>
      <c r="T101" s="8">
        <v>10</v>
      </c>
    </row>
    <row r="102" spans="1:20" x14ac:dyDescent="0.35">
      <c r="A102">
        <f t="shared" si="8"/>
        <v>5</v>
      </c>
      <c r="B102" s="6"/>
      <c r="C102" s="29"/>
      <c r="D102" s="7">
        <v>0</v>
      </c>
      <c r="E102" s="7">
        <v>1</v>
      </c>
      <c r="F102" s="7">
        <v>2</v>
      </c>
      <c r="G102" s="7">
        <v>3</v>
      </c>
      <c r="H102" s="7">
        <v>4</v>
      </c>
      <c r="I102" s="7">
        <v>5</v>
      </c>
      <c r="J102" s="7">
        <v>6</v>
      </c>
      <c r="K102" s="7">
        <v>7</v>
      </c>
      <c r="L102" s="7">
        <v>8</v>
      </c>
      <c r="M102" s="7">
        <v>9</v>
      </c>
      <c r="N102" s="7">
        <v>10</v>
      </c>
      <c r="O102" s="7">
        <v>11</v>
      </c>
      <c r="P102" s="7">
        <v>12</v>
      </c>
      <c r="Q102" s="7">
        <v>13</v>
      </c>
      <c r="R102" s="7">
        <v>14</v>
      </c>
      <c r="S102" s="7">
        <v>15</v>
      </c>
      <c r="T102" s="8">
        <v>16</v>
      </c>
    </row>
    <row r="103" spans="1:20" x14ac:dyDescent="0.35">
      <c r="A103">
        <f t="shared" si="8"/>
        <v>6</v>
      </c>
      <c r="B103" s="6"/>
      <c r="C103" s="29"/>
      <c r="D103" s="7">
        <v>1</v>
      </c>
      <c r="E103" s="7">
        <v>2</v>
      </c>
      <c r="F103" s="7">
        <v>3</v>
      </c>
      <c r="G103" s="7">
        <v>4</v>
      </c>
      <c r="H103" s="7">
        <v>6</v>
      </c>
      <c r="I103" s="7">
        <v>7</v>
      </c>
      <c r="J103" s="7">
        <v>8</v>
      </c>
      <c r="K103" s="7">
        <v>9</v>
      </c>
      <c r="L103" s="7">
        <v>11</v>
      </c>
      <c r="M103" s="7">
        <v>12</v>
      </c>
      <c r="N103" s="7">
        <v>13</v>
      </c>
      <c r="O103" s="7">
        <v>15</v>
      </c>
      <c r="P103" s="7">
        <v>16</v>
      </c>
      <c r="Q103" s="7">
        <v>18</v>
      </c>
      <c r="R103" s="7">
        <v>19</v>
      </c>
      <c r="S103" s="7">
        <v>20</v>
      </c>
      <c r="T103" s="8">
        <v>22</v>
      </c>
    </row>
    <row r="104" spans="1:20" x14ac:dyDescent="0.35">
      <c r="A104">
        <f t="shared" si="8"/>
        <v>7</v>
      </c>
      <c r="B104" s="6"/>
      <c r="C104" s="7">
        <v>0</v>
      </c>
      <c r="D104" s="7">
        <v>1</v>
      </c>
      <c r="E104" s="7">
        <v>3</v>
      </c>
      <c r="F104" s="7">
        <v>4</v>
      </c>
      <c r="G104" s="7">
        <v>6</v>
      </c>
      <c r="H104" s="7">
        <v>7</v>
      </c>
      <c r="I104" s="7">
        <v>9</v>
      </c>
      <c r="J104" s="7">
        <v>11</v>
      </c>
      <c r="K104" s="7">
        <v>12</v>
      </c>
      <c r="L104" s="7">
        <v>14</v>
      </c>
      <c r="M104" s="7">
        <v>16</v>
      </c>
      <c r="N104" s="7">
        <v>17</v>
      </c>
      <c r="O104" s="7">
        <v>19</v>
      </c>
      <c r="P104" s="7">
        <v>21</v>
      </c>
      <c r="Q104" s="7">
        <v>23</v>
      </c>
      <c r="R104" s="7">
        <v>24</v>
      </c>
      <c r="S104" s="7">
        <v>26</v>
      </c>
      <c r="T104" s="8">
        <v>28</v>
      </c>
    </row>
    <row r="105" spans="1:20" x14ac:dyDescent="0.35">
      <c r="A105">
        <f t="shared" si="8"/>
        <v>8</v>
      </c>
      <c r="B105" s="6"/>
      <c r="C105" s="7">
        <v>0</v>
      </c>
      <c r="D105" s="7">
        <v>2</v>
      </c>
      <c r="E105" s="7">
        <v>4</v>
      </c>
      <c r="F105" s="7">
        <v>6</v>
      </c>
      <c r="G105" s="7">
        <v>7</v>
      </c>
      <c r="H105" s="7">
        <v>9</v>
      </c>
      <c r="I105" s="7">
        <v>11</v>
      </c>
      <c r="J105" s="7">
        <v>13</v>
      </c>
      <c r="K105" s="7">
        <v>15</v>
      </c>
      <c r="L105" s="7">
        <v>17</v>
      </c>
      <c r="M105" s="7">
        <v>20</v>
      </c>
      <c r="N105" s="7">
        <v>22</v>
      </c>
      <c r="O105" s="7">
        <v>24</v>
      </c>
      <c r="P105" s="7">
        <v>26</v>
      </c>
      <c r="Q105" s="7">
        <v>28</v>
      </c>
      <c r="R105" s="7">
        <v>30</v>
      </c>
      <c r="S105" s="7">
        <v>32</v>
      </c>
      <c r="T105" s="8">
        <v>34</v>
      </c>
    </row>
    <row r="106" spans="1:20" x14ac:dyDescent="0.35">
      <c r="A106">
        <f t="shared" si="8"/>
        <v>9</v>
      </c>
      <c r="B106" s="6"/>
      <c r="C106" s="7">
        <v>1</v>
      </c>
      <c r="D106" s="7">
        <v>3</v>
      </c>
      <c r="E106" s="7">
        <v>5</v>
      </c>
      <c r="F106" s="7">
        <v>7</v>
      </c>
      <c r="G106" s="7">
        <v>9</v>
      </c>
      <c r="H106" s="7">
        <v>11</v>
      </c>
      <c r="I106" s="7">
        <v>14</v>
      </c>
      <c r="J106" s="7">
        <v>16</v>
      </c>
      <c r="K106" s="7">
        <v>18</v>
      </c>
      <c r="L106" s="7">
        <v>21</v>
      </c>
      <c r="M106" s="7">
        <v>23</v>
      </c>
      <c r="N106" s="7">
        <v>26</v>
      </c>
      <c r="O106" s="7">
        <v>28</v>
      </c>
      <c r="P106" s="7">
        <v>31</v>
      </c>
      <c r="Q106" s="7">
        <v>33</v>
      </c>
      <c r="R106" s="7">
        <v>36</v>
      </c>
      <c r="S106" s="7">
        <v>38</v>
      </c>
      <c r="T106" s="8">
        <v>40</v>
      </c>
    </row>
    <row r="107" spans="1:20" x14ac:dyDescent="0.35">
      <c r="A107">
        <f t="shared" si="8"/>
        <v>10</v>
      </c>
      <c r="B107" s="6"/>
      <c r="C107" s="7">
        <v>1</v>
      </c>
      <c r="D107" s="7">
        <v>3</v>
      </c>
      <c r="E107" s="7">
        <v>6</v>
      </c>
      <c r="F107" s="7">
        <v>8</v>
      </c>
      <c r="G107" s="7">
        <v>11</v>
      </c>
      <c r="H107" s="7">
        <v>13</v>
      </c>
      <c r="I107" s="7">
        <v>16</v>
      </c>
      <c r="J107" s="7">
        <v>19</v>
      </c>
      <c r="K107" s="7">
        <v>22</v>
      </c>
      <c r="L107" s="7">
        <v>24</v>
      </c>
      <c r="M107" s="7">
        <v>27</v>
      </c>
      <c r="N107" s="7">
        <v>30</v>
      </c>
      <c r="O107" s="7">
        <v>33</v>
      </c>
      <c r="P107" s="7">
        <v>36</v>
      </c>
      <c r="Q107" s="7">
        <v>38</v>
      </c>
      <c r="R107" s="7">
        <v>41</v>
      </c>
      <c r="S107" s="7">
        <v>44</v>
      </c>
      <c r="T107" s="8">
        <v>47</v>
      </c>
    </row>
    <row r="108" spans="1:20" x14ac:dyDescent="0.35">
      <c r="A108">
        <f t="shared" si="8"/>
        <v>11</v>
      </c>
      <c r="B108" s="6"/>
      <c r="C108" s="7">
        <v>1</v>
      </c>
      <c r="D108" s="7">
        <v>4</v>
      </c>
      <c r="E108" s="7">
        <v>7</v>
      </c>
      <c r="F108" s="7">
        <v>9</v>
      </c>
      <c r="G108" s="7">
        <v>12</v>
      </c>
      <c r="H108" s="7">
        <v>15</v>
      </c>
      <c r="I108" s="7">
        <v>18</v>
      </c>
      <c r="J108" s="7">
        <v>22</v>
      </c>
      <c r="K108" s="7">
        <v>25</v>
      </c>
      <c r="L108" s="7">
        <v>28</v>
      </c>
      <c r="M108" s="7">
        <v>31</v>
      </c>
      <c r="N108" s="7">
        <v>34</v>
      </c>
      <c r="O108" s="7">
        <v>37</v>
      </c>
      <c r="P108" s="7">
        <v>41</v>
      </c>
      <c r="Q108" s="7">
        <v>44</v>
      </c>
      <c r="R108" s="7">
        <v>47</v>
      </c>
      <c r="S108" s="7">
        <v>50</v>
      </c>
      <c r="T108" s="8">
        <v>53</v>
      </c>
    </row>
    <row r="109" spans="1:20" x14ac:dyDescent="0.35">
      <c r="A109">
        <f t="shared" si="8"/>
        <v>12</v>
      </c>
      <c r="B109" s="6"/>
      <c r="C109" s="7">
        <v>2</v>
      </c>
      <c r="D109" s="7">
        <v>5</v>
      </c>
      <c r="E109" s="7">
        <v>8</v>
      </c>
      <c r="F109" s="7">
        <v>11</v>
      </c>
      <c r="G109" s="7">
        <v>14</v>
      </c>
      <c r="H109" s="7">
        <v>17</v>
      </c>
      <c r="I109" s="7">
        <v>21</v>
      </c>
      <c r="J109" s="7">
        <v>24</v>
      </c>
      <c r="K109" s="7">
        <v>28</v>
      </c>
      <c r="L109" s="23">
        <v>31</v>
      </c>
      <c r="M109" s="23">
        <v>35</v>
      </c>
      <c r="N109" s="23">
        <v>38</v>
      </c>
      <c r="O109" s="23">
        <v>42</v>
      </c>
      <c r="P109" s="23">
        <v>46</v>
      </c>
      <c r="Q109" s="23">
        <v>49</v>
      </c>
      <c r="R109" s="23">
        <v>53</v>
      </c>
      <c r="S109" s="23">
        <v>56</v>
      </c>
      <c r="T109" s="8">
        <v>60</v>
      </c>
    </row>
    <row r="110" spans="1:20" x14ac:dyDescent="0.35">
      <c r="A110">
        <f t="shared" si="8"/>
        <v>13</v>
      </c>
      <c r="B110" s="6">
        <v>0</v>
      </c>
      <c r="C110" s="7">
        <v>2</v>
      </c>
      <c r="D110" s="7">
        <v>5</v>
      </c>
      <c r="E110" s="7">
        <v>9</v>
      </c>
      <c r="F110" s="7">
        <v>12</v>
      </c>
      <c r="G110" s="7">
        <v>16</v>
      </c>
      <c r="H110" s="7">
        <v>20</v>
      </c>
      <c r="I110" s="7">
        <v>23</v>
      </c>
      <c r="J110" s="7">
        <v>27</v>
      </c>
      <c r="K110" s="7">
        <v>31</v>
      </c>
      <c r="L110" s="23">
        <v>35</v>
      </c>
      <c r="M110" s="23">
        <v>39</v>
      </c>
      <c r="N110" s="23">
        <v>43</v>
      </c>
      <c r="O110" s="23">
        <v>47</v>
      </c>
      <c r="P110" s="23">
        <v>51</v>
      </c>
      <c r="Q110" s="23">
        <v>55</v>
      </c>
      <c r="R110" s="23">
        <v>59</v>
      </c>
      <c r="S110" s="23">
        <v>63</v>
      </c>
      <c r="T110" s="8">
        <v>67</v>
      </c>
    </row>
    <row r="111" spans="1:20" x14ac:dyDescent="0.35">
      <c r="A111">
        <f t="shared" si="8"/>
        <v>14</v>
      </c>
      <c r="B111" s="6">
        <v>0</v>
      </c>
      <c r="C111" s="7">
        <v>2</v>
      </c>
      <c r="D111" s="7">
        <v>6</v>
      </c>
      <c r="E111" s="7">
        <v>10</v>
      </c>
      <c r="F111" s="7">
        <v>13</v>
      </c>
      <c r="G111" s="7">
        <v>17</v>
      </c>
      <c r="H111" s="7">
        <v>22</v>
      </c>
      <c r="I111" s="7">
        <v>26</v>
      </c>
      <c r="J111" s="7">
        <v>30</v>
      </c>
      <c r="K111" s="7">
        <v>34</v>
      </c>
      <c r="L111" s="23">
        <v>38</v>
      </c>
      <c r="M111" s="23">
        <v>43</v>
      </c>
      <c r="N111" s="23">
        <v>47</v>
      </c>
      <c r="O111" s="23">
        <v>51</v>
      </c>
      <c r="P111" s="23">
        <v>56</v>
      </c>
      <c r="Q111" s="23">
        <v>60</v>
      </c>
      <c r="R111" s="23">
        <v>65</v>
      </c>
      <c r="S111" s="23">
        <v>69</v>
      </c>
      <c r="T111" s="8">
        <v>73</v>
      </c>
    </row>
    <row r="112" spans="1:20" x14ac:dyDescent="0.35">
      <c r="A112">
        <f t="shared" si="8"/>
        <v>15</v>
      </c>
      <c r="B112" s="6">
        <v>0</v>
      </c>
      <c r="C112" s="7">
        <v>3</v>
      </c>
      <c r="D112" s="7">
        <v>7</v>
      </c>
      <c r="E112" s="7">
        <v>11</v>
      </c>
      <c r="F112" s="7">
        <v>15</v>
      </c>
      <c r="G112" s="7">
        <v>19</v>
      </c>
      <c r="H112" s="7">
        <v>24</v>
      </c>
      <c r="I112" s="7">
        <v>28</v>
      </c>
      <c r="J112" s="7">
        <v>33</v>
      </c>
      <c r="K112" s="23">
        <v>37</v>
      </c>
      <c r="L112" s="23">
        <v>42</v>
      </c>
      <c r="M112" s="23">
        <v>47</v>
      </c>
      <c r="N112" s="23">
        <v>51</v>
      </c>
      <c r="O112" s="23">
        <v>56</v>
      </c>
      <c r="P112" s="23">
        <v>61</v>
      </c>
      <c r="Q112" s="23">
        <v>66</v>
      </c>
      <c r="R112" s="23">
        <v>70</v>
      </c>
      <c r="S112" s="23">
        <v>75</v>
      </c>
      <c r="T112" s="8">
        <v>80</v>
      </c>
    </row>
    <row r="113" spans="1:20" x14ac:dyDescent="0.35">
      <c r="A113">
        <f t="shared" si="8"/>
        <v>16</v>
      </c>
      <c r="B113" s="6">
        <v>0</v>
      </c>
      <c r="C113" s="23">
        <v>3</v>
      </c>
      <c r="D113" s="23">
        <v>7</v>
      </c>
      <c r="E113" s="23">
        <v>12</v>
      </c>
      <c r="F113" s="23">
        <v>16</v>
      </c>
      <c r="G113" s="23">
        <v>21</v>
      </c>
      <c r="H113" s="23">
        <v>26</v>
      </c>
      <c r="I113" s="23">
        <v>31</v>
      </c>
      <c r="J113" s="23">
        <v>36</v>
      </c>
      <c r="K113" s="23">
        <v>41</v>
      </c>
      <c r="L113" s="23">
        <v>46</v>
      </c>
      <c r="M113" s="23">
        <v>51</v>
      </c>
      <c r="N113" s="23">
        <v>56</v>
      </c>
      <c r="O113" s="23">
        <v>61</v>
      </c>
      <c r="P113" s="23">
        <v>66</v>
      </c>
      <c r="Q113" s="23">
        <v>71</v>
      </c>
      <c r="R113" s="23">
        <v>76</v>
      </c>
      <c r="S113" s="23">
        <v>82</v>
      </c>
      <c r="T113" s="8">
        <v>87</v>
      </c>
    </row>
    <row r="114" spans="1:20" x14ac:dyDescent="0.35">
      <c r="A114">
        <f t="shared" si="8"/>
        <v>17</v>
      </c>
      <c r="B114" s="6">
        <v>0</v>
      </c>
      <c r="C114" s="23">
        <v>4</v>
      </c>
      <c r="D114" s="23">
        <v>8</v>
      </c>
      <c r="E114" s="23">
        <v>13</v>
      </c>
      <c r="F114" s="23">
        <v>18</v>
      </c>
      <c r="G114" s="23">
        <v>23</v>
      </c>
      <c r="H114" s="23">
        <v>28</v>
      </c>
      <c r="I114" s="23">
        <v>33</v>
      </c>
      <c r="J114" s="23">
        <v>38</v>
      </c>
      <c r="K114" s="23">
        <v>44</v>
      </c>
      <c r="L114" s="23">
        <v>49</v>
      </c>
      <c r="M114" s="23">
        <v>55</v>
      </c>
      <c r="N114" s="23">
        <v>60</v>
      </c>
      <c r="O114" s="23">
        <v>66</v>
      </c>
      <c r="P114" s="23">
        <v>71</v>
      </c>
      <c r="Q114" s="23">
        <v>77</v>
      </c>
      <c r="R114" s="23">
        <v>82</v>
      </c>
      <c r="S114" s="23">
        <v>88</v>
      </c>
      <c r="T114" s="8">
        <v>93</v>
      </c>
    </row>
    <row r="115" spans="1:20" x14ac:dyDescent="0.35">
      <c r="A115">
        <f t="shared" si="8"/>
        <v>18</v>
      </c>
      <c r="B115" s="6">
        <v>0</v>
      </c>
      <c r="C115" s="23">
        <v>4</v>
      </c>
      <c r="D115" s="23">
        <v>9</v>
      </c>
      <c r="E115" s="23">
        <v>14</v>
      </c>
      <c r="F115" s="23">
        <v>19</v>
      </c>
      <c r="G115" s="23">
        <v>24</v>
      </c>
      <c r="H115" s="23">
        <v>30</v>
      </c>
      <c r="I115" s="23">
        <v>36</v>
      </c>
      <c r="J115" s="23">
        <v>41</v>
      </c>
      <c r="K115" s="23">
        <v>47</v>
      </c>
      <c r="L115" s="23">
        <v>53</v>
      </c>
      <c r="M115" s="23">
        <v>59</v>
      </c>
      <c r="N115" s="23">
        <v>65</v>
      </c>
      <c r="O115" s="23">
        <v>70</v>
      </c>
      <c r="P115" s="23">
        <v>76</v>
      </c>
      <c r="Q115" s="23">
        <v>82</v>
      </c>
      <c r="R115" s="23">
        <v>88</v>
      </c>
      <c r="S115" s="23">
        <v>94</v>
      </c>
      <c r="T115" s="8">
        <v>100</v>
      </c>
    </row>
    <row r="116" spans="1:20" x14ac:dyDescent="0.35">
      <c r="A116">
        <f t="shared" si="8"/>
        <v>19</v>
      </c>
      <c r="B116" s="6">
        <v>1</v>
      </c>
      <c r="C116" s="23">
        <v>4</v>
      </c>
      <c r="D116" s="23">
        <v>9</v>
      </c>
      <c r="E116" s="23">
        <v>15</v>
      </c>
      <c r="F116" s="23">
        <v>20</v>
      </c>
      <c r="G116" s="23">
        <v>26</v>
      </c>
      <c r="H116" s="23">
        <v>32</v>
      </c>
      <c r="I116" s="23">
        <v>38</v>
      </c>
      <c r="J116" s="23">
        <v>44</v>
      </c>
      <c r="K116" s="23">
        <v>50</v>
      </c>
      <c r="L116" s="23">
        <v>56</v>
      </c>
      <c r="M116" s="23">
        <v>63</v>
      </c>
      <c r="N116" s="23">
        <v>69</v>
      </c>
      <c r="O116" s="23">
        <v>75</v>
      </c>
      <c r="P116" s="23">
        <v>82</v>
      </c>
      <c r="Q116" s="23">
        <v>88</v>
      </c>
      <c r="R116" s="23">
        <v>94</v>
      </c>
      <c r="S116" s="23">
        <v>101</v>
      </c>
      <c r="T116" s="8">
        <v>107</v>
      </c>
    </row>
    <row r="117" spans="1:20" x14ac:dyDescent="0.35">
      <c r="A117">
        <f t="shared" si="8"/>
        <v>20</v>
      </c>
      <c r="B117" s="9">
        <v>1</v>
      </c>
      <c r="C117" s="10">
        <v>5</v>
      </c>
      <c r="D117" s="10">
        <v>10</v>
      </c>
      <c r="E117" s="10">
        <v>16</v>
      </c>
      <c r="F117" s="10">
        <v>22</v>
      </c>
      <c r="G117" s="10">
        <v>28</v>
      </c>
      <c r="H117" s="10">
        <v>34</v>
      </c>
      <c r="I117" s="10">
        <v>40</v>
      </c>
      <c r="J117" s="10">
        <v>47</v>
      </c>
      <c r="K117" s="10">
        <v>53</v>
      </c>
      <c r="L117" s="10">
        <v>60</v>
      </c>
      <c r="M117" s="10">
        <v>67</v>
      </c>
      <c r="N117" s="10">
        <v>73</v>
      </c>
      <c r="O117" s="10">
        <v>80</v>
      </c>
      <c r="P117" s="10">
        <v>87</v>
      </c>
      <c r="Q117" s="10">
        <v>93</v>
      </c>
      <c r="R117" s="10">
        <v>100</v>
      </c>
      <c r="S117" s="10">
        <v>107</v>
      </c>
      <c r="T117" s="11">
        <v>114</v>
      </c>
    </row>
    <row r="119" spans="1:20" x14ac:dyDescent="0.35">
      <c r="A119" t="s">
        <v>82</v>
      </c>
    </row>
    <row r="121" spans="1:20" x14ac:dyDescent="0.35">
      <c r="A121" t="s">
        <v>83</v>
      </c>
    </row>
    <row r="122" spans="1:20" x14ac:dyDescent="0.35">
      <c r="A122" t="s">
        <v>193</v>
      </c>
    </row>
    <row r="124" spans="1:20" x14ac:dyDescent="0.35">
      <c r="A124" s="1" t="s">
        <v>77</v>
      </c>
      <c r="E124">
        <v>5.0000000000000001E-3</v>
      </c>
      <c r="G124" t="s">
        <v>247</v>
      </c>
    </row>
    <row r="126" spans="1:20" ht="24" x14ac:dyDescent="0.5">
      <c r="A126" s="123" t="s">
        <v>78</v>
      </c>
      <c r="B126">
        <v>2</v>
      </c>
      <c r="C126">
        <f t="shared" ref="C126:T126" si="9">B126+1</f>
        <v>3</v>
      </c>
      <c r="D126">
        <f t="shared" si="9"/>
        <v>4</v>
      </c>
      <c r="E126">
        <f t="shared" si="9"/>
        <v>5</v>
      </c>
      <c r="F126">
        <f t="shared" si="9"/>
        <v>6</v>
      </c>
      <c r="G126">
        <f t="shared" si="9"/>
        <v>7</v>
      </c>
      <c r="H126">
        <f t="shared" si="9"/>
        <v>8</v>
      </c>
      <c r="I126">
        <f t="shared" si="9"/>
        <v>9</v>
      </c>
      <c r="J126">
        <f t="shared" si="9"/>
        <v>10</v>
      </c>
      <c r="K126">
        <f t="shared" si="9"/>
        <v>11</v>
      </c>
      <c r="L126">
        <f t="shared" si="9"/>
        <v>12</v>
      </c>
      <c r="M126">
        <f t="shared" si="9"/>
        <v>13</v>
      </c>
      <c r="N126">
        <f t="shared" si="9"/>
        <v>14</v>
      </c>
      <c r="O126">
        <f t="shared" si="9"/>
        <v>15</v>
      </c>
      <c r="P126">
        <f t="shared" si="9"/>
        <v>16</v>
      </c>
      <c r="Q126">
        <f t="shared" si="9"/>
        <v>17</v>
      </c>
      <c r="R126">
        <f t="shared" si="9"/>
        <v>18</v>
      </c>
      <c r="S126">
        <f t="shared" si="9"/>
        <v>19</v>
      </c>
      <c r="T126">
        <f t="shared" si="9"/>
        <v>20</v>
      </c>
    </row>
    <row r="127" spans="1:20" x14ac:dyDescent="0.35">
      <c r="A127">
        <v>2</v>
      </c>
      <c r="B127" s="3" t="s">
        <v>150</v>
      </c>
      <c r="C127" s="111" t="s">
        <v>150</v>
      </c>
      <c r="D127" s="111" t="s">
        <v>150</v>
      </c>
      <c r="E127" s="111" t="s">
        <v>150</v>
      </c>
      <c r="F127" s="111" t="s">
        <v>150</v>
      </c>
      <c r="G127" s="111" t="s">
        <v>150</v>
      </c>
      <c r="H127" s="111" t="s">
        <v>150</v>
      </c>
      <c r="I127" s="111" t="s">
        <v>150</v>
      </c>
      <c r="J127" s="111" t="s">
        <v>150</v>
      </c>
      <c r="K127" s="111" t="s">
        <v>150</v>
      </c>
      <c r="L127" s="111" t="s">
        <v>150</v>
      </c>
      <c r="M127" s="111" t="s">
        <v>150</v>
      </c>
      <c r="N127" s="111" t="s">
        <v>150</v>
      </c>
      <c r="O127" s="111" t="s">
        <v>150</v>
      </c>
      <c r="P127" s="111" t="s">
        <v>150</v>
      </c>
      <c r="Q127" s="111" t="s">
        <v>150</v>
      </c>
      <c r="R127" s="111" t="s">
        <v>150</v>
      </c>
      <c r="S127" s="111" t="s">
        <v>150</v>
      </c>
      <c r="T127" s="5" t="s">
        <v>150</v>
      </c>
    </row>
    <row r="128" spans="1:20" x14ac:dyDescent="0.35">
      <c r="A128">
        <f>A127+1</f>
        <v>3</v>
      </c>
      <c r="B128" s="59" t="s">
        <v>150</v>
      </c>
      <c r="C128" s="7" t="s">
        <v>150</v>
      </c>
      <c r="D128" s="7" t="s">
        <v>150</v>
      </c>
      <c r="E128" s="7" t="s">
        <v>150</v>
      </c>
      <c r="F128" s="7" t="s">
        <v>150</v>
      </c>
      <c r="G128" s="7" t="s">
        <v>150</v>
      </c>
      <c r="H128" s="7" t="s">
        <v>150</v>
      </c>
      <c r="I128" s="7" t="s">
        <v>150</v>
      </c>
      <c r="J128" s="7" t="s">
        <v>150</v>
      </c>
      <c r="K128" s="7" t="s">
        <v>150</v>
      </c>
      <c r="L128" s="7">
        <v>0</v>
      </c>
      <c r="M128" s="7">
        <v>0</v>
      </c>
      <c r="N128" s="7">
        <v>0</v>
      </c>
      <c r="O128" s="7">
        <v>1</v>
      </c>
      <c r="P128" s="7">
        <v>1</v>
      </c>
      <c r="Q128" s="7">
        <v>1</v>
      </c>
      <c r="R128" s="7">
        <v>1</v>
      </c>
      <c r="S128" s="7">
        <v>1</v>
      </c>
      <c r="T128" s="60">
        <v>2</v>
      </c>
    </row>
    <row r="129" spans="1:20" x14ac:dyDescent="0.35">
      <c r="A129">
        <f t="shared" ref="A129:A145" si="10">A128+1</f>
        <v>4</v>
      </c>
      <c r="B129" s="59" t="s">
        <v>150</v>
      </c>
      <c r="C129" s="7" t="s">
        <v>150</v>
      </c>
      <c r="D129" s="7" t="s">
        <v>150</v>
      </c>
      <c r="E129" s="7" t="s">
        <v>150</v>
      </c>
      <c r="F129" s="7" t="s">
        <v>150</v>
      </c>
      <c r="G129" s="7" t="s">
        <v>150</v>
      </c>
      <c r="H129" s="7">
        <v>0</v>
      </c>
      <c r="I129" s="7">
        <v>0</v>
      </c>
      <c r="J129" s="7">
        <v>1</v>
      </c>
      <c r="K129" s="7">
        <v>1</v>
      </c>
      <c r="L129" s="7">
        <v>2</v>
      </c>
      <c r="M129" s="7">
        <v>2</v>
      </c>
      <c r="N129" s="7">
        <v>3</v>
      </c>
      <c r="O129" s="7">
        <v>3</v>
      </c>
      <c r="P129" s="7">
        <v>4</v>
      </c>
      <c r="Q129" s="7">
        <v>4</v>
      </c>
      <c r="R129" s="7">
        <v>5</v>
      </c>
      <c r="S129" s="7">
        <v>5</v>
      </c>
      <c r="T129" s="60">
        <v>5</v>
      </c>
    </row>
    <row r="130" spans="1:20" x14ac:dyDescent="0.35">
      <c r="A130">
        <f t="shared" si="10"/>
        <v>5</v>
      </c>
      <c r="B130" s="59" t="s">
        <v>150</v>
      </c>
      <c r="C130" s="7" t="s">
        <v>150</v>
      </c>
      <c r="D130" s="7" t="s">
        <v>150</v>
      </c>
      <c r="E130" s="7" t="s">
        <v>150</v>
      </c>
      <c r="F130" s="7">
        <v>0</v>
      </c>
      <c r="G130" s="7">
        <v>0</v>
      </c>
      <c r="H130" s="7">
        <v>1</v>
      </c>
      <c r="I130" s="7">
        <v>2</v>
      </c>
      <c r="J130" s="7">
        <v>3</v>
      </c>
      <c r="K130" s="7">
        <v>3</v>
      </c>
      <c r="L130" s="7">
        <v>4</v>
      </c>
      <c r="M130" s="7">
        <v>5</v>
      </c>
      <c r="N130" s="7">
        <v>6</v>
      </c>
      <c r="O130" s="7">
        <v>6</v>
      </c>
      <c r="P130" s="7">
        <v>7</v>
      </c>
      <c r="Q130" s="7">
        <v>8</v>
      </c>
      <c r="R130" s="7">
        <v>9</v>
      </c>
      <c r="S130" s="7">
        <v>9</v>
      </c>
      <c r="T130" s="60">
        <v>10</v>
      </c>
    </row>
    <row r="131" spans="1:20" x14ac:dyDescent="0.35">
      <c r="A131">
        <f t="shared" si="10"/>
        <v>6</v>
      </c>
      <c r="B131" s="59" t="s">
        <v>150</v>
      </c>
      <c r="C131" s="7" t="s">
        <v>150</v>
      </c>
      <c r="D131" s="7" t="s">
        <v>150</v>
      </c>
      <c r="E131" s="7">
        <v>0</v>
      </c>
      <c r="F131" s="7">
        <v>1</v>
      </c>
      <c r="G131" s="7">
        <v>2</v>
      </c>
      <c r="H131" s="7">
        <v>3</v>
      </c>
      <c r="I131" s="7">
        <v>4</v>
      </c>
      <c r="J131" s="7">
        <v>5</v>
      </c>
      <c r="K131" s="7">
        <v>6</v>
      </c>
      <c r="L131" s="7">
        <v>7</v>
      </c>
      <c r="M131" s="7">
        <v>8</v>
      </c>
      <c r="N131" s="7">
        <v>9</v>
      </c>
      <c r="O131" s="7">
        <v>10</v>
      </c>
      <c r="P131" s="7">
        <v>11</v>
      </c>
      <c r="Q131" s="7">
        <v>12</v>
      </c>
      <c r="R131" s="7">
        <v>13</v>
      </c>
      <c r="S131" s="7">
        <v>14</v>
      </c>
      <c r="T131" s="60">
        <v>15</v>
      </c>
    </row>
    <row r="132" spans="1:20" x14ac:dyDescent="0.35">
      <c r="A132">
        <f t="shared" si="10"/>
        <v>7</v>
      </c>
      <c r="B132" s="59" t="s">
        <v>150</v>
      </c>
      <c r="C132" s="7" t="s">
        <v>150</v>
      </c>
      <c r="D132" s="7" t="s">
        <v>150</v>
      </c>
      <c r="E132" s="7">
        <v>0</v>
      </c>
      <c r="F132" s="7">
        <v>2</v>
      </c>
      <c r="G132" s="7">
        <v>3</v>
      </c>
      <c r="H132" s="7">
        <v>4</v>
      </c>
      <c r="I132" s="7">
        <v>5</v>
      </c>
      <c r="J132" s="7">
        <v>7</v>
      </c>
      <c r="K132" s="7">
        <v>8</v>
      </c>
      <c r="L132" s="7">
        <v>9</v>
      </c>
      <c r="M132" s="7">
        <v>11</v>
      </c>
      <c r="N132" s="7">
        <v>12</v>
      </c>
      <c r="O132" s="7">
        <v>13</v>
      </c>
      <c r="P132" s="7">
        <v>15</v>
      </c>
      <c r="Q132" s="7">
        <v>16</v>
      </c>
      <c r="R132" s="7">
        <v>18</v>
      </c>
      <c r="S132" s="7">
        <v>19</v>
      </c>
      <c r="T132" s="60">
        <v>20</v>
      </c>
    </row>
    <row r="133" spans="1:20" x14ac:dyDescent="0.35">
      <c r="A133">
        <f t="shared" si="10"/>
        <v>8</v>
      </c>
      <c r="B133" s="59" t="s">
        <v>150</v>
      </c>
      <c r="C133" s="7" t="s">
        <v>150</v>
      </c>
      <c r="D133" s="7">
        <v>0</v>
      </c>
      <c r="E133" s="7">
        <v>1</v>
      </c>
      <c r="F133" s="7">
        <v>3</v>
      </c>
      <c r="G133" s="7">
        <v>4</v>
      </c>
      <c r="H133" s="23">
        <v>6</v>
      </c>
      <c r="I133" s="7">
        <v>7</v>
      </c>
      <c r="J133" s="7">
        <v>9</v>
      </c>
      <c r="K133" s="7">
        <v>11</v>
      </c>
      <c r="L133" s="7">
        <v>12</v>
      </c>
      <c r="M133" s="7">
        <v>14</v>
      </c>
      <c r="N133" s="7">
        <v>16</v>
      </c>
      <c r="O133" s="7">
        <v>17</v>
      </c>
      <c r="P133" s="7">
        <v>19</v>
      </c>
      <c r="Q133" s="7">
        <v>21</v>
      </c>
      <c r="R133" s="7">
        <v>22</v>
      </c>
      <c r="S133" s="7">
        <v>24</v>
      </c>
      <c r="T133" s="60">
        <v>26</v>
      </c>
    </row>
    <row r="134" spans="1:20" x14ac:dyDescent="0.35">
      <c r="A134">
        <f t="shared" si="10"/>
        <v>9</v>
      </c>
      <c r="B134" s="59" t="s">
        <v>150</v>
      </c>
      <c r="C134" s="7" t="s">
        <v>150</v>
      </c>
      <c r="D134" s="7">
        <v>0</v>
      </c>
      <c r="E134" s="7">
        <v>2</v>
      </c>
      <c r="F134" s="7">
        <v>4</v>
      </c>
      <c r="G134" s="7">
        <v>5</v>
      </c>
      <c r="H134" s="7">
        <v>7</v>
      </c>
      <c r="I134" s="23">
        <v>9</v>
      </c>
      <c r="J134" s="7">
        <v>11</v>
      </c>
      <c r="K134" s="7">
        <v>13</v>
      </c>
      <c r="L134" s="7">
        <v>15</v>
      </c>
      <c r="M134" s="7">
        <v>17</v>
      </c>
      <c r="N134" s="7">
        <v>19</v>
      </c>
      <c r="O134" s="7">
        <v>21</v>
      </c>
      <c r="P134" s="7">
        <v>23</v>
      </c>
      <c r="Q134" s="7">
        <v>25</v>
      </c>
      <c r="R134" s="7">
        <v>27</v>
      </c>
      <c r="S134" s="7">
        <v>29</v>
      </c>
      <c r="T134" s="60">
        <v>31</v>
      </c>
    </row>
    <row r="135" spans="1:20" x14ac:dyDescent="0.35">
      <c r="A135">
        <f t="shared" si="10"/>
        <v>10</v>
      </c>
      <c r="B135" s="59" t="s">
        <v>150</v>
      </c>
      <c r="C135" s="7" t="s">
        <v>150</v>
      </c>
      <c r="D135" s="7">
        <v>1</v>
      </c>
      <c r="E135" s="7">
        <v>3</v>
      </c>
      <c r="F135" s="7">
        <v>5</v>
      </c>
      <c r="G135" s="7">
        <v>7</v>
      </c>
      <c r="H135" s="7">
        <v>9</v>
      </c>
      <c r="I135" s="7">
        <v>11</v>
      </c>
      <c r="J135" s="7">
        <v>13</v>
      </c>
      <c r="K135" s="7">
        <v>16</v>
      </c>
      <c r="L135" s="7">
        <v>18</v>
      </c>
      <c r="M135" s="7">
        <v>20</v>
      </c>
      <c r="N135" s="7">
        <v>23</v>
      </c>
      <c r="O135" s="7">
        <v>25</v>
      </c>
      <c r="P135" s="7">
        <v>27</v>
      </c>
      <c r="Q135" s="7">
        <v>30</v>
      </c>
      <c r="R135" s="7">
        <v>32</v>
      </c>
      <c r="S135" s="7">
        <v>35</v>
      </c>
      <c r="T135" s="60">
        <v>37</v>
      </c>
    </row>
    <row r="136" spans="1:20" x14ac:dyDescent="0.35">
      <c r="A136">
        <f t="shared" si="10"/>
        <v>11</v>
      </c>
      <c r="B136" s="59" t="s">
        <v>150</v>
      </c>
      <c r="C136" s="7" t="s">
        <v>150</v>
      </c>
      <c r="D136" s="7">
        <v>1</v>
      </c>
      <c r="E136" s="7">
        <v>3</v>
      </c>
      <c r="F136" s="7">
        <v>6</v>
      </c>
      <c r="G136" s="7">
        <v>8</v>
      </c>
      <c r="H136" s="7">
        <v>11</v>
      </c>
      <c r="I136" s="7">
        <v>13</v>
      </c>
      <c r="J136" s="7">
        <v>16</v>
      </c>
      <c r="K136" s="7">
        <v>18</v>
      </c>
      <c r="L136" s="7">
        <v>21</v>
      </c>
      <c r="M136" s="7">
        <v>24</v>
      </c>
      <c r="N136" s="7">
        <v>26</v>
      </c>
      <c r="O136" s="7">
        <v>29</v>
      </c>
      <c r="P136" s="7">
        <v>32</v>
      </c>
      <c r="Q136" s="7">
        <v>35</v>
      </c>
      <c r="R136" s="7">
        <v>37</v>
      </c>
      <c r="S136" s="7">
        <v>40</v>
      </c>
      <c r="T136" s="60">
        <v>43</v>
      </c>
    </row>
    <row r="137" spans="1:20" x14ac:dyDescent="0.35">
      <c r="A137">
        <f t="shared" si="10"/>
        <v>12</v>
      </c>
      <c r="B137" s="59" t="s">
        <v>150</v>
      </c>
      <c r="C137" s="7">
        <v>0</v>
      </c>
      <c r="D137" s="7">
        <v>2</v>
      </c>
      <c r="E137" s="7">
        <v>4</v>
      </c>
      <c r="F137" s="7">
        <v>7</v>
      </c>
      <c r="G137" s="7">
        <v>9</v>
      </c>
      <c r="H137" s="7">
        <v>12</v>
      </c>
      <c r="I137" s="7">
        <v>15</v>
      </c>
      <c r="J137" s="7">
        <v>18</v>
      </c>
      <c r="K137" s="7">
        <v>21</v>
      </c>
      <c r="L137" s="23">
        <v>24</v>
      </c>
      <c r="M137" s="23">
        <v>27</v>
      </c>
      <c r="N137" s="23">
        <v>30</v>
      </c>
      <c r="O137" s="23">
        <v>33</v>
      </c>
      <c r="P137" s="23">
        <v>36</v>
      </c>
      <c r="Q137" s="23">
        <v>39</v>
      </c>
      <c r="R137" s="23">
        <v>43</v>
      </c>
      <c r="S137" s="23">
        <v>46</v>
      </c>
      <c r="T137" s="64">
        <v>49</v>
      </c>
    </row>
    <row r="138" spans="1:20" x14ac:dyDescent="0.35">
      <c r="A138">
        <f t="shared" si="10"/>
        <v>13</v>
      </c>
      <c r="B138" s="59" t="s">
        <v>150</v>
      </c>
      <c r="C138" s="7">
        <v>0</v>
      </c>
      <c r="D138" s="7">
        <v>2</v>
      </c>
      <c r="E138" s="7">
        <v>5</v>
      </c>
      <c r="F138" s="7">
        <v>8</v>
      </c>
      <c r="G138" s="7">
        <v>11</v>
      </c>
      <c r="H138" s="7">
        <v>14</v>
      </c>
      <c r="I138" s="7">
        <v>17</v>
      </c>
      <c r="J138" s="7">
        <v>20</v>
      </c>
      <c r="K138" s="7">
        <v>24</v>
      </c>
      <c r="L138" s="23">
        <v>27</v>
      </c>
      <c r="M138" s="23">
        <v>30</v>
      </c>
      <c r="N138" s="23">
        <v>34</v>
      </c>
      <c r="O138" s="23">
        <v>37</v>
      </c>
      <c r="P138" s="23">
        <v>41</v>
      </c>
      <c r="Q138" s="23">
        <v>44</v>
      </c>
      <c r="R138" s="23">
        <v>48</v>
      </c>
      <c r="S138" s="23">
        <v>51</v>
      </c>
      <c r="T138" s="64">
        <v>55</v>
      </c>
    </row>
    <row r="139" spans="1:20" x14ac:dyDescent="0.35">
      <c r="A139">
        <f t="shared" si="10"/>
        <v>14</v>
      </c>
      <c r="B139" s="59" t="s">
        <v>150</v>
      </c>
      <c r="C139" s="7">
        <v>0</v>
      </c>
      <c r="D139" s="7">
        <v>3</v>
      </c>
      <c r="E139" s="7">
        <v>6</v>
      </c>
      <c r="F139" s="7">
        <v>9</v>
      </c>
      <c r="G139" s="7">
        <v>12</v>
      </c>
      <c r="H139" s="7">
        <v>16</v>
      </c>
      <c r="I139" s="7">
        <v>19</v>
      </c>
      <c r="J139" s="7">
        <v>23</v>
      </c>
      <c r="K139" s="7">
        <v>26</v>
      </c>
      <c r="L139" s="23">
        <v>30</v>
      </c>
      <c r="M139" s="23">
        <v>34</v>
      </c>
      <c r="N139" s="23">
        <v>38</v>
      </c>
      <c r="O139" s="23">
        <v>41</v>
      </c>
      <c r="P139" s="23">
        <v>45</v>
      </c>
      <c r="Q139" s="23">
        <v>49</v>
      </c>
      <c r="R139" s="23">
        <v>53</v>
      </c>
      <c r="S139" s="23">
        <v>57</v>
      </c>
      <c r="T139" s="64">
        <v>61</v>
      </c>
    </row>
    <row r="140" spans="1:20" x14ac:dyDescent="0.35">
      <c r="A140">
        <f t="shared" si="10"/>
        <v>15</v>
      </c>
      <c r="B140" s="59" t="s">
        <v>150</v>
      </c>
      <c r="C140" s="7">
        <v>1</v>
      </c>
      <c r="D140" s="7">
        <v>3</v>
      </c>
      <c r="E140" s="7">
        <v>6</v>
      </c>
      <c r="F140" s="7">
        <v>10</v>
      </c>
      <c r="G140" s="7">
        <v>13</v>
      </c>
      <c r="H140" s="7">
        <v>17</v>
      </c>
      <c r="I140" s="7">
        <v>21</v>
      </c>
      <c r="J140" s="7">
        <v>25</v>
      </c>
      <c r="K140" s="7">
        <v>29</v>
      </c>
      <c r="L140" s="23">
        <v>33</v>
      </c>
      <c r="M140" s="23">
        <v>37</v>
      </c>
      <c r="N140" s="23">
        <v>41</v>
      </c>
      <c r="O140" s="23">
        <v>46</v>
      </c>
      <c r="P140" s="23">
        <v>50</v>
      </c>
      <c r="Q140" s="23">
        <v>54</v>
      </c>
      <c r="R140" s="23">
        <v>58</v>
      </c>
      <c r="S140" s="23">
        <v>62</v>
      </c>
      <c r="T140" s="64">
        <v>67</v>
      </c>
    </row>
    <row r="141" spans="1:20" x14ac:dyDescent="0.35">
      <c r="A141">
        <f t="shared" si="10"/>
        <v>16</v>
      </c>
      <c r="B141" s="59" t="s">
        <v>150</v>
      </c>
      <c r="C141" s="7">
        <v>1</v>
      </c>
      <c r="D141" s="7">
        <v>4</v>
      </c>
      <c r="E141" s="7">
        <v>7</v>
      </c>
      <c r="F141" s="7">
        <v>11</v>
      </c>
      <c r="G141" s="7">
        <v>15</v>
      </c>
      <c r="H141" s="7">
        <v>19</v>
      </c>
      <c r="I141" s="7">
        <v>23</v>
      </c>
      <c r="J141" s="23">
        <v>27</v>
      </c>
      <c r="K141" s="23">
        <v>32</v>
      </c>
      <c r="L141" s="23">
        <v>36</v>
      </c>
      <c r="M141" s="23">
        <v>41</v>
      </c>
      <c r="N141" s="23">
        <v>45</v>
      </c>
      <c r="O141" s="23">
        <v>50</v>
      </c>
      <c r="P141" s="23">
        <v>54</v>
      </c>
      <c r="Q141" s="23">
        <v>59</v>
      </c>
      <c r="R141" s="23">
        <v>64</v>
      </c>
      <c r="S141" s="23">
        <v>68</v>
      </c>
      <c r="T141" s="64">
        <v>73</v>
      </c>
    </row>
    <row r="142" spans="1:20" x14ac:dyDescent="0.35">
      <c r="A142">
        <f t="shared" si="10"/>
        <v>17</v>
      </c>
      <c r="B142" s="59" t="s">
        <v>150</v>
      </c>
      <c r="C142" s="7">
        <v>1</v>
      </c>
      <c r="D142" s="7">
        <v>4</v>
      </c>
      <c r="E142" s="7">
        <v>8</v>
      </c>
      <c r="F142" s="7">
        <v>12</v>
      </c>
      <c r="G142" s="7">
        <v>16</v>
      </c>
      <c r="H142" s="7">
        <v>21</v>
      </c>
      <c r="I142" s="7">
        <v>25</v>
      </c>
      <c r="J142" s="7">
        <v>30</v>
      </c>
      <c r="K142" s="7">
        <v>35</v>
      </c>
      <c r="L142" s="23">
        <v>39</v>
      </c>
      <c r="M142" s="23">
        <v>44</v>
      </c>
      <c r="N142" s="23">
        <v>49</v>
      </c>
      <c r="O142" s="23">
        <v>54</v>
      </c>
      <c r="P142" s="23">
        <v>59</v>
      </c>
      <c r="Q142" s="23">
        <v>64</v>
      </c>
      <c r="R142" s="23">
        <v>69</v>
      </c>
      <c r="S142" s="23">
        <v>74</v>
      </c>
      <c r="T142" s="64">
        <v>79</v>
      </c>
    </row>
    <row r="143" spans="1:20" x14ac:dyDescent="0.35">
      <c r="A143">
        <f t="shared" si="10"/>
        <v>18</v>
      </c>
      <c r="B143" s="59" t="s">
        <v>150</v>
      </c>
      <c r="C143" s="7">
        <v>1</v>
      </c>
      <c r="D143" s="7">
        <v>5</v>
      </c>
      <c r="E143" s="7">
        <v>9</v>
      </c>
      <c r="F143" s="7">
        <v>13</v>
      </c>
      <c r="G143" s="7">
        <v>18</v>
      </c>
      <c r="H143" s="7">
        <v>22</v>
      </c>
      <c r="I143" s="7">
        <v>27</v>
      </c>
      <c r="J143" s="7">
        <v>32</v>
      </c>
      <c r="K143" s="7">
        <v>37</v>
      </c>
      <c r="L143" s="23">
        <v>43</v>
      </c>
      <c r="M143" s="23">
        <v>48</v>
      </c>
      <c r="N143" s="23">
        <v>53</v>
      </c>
      <c r="O143" s="23">
        <v>58</v>
      </c>
      <c r="P143" s="23">
        <v>64</v>
      </c>
      <c r="Q143" s="23">
        <v>69</v>
      </c>
      <c r="R143" s="23">
        <v>74</v>
      </c>
      <c r="S143" s="23">
        <v>80</v>
      </c>
      <c r="T143" s="64">
        <v>85</v>
      </c>
    </row>
    <row r="144" spans="1:20" x14ac:dyDescent="0.35">
      <c r="A144">
        <f t="shared" si="10"/>
        <v>19</v>
      </c>
      <c r="B144" s="59" t="s">
        <v>150</v>
      </c>
      <c r="C144" s="7">
        <v>1</v>
      </c>
      <c r="D144" s="7">
        <v>5</v>
      </c>
      <c r="E144" s="7">
        <v>9</v>
      </c>
      <c r="F144" s="7">
        <v>14</v>
      </c>
      <c r="G144" s="7">
        <v>19</v>
      </c>
      <c r="H144" s="7">
        <v>24</v>
      </c>
      <c r="I144" s="7">
        <v>29</v>
      </c>
      <c r="J144" s="7">
        <v>35</v>
      </c>
      <c r="K144" s="7">
        <v>40</v>
      </c>
      <c r="L144" s="23">
        <v>46</v>
      </c>
      <c r="M144" s="23">
        <v>51</v>
      </c>
      <c r="N144" s="23">
        <v>57</v>
      </c>
      <c r="O144" s="23">
        <v>62</v>
      </c>
      <c r="P144" s="23">
        <v>68</v>
      </c>
      <c r="Q144" s="23">
        <v>74</v>
      </c>
      <c r="R144" s="23">
        <v>80</v>
      </c>
      <c r="S144" s="23">
        <v>85</v>
      </c>
      <c r="T144" s="60">
        <v>91</v>
      </c>
    </row>
    <row r="145" spans="1:20" x14ac:dyDescent="0.35">
      <c r="A145">
        <f t="shared" si="10"/>
        <v>20</v>
      </c>
      <c r="B145" s="45" t="s">
        <v>150</v>
      </c>
      <c r="C145" s="102">
        <v>2</v>
      </c>
      <c r="D145" s="102">
        <v>5</v>
      </c>
      <c r="E145" s="102">
        <v>10</v>
      </c>
      <c r="F145" s="102">
        <v>15</v>
      </c>
      <c r="G145" s="102">
        <v>20</v>
      </c>
      <c r="H145" s="102">
        <v>26</v>
      </c>
      <c r="I145" s="102">
        <v>31</v>
      </c>
      <c r="J145" s="102">
        <v>37</v>
      </c>
      <c r="K145" s="102">
        <v>43</v>
      </c>
      <c r="L145" s="102">
        <v>49</v>
      </c>
      <c r="M145" s="102">
        <v>55</v>
      </c>
      <c r="N145" s="102">
        <v>61</v>
      </c>
      <c r="O145" s="102">
        <v>67</v>
      </c>
      <c r="P145" s="102">
        <v>73</v>
      </c>
      <c r="Q145" s="102">
        <v>79</v>
      </c>
      <c r="R145" s="102">
        <v>85</v>
      </c>
      <c r="S145" s="102">
        <v>91</v>
      </c>
      <c r="T145" s="48">
        <v>97</v>
      </c>
    </row>
    <row r="147" spans="1:20" x14ac:dyDescent="0.35">
      <c r="A147" t="s">
        <v>195</v>
      </c>
    </row>
    <row r="149" spans="1:20" x14ac:dyDescent="0.35">
      <c r="A149" s="1" t="s">
        <v>77</v>
      </c>
      <c r="E149">
        <v>0.2</v>
      </c>
      <c r="G149" t="s">
        <v>247</v>
      </c>
    </row>
    <row r="151" spans="1:20" ht="24" x14ac:dyDescent="0.5">
      <c r="A151" s="123" t="s">
        <v>78</v>
      </c>
      <c r="B151">
        <v>2</v>
      </c>
      <c r="C151">
        <f t="shared" ref="C151:T151" si="11">B151+1</f>
        <v>3</v>
      </c>
      <c r="D151">
        <f t="shared" si="11"/>
        <v>4</v>
      </c>
      <c r="E151">
        <f t="shared" si="11"/>
        <v>5</v>
      </c>
      <c r="F151">
        <f t="shared" si="11"/>
        <v>6</v>
      </c>
      <c r="G151">
        <f t="shared" si="11"/>
        <v>7</v>
      </c>
      <c r="H151">
        <f t="shared" si="11"/>
        <v>8</v>
      </c>
      <c r="I151">
        <f t="shared" si="11"/>
        <v>9</v>
      </c>
      <c r="J151">
        <f t="shared" si="11"/>
        <v>10</v>
      </c>
      <c r="K151">
        <f t="shared" si="11"/>
        <v>11</v>
      </c>
      <c r="L151">
        <f t="shared" si="11"/>
        <v>12</v>
      </c>
      <c r="M151">
        <f t="shared" si="11"/>
        <v>13</v>
      </c>
      <c r="N151">
        <f t="shared" si="11"/>
        <v>14</v>
      </c>
      <c r="O151">
        <f t="shared" si="11"/>
        <v>15</v>
      </c>
      <c r="P151">
        <f t="shared" si="11"/>
        <v>16</v>
      </c>
      <c r="Q151">
        <f t="shared" si="11"/>
        <v>17</v>
      </c>
      <c r="R151">
        <f t="shared" si="11"/>
        <v>18</v>
      </c>
      <c r="S151">
        <f t="shared" si="11"/>
        <v>19</v>
      </c>
      <c r="T151">
        <f t="shared" si="11"/>
        <v>20</v>
      </c>
    </row>
    <row r="152" spans="1:20" x14ac:dyDescent="0.35">
      <c r="A152">
        <v>2</v>
      </c>
      <c r="B152" s="124"/>
      <c r="C152" s="125">
        <v>0</v>
      </c>
      <c r="D152" s="125">
        <v>0</v>
      </c>
      <c r="E152" s="125">
        <v>1</v>
      </c>
      <c r="F152" s="125">
        <v>1</v>
      </c>
      <c r="G152" s="125">
        <v>1</v>
      </c>
      <c r="H152" s="125">
        <v>2</v>
      </c>
      <c r="I152" s="125">
        <v>2</v>
      </c>
      <c r="J152" s="125">
        <v>3</v>
      </c>
      <c r="K152" s="125">
        <v>3</v>
      </c>
      <c r="L152" s="125">
        <v>4</v>
      </c>
      <c r="M152" s="125">
        <v>4</v>
      </c>
      <c r="N152" s="125">
        <v>5</v>
      </c>
      <c r="O152" s="125">
        <v>5</v>
      </c>
      <c r="P152" s="125">
        <v>5</v>
      </c>
      <c r="Q152" s="125">
        <v>6</v>
      </c>
      <c r="R152" s="125">
        <v>6</v>
      </c>
      <c r="S152" s="125">
        <v>7</v>
      </c>
      <c r="T152" s="126">
        <v>7</v>
      </c>
    </row>
    <row r="153" spans="1:20" x14ac:dyDescent="0.35">
      <c r="A153">
        <f>A152+1</f>
        <v>3</v>
      </c>
      <c r="B153" s="78">
        <v>0</v>
      </c>
      <c r="C153" s="39">
        <v>1</v>
      </c>
      <c r="D153" s="39">
        <v>1</v>
      </c>
      <c r="E153" s="39">
        <v>2</v>
      </c>
      <c r="F153" s="39">
        <v>3</v>
      </c>
      <c r="G153" s="39">
        <v>4</v>
      </c>
      <c r="H153" s="39">
        <v>5</v>
      </c>
      <c r="I153" s="38">
        <v>5</v>
      </c>
      <c r="J153" s="38">
        <v>6</v>
      </c>
      <c r="K153" s="38">
        <v>7</v>
      </c>
      <c r="L153" s="38">
        <v>8</v>
      </c>
      <c r="M153" s="38">
        <v>9</v>
      </c>
      <c r="N153" s="38">
        <v>10</v>
      </c>
      <c r="O153" s="38">
        <v>10</v>
      </c>
      <c r="P153" s="38">
        <v>11</v>
      </c>
      <c r="Q153" s="38">
        <v>12</v>
      </c>
      <c r="R153" s="38">
        <v>13</v>
      </c>
      <c r="S153" s="38">
        <v>14</v>
      </c>
      <c r="T153" s="54">
        <v>15</v>
      </c>
    </row>
    <row r="154" spans="1:20" x14ac:dyDescent="0.35">
      <c r="A154">
        <f t="shared" ref="A154:A170" si="12">A153+1</f>
        <v>4</v>
      </c>
      <c r="B154" s="78">
        <v>0</v>
      </c>
      <c r="C154" s="39">
        <v>1</v>
      </c>
      <c r="D154" s="39">
        <v>3</v>
      </c>
      <c r="E154" s="39">
        <v>4</v>
      </c>
      <c r="F154" s="39">
        <v>5</v>
      </c>
      <c r="G154" s="39">
        <v>6</v>
      </c>
      <c r="H154" s="39">
        <v>7</v>
      </c>
      <c r="I154" s="38">
        <v>9</v>
      </c>
      <c r="J154" s="38">
        <v>10</v>
      </c>
      <c r="K154" s="38">
        <v>11</v>
      </c>
      <c r="L154" s="38">
        <v>12</v>
      </c>
      <c r="M154" s="38">
        <v>13</v>
      </c>
      <c r="N154" s="38">
        <v>15</v>
      </c>
      <c r="O154" s="38">
        <v>17</v>
      </c>
      <c r="P154" s="38">
        <v>18</v>
      </c>
      <c r="Q154" s="38">
        <v>20</v>
      </c>
      <c r="R154" s="38">
        <v>21</v>
      </c>
      <c r="S154" s="38">
        <v>22</v>
      </c>
      <c r="T154" s="54">
        <v>23</v>
      </c>
    </row>
    <row r="155" spans="1:20" x14ac:dyDescent="0.35">
      <c r="A155">
        <f t="shared" si="12"/>
        <v>5</v>
      </c>
      <c r="B155" s="78">
        <v>1</v>
      </c>
      <c r="C155" s="39">
        <v>2</v>
      </c>
      <c r="D155" s="39">
        <v>4</v>
      </c>
      <c r="E155" s="39">
        <v>5</v>
      </c>
      <c r="F155" s="39">
        <v>7</v>
      </c>
      <c r="G155" s="39">
        <v>8</v>
      </c>
      <c r="H155" s="38">
        <v>10</v>
      </c>
      <c r="I155" s="38">
        <v>12</v>
      </c>
      <c r="J155" s="38">
        <v>13</v>
      </c>
      <c r="K155" s="38">
        <v>15</v>
      </c>
      <c r="L155" s="38">
        <v>17</v>
      </c>
      <c r="M155" s="38">
        <v>18</v>
      </c>
      <c r="N155" s="38">
        <v>20</v>
      </c>
      <c r="O155" s="38">
        <v>22</v>
      </c>
      <c r="P155" s="38">
        <v>23</v>
      </c>
      <c r="Q155" s="38">
        <v>25</v>
      </c>
      <c r="R155" s="38">
        <v>27</v>
      </c>
      <c r="S155" s="39">
        <v>28</v>
      </c>
      <c r="T155" s="54">
        <v>30</v>
      </c>
    </row>
    <row r="156" spans="1:20" x14ac:dyDescent="0.35">
      <c r="A156">
        <f t="shared" si="12"/>
        <v>6</v>
      </c>
      <c r="B156" s="78">
        <v>1</v>
      </c>
      <c r="C156" s="39">
        <v>3</v>
      </c>
      <c r="D156" s="39">
        <v>5</v>
      </c>
      <c r="E156" s="39">
        <v>7</v>
      </c>
      <c r="F156" s="39">
        <v>9</v>
      </c>
      <c r="G156" s="39">
        <v>11</v>
      </c>
      <c r="H156" s="39">
        <v>13</v>
      </c>
      <c r="I156" s="38">
        <v>15</v>
      </c>
      <c r="J156" s="38">
        <v>17</v>
      </c>
      <c r="K156" s="38">
        <v>19</v>
      </c>
      <c r="L156" s="38">
        <v>21</v>
      </c>
      <c r="M156" s="38">
        <v>23</v>
      </c>
      <c r="N156" s="38">
        <v>25</v>
      </c>
      <c r="O156" s="38">
        <v>27</v>
      </c>
      <c r="P156" s="38">
        <v>29</v>
      </c>
      <c r="Q156" s="38">
        <v>31</v>
      </c>
      <c r="R156" s="38">
        <v>34</v>
      </c>
      <c r="S156" s="38">
        <v>36</v>
      </c>
      <c r="T156" s="54">
        <v>38</v>
      </c>
    </row>
    <row r="157" spans="1:20" x14ac:dyDescent="0.35">
      <c r="A157">
        <f t="shared" si="12"/>
        <v>7</v>
      </c>
      <c r="B157" s="78">
        <v>1</v>
      </c>
      <c r="C157" s="39">
        <v>4</v>
      </c>
      <c r="D157" s="39">
        <v>6</v>
      </c>
      <c r="E157" s="39">
        <v>8</v>
      </c>
      <c r="F157" s="39">
        <v>11</v>
      </c>
      <c r="G157" s="39">
        <v>13</v>
      </c>
      <c r="H157" s="39">
        <v>16</v>
      </c>
      <c r="I157" s="38">
        <v>18</v>
      </c>
      <c r="J157" s="38">
        <v>21</v>
      </c>
      <c r="K157" s="38">
        <v>23</v>
      </c>
      <c r="L157" s="38">
        <v>26</v>
      </c>
      <c r="M157" s="38">
        <v>28</v>
      </c>
      <c r="N157" s="38">
        <v>31</v>
      </c>
      <c r="O157" s="38">
        <v>33</v>
      </c>
      <c r="P157" s="38">
        <v>36</v>
      </c>
      <c r="Q157" s="38">
        <v>41</v>
      </c>
      <c r="R157" s="38">
        <v>43</v>
      </c>
      <c r="S157" s="38">
        <v>46</v>
      </c>
      <c r="T157" s="54">
        <v>48</v>
      </c>
    </row>
    <row r="158" spans="1:20" x14ac:dyDescent="0.35">
      <c r="A158">
        <f t="shared" si="12"/>
        <v>8</v>
      </c>
      <c r="B158" s="78">
        <v>2</v>
      </c>
      <c r="C158" s="39">
        <v>5</v>
      </c>
      <c r="D158" s="39">
        <v>7</v>
      </c>
      <c r="E158" s="38">
        <v>10</v>
      </c>
      <c r="F158" s="39">
        <v>13</v>
      </c>
      <c r="G158" s="39">
        <v>16</v>
      </c>
      <c r="H158" s="39">
        <v>19</v>
      </c>
      <c r="I158" s="38">
        <v>22</v>
      </c>
      <c r="J158" s="38">
        <v>24</v>
      </c>
      <c r="K158" s="38">
        <v>27</v>
      </c>
      <c r="L158" s="38">
        <v>30</v>
      </c>
      <c r="M158" s="38">
        <v>33</v>
      </c>
      <c r="N158" s="38">
        <v>36</v>
      </c>
      <c r="O158" s="38">
        <v>39</v>
      </c>
      <c r="P158" s="38">
        <v>42</v>
      </c>
      <c r="Q158" s="38">
        <v>45</v>
      </c>
      <c r="R158" s="38">
        <v>48</v>
      </c>
      <c r="S158" s="38">
        <v>51</v>
      </c>
      <c r="T158" s="54">
        <v>54</v>
      </c>
    </row>
    <row r="159" spans="1:20" x14ac:dyDescent="0.35">
      <c r="A159">
        <f t="shared" si="12"/>
        <v>9</v>
      </c>
      <c r="B159" s="78">
        <v>2</v>
      </c>
      <c r="C159" s="38">
        <v>5</v>
      </c>
      <c r="D159" s="38">
        <v>9</v>
      </c>
      <c r="E159" s="38">
        <v>12</v>
      </c>
      <c r="F159" s="38">
        <v>15</v>
      </c>
      <c r="G159" s="38">
        <v>18</v>
      </c>
      <c r="H159" s="38">
        <v>22</v>
      </c>
      <c r="I159" s="38">
        <v>25</v>
      </c>
      <c r="J159" s="38">
        <v>28</v>
      </c>
      <c r="K159" s="38">
        <v>31</v>
      </c>
      <c r="L159" s="38">
        <v>35</v>
      </c>
      <c r="M159" s="38">
        <v>38</v>
      </c>
      <c r="N159" s="38">
        <v>41</v>
      </c>
      <c r="O159" s="38">
        <v>45</v>
      </c>
      <c r="P159" s="38">
        <v>48</v>
      </c>
      <c r="Q159" s="38">
        <v>52</v>
      </c>
      <c r="R159" s="38">
        <v>55</v>
      </c>
      <c r="S159" s="38">
        <v>58</v>
      </c>
      <c r="T159" s="54">
        <v>62</v>
      </c>
    </row>
    <row r="160" spans="1:20" x14ac:dyDescent="0.35">
      <c r="A160">
        <f t="shared" si="12"/>
        <v>10</v>
      </c>
      <c r="B160" s="78">
        <v>3</v>
      </c>
      <c r="C160" s="38">
        <v>6</v>
      </c>
      <c r="D160" s="38">
        <v>10</v>
      </c>
      <c r="E160" s="38">
        <v>13</v>
      </c>
      <c r="F160" s="38">
        <v>17</v>
      </c>
      <c r="G160" s="38">
        <v>21</v>
      </c>
      <c r="H160" s="38">
        <v>24</v>
      </c>
      <c r="I160" s="38">
        <v>28</v>
      </c>
      <c r="J160" s="38">
        <v>32</v>
      </c>
      <c r="K160" s="38">
        <v>36</v>
      </c>
      <c r="L160" s="38">
        <v>39</v>
      </c>
      <c r="M160" s="38">
        <v>43</v>
      </c>
      <c r="N160" s="38">
        <v>47</v>
      </c>
      <c r="O160" s="38">
        <v>51</v>
      </c>
      <c r="P160" s="38">
        <v>54</v>
      </c>
      <c r="Q160" s="38">
        <v>58</v>
      </c>
      <c r="R160" s="38">
        <v>62</v>
      </c>
      <c r="S160" s="38">
        <v>66</v>
      </c>
      <c r="T160" s="54">
        <v>70</v>
      </c>
    </row>
    <row r="161" spans="1:20" x14ac:dyDescent="0.35">
      <c r="A161">
        <f t="shared" si="12"/>
        <v>11</v>
      </c>
      <c r="B161" s="78">
        <v>3</v>
      </c>
      <c r="C161" s="38">
        <v>7</v>
      </c>
      <c r="D161" s="38">
        <v>11</v>
      </c>
      <c r="E161" s="38">
        <v>15</v>
      </c>
      <c r="F161" s="38">
        <v>19</v>
      </c>
      <c r="G161" s="38">
        <v>23</v>
      </c>
      <c r="H161" s="38">
        <v>27</v>
      </c>
      <c r="I161" s="38">
        <v>31</v>
      </c>
      <c r="J161" s="38">
        <v>36</v>
      </c>
      <c r="K161" s="38">
        <v>40</v>
      </c>
      <c r="L161" s="38">
        <v>44</v>
      </c>
      <c r="M161" s="38">
        <v>48</v>
      </c>
      <c r="N161" s="38">
        <v>52</v>
      </c>
      <c r="O161" s="38">
        <v>57</v>
      </c>
      <c r="P161" s="38">
        <v>61</v>
      </c>
      <c r="Q161" s="38">
        <v>65</v>
      </c>
      <c r="R161" s="38">
        <v>69</v>
      </c>
      <c r="S161" s="39">
        <v>73</v>
      </c>
      <c r="T161" s="54">
        <v>78</v>
      </c>
    </row>
    <row r="162" spans="1:20" x14ac:dyDescent="0.35">
      <c r="A162">
        <f t="shared" si="12"/>
        <v>12</v>
      </c>
      <c r="B162" s="78">
        <v>4</v>
      </c>
      <c r="C162" s="38">
        <v>8</v>
      </c>
      <c r="D162" s="38">
        <v>12</v>
      </c>
      <c r="E162" s="38">
        <v>17</v>
      </c>
      <c r="F162" s="38">
        <v>21</v>
      </c>
      <c r="G162" s="38">
        <v>26</v>
      </c>
      <c r="H162" s="38">
        <v>30</v>
      </c>
      <c r="I162" s="38">
        <v>35</v>
      </c>
      <c r="J162" s="38">
        <v>39</v>
      </c>
      <c r="K162" s="38">
        <v>44</v>
      </c>
      <c r="L162" s="38">
        <v>49</v>
      </c>
      <c r="M162" s="38">
        <v>53</v>
      </c>
      <c r="N162" s="38">
        <v>58</v>
      </c>
      <c r="O162" s="38">
        <v>63</v>
      </c>
      <c r="P162" s="38">
        <v>67</v>
      </c>
      <c r="Q162" s="38">
        <v>72</v>
      </c>
      <c r="R162" s="38">
        <v>77</v>
      </c>
      <c r="S162" s="38">
        <v>81</v>
      </c>
      <c r="T162" s="54">
        <v>86</v>
      </c>
    </row>
    <row r="163" spans="1:20" x14ac:dyDescent="0.35">
      <c r="A163">
        <f t="shared" si="12"/>
        <v>13</v>
      </c>
      <c r="B163" s="78">
        <v>4</v>
      </c>
      <c r="C163" s="38">
        <v>9</v>
      </c>
      <c r="D163" s="38">
        <v>13</v>
      </c>
      <c r="E163" s="38">
        <v>18</v>
      </c>
      <c r="F163" s="38">
        <v>23</v>
      </c>
      <c r="G163" s="38">
        <v>28</v>
      </c>
      <c r="H163" s="38">
        <v>33</v>
      </c>
      <c r="I163" s="38">
        <v>38</v>
      </c>
      <c r="J163" s="38">
        <v>43</v>
      </c>
      <c r="K163" s="38">
        <v>48</v>
      </c>
      <c r="L163" s="38">
        <v>53</v>
      </c>
      <c r="M163" s="38">
        <v>58</v>
      </c>
      <c r="N163" s="38">
        <v>63</v>
      </c>
      <c r="O163" s="38">
        <v>68</v>
      </c>
      <c r="P163" s="38">
        <v>74</v>
      </c>
      <c r="Q163" s="38">
        <v>79</v>
      </c>
      <c r="R163" s="38">
        <v>84</v>
      </c>
      <c r="S163" s="38">
        <v>89</v>
      </c>
      <c r="T163" s="54">
        <v>94</v>
      </c>
    </row>
    <row r="164" spans="1:20" x14ac:dyDescent="0.35">
      <c r="A164">
        <f t="shared" si="12"/>
        <v>14</v>
      </c>
      <c r="B164" s="78">
        <v>5</v>
      </c>
      <c r="C164" s="38">
        <v>10</v>
      </c>
      <c r="D164" s="38">
        <v>15</v>
      </c>
      <c r="E164" s="38">
        <v>20</v>
      </c>
      <c r="F164" s="38">
        <v>25</v>
      </c>
      <c r="G164" s="38">
        <v>31</v>
      </c>
      <c r="H164" s="38">
        <v>36</v>
      </c>
      <c r="I164" s="38">
        <v>41</v>
      </c>
      <c r="J164" s="38">
        <v>47</v>
      </c>
      <c r="K164" s="38">
        <v>52</v>
      </c>
      <c r="L164" s="38">
        <v>58</v>
      </c>
      <c r="M164" s="38">
        <v>63</v>
      </c>
      <c r="N164" s="38">
        <v>69</v>
      </c>
      <c r="O164" s="38">
        <v>74</v>
      </c>
      <c r="P164" s="38">
        <v>80</v>
      </c>
      <c r="Q164" s="38">
        <v>85</v>
      </c>
      <c r="R164" s="38">
        <v>91</v>
      </c>
      <c r="S164" s="38">
        <v>97</v>
      </c>
      <c r="T164" s="54">
        <v>102</v>
      </c>
    </row>
    <row r="165" spans="1:20" x14ac:dyDescent="0.35">
      <c r="A165">
        <f t="shared" si="12"/>
        <v>15</v>
      </c>
      <c r="B165" s="78">
        <v>5</v>
      </c>
      <c r="C165" s="38">
        <v>10</v>
      </c>
      <c r="D165" s="38">
        <v>17</v>
      </c>
      <c r="E165" s="38">
        <v>22</v>
      </c>
      <c r="F165" s="38">
        <v>27</v>
      </c>
      <c r="G165" s="38">
        <v>33</v>
      </c>
      <c r="H165" s="38">
        <v>39</v>
      </c>
      <c r="I165" s="38">
        <v>45</v>
      </c>
      <c r="J165" s="38">
        <v>51</v>
      </c>
      <c r="K165" s="38">
        <v>57</v>
      </c>
      <c r="L165" s="38">
        <v>63</v>
      </c>
      <c r="M165" s="38">
        <v>68</v>
      </c>
      <c r="N165" s="38">
        <v>74</v>
      </c>
      <c r="O165" s="38">
        <v>80</v>
      </c>
      <c r="P165" s="38">
        <v>86</v>
      </c>
      <c r="Q165" s="38">
        <v>92</v>
      </c>
      <c r="R165" s="38">
        <v>98</v>
      </c>
      <c r="S165" s="38">
        <v>104</v>
      </c>
      <c r="T165" s="54">
        <v>110</v>
      </c>
    </row>
    <row r="166" spans="1:20" x14ac:dyDescent="0.35">
      <c r="A166">
        <f t="shared" si="12"/>
        <v>16</v>
      </c>
      <c r="B166" s="78">
        <v>5</v>
      </c>
      <c r="C166" s="38">
        <v>11</v>
      </c>
      <c r="D166" s="38">
        <v>18</v>
      </c>
      <c r="E166" s="38">
        <v>23</v>
      </c>
      <c r="F166" s="38">
        <v>29</v>
      </c>
      <c r="G166" s="38">
        <v>36</v>
      </c>
      <c r="H166" s="38">
        <v>42</v>
      </c>
      <c r="I166" s="38">
        <v>48</v>
      </c>
      <c r="J166" s="38">
        <v>54</v>
      </c>
      <c r="K166" s="38">
        <v>61</v>
      </c>
      <c r="L166" s="38">
        <v>67</v>
      </c>
      <c r="M166" s="38">
        <v>74</v>
      </c>
      <c r="N166" s="38">
        <v>80</v>
      </c>
      <c r="O166" s="38">
        <v>86</v>
      </c>
      <c r="P166" s="38">
        <v>93</v>
      </c>
      <c r="Q166" s="38">
        <v>99</v>
      </c>
      <c r="R166" s="38">
        <v>106</v>
      </c>
      <c r="S166" s="38">
        <v>112</v>
      </c>
      <c r="T166" s="54">
        <v>119</v>
      </c>
    </row>
    <row r="167" spans="1:20" x14ac:dyDescent="0.35">
      <c r="A167">
        <f t="shared" si="12"/>
        <v>17</v>
      </c>
      <c r="B167" s="78">
        <v>6</v>
      </c>
      <c r="C167" s="38">
        <v>12</v>
      </c>
      <c r="D167" s="38">
        <v>20</v>
      </c>
      <c r="E167" s="38">
        <v>25</v>
      </c>
      <c r="F167" s="38">
        <v>31</v>
      </c>
      <c r="G167" s="38">
        <v>41</v>
      </c>
      <c r="H167" s="38">
        <v>45</v>
      </c>
      <c r="I167" s="38">
        <v>52</v>
      </c>
      <c r="J167" s="38">
        <v>58</v>
      </c>
      <c r="K167" s="38">
        <v>65</v>
      </c>
      <c r="L167" s="38">
        <v>72</v>
      </c>
      <c r="M167" s="38">
        <v>79</v>
      </c>
      <c r="N167" s="38">
        <v>85</v>
      </c>
      <c r="O167" s="38">
        <v>92</v>
      </c>
      <c r="P167" s="38">
        <v>99</v>
      </c>
      <c r="Q167" s="38">
        <v>106</v>
      </c>
      <c r="R167" s="38">
        <v>113</v>
      </c>
      <c r="S167" s="38">
        <v>120</v>
      </c>
      <c r="T167" s="54">
        <v>127</v>
      </c>
    </row>
    <row r="168" spans="1:20" x14ac:dyDescent="0.35">
      <c r="A168">
        <f t="shared" si="12"/>
        <v>18</v>
      </c>
      <c r="B168" s="78">
        <v>6</v>
      </c>
      <c r="C168" s="38">
        <v>13</v>
      </c>
      <c r="D168" s="38">
        <v>21</v>
      </c>
      <c r="E168" s="38">
        <v>27</v>
      </c>
      <c r="F168" s="38">
        <v>34</v>
      </c>
      <c r="G168" s="38">
        <v>43</v>
      </c>
      <c r="H168" s="38">
        <v>48</v>
      </c>
      <c r="I168" s="38">
        <v>55</v>
      </c>
      <c r="J168" s="38">
        <v>62</v>
      </c>
      <c r="K168" s="38">
        <v>69</v>
      </c>
      <c r="L168" s="38">
        <v>77</v>
      </c>
      <c r="M168" s="38">
        <v>84</v>
      </c>
      <c r="N168" s="38">
        <v>91</v>
      </c>
      <c r="O168" s="38">
        <v>98</v>
      </c>
      <c r="P168" s="38">
        <v>106</v>
      </c>
      <c r="Q168" s="38">
        <v>113</v>
      </c>
      <c r="R168" s="38">
        <v>120</v>
      </c>
      <c r="S168" s="38">
        <v>128</v>
      </c>
      <c r="T168" s="54">
        <v>135</v>
      </c>
    </row>
    <row r="169" spans="1:20" x14ac:dyDescent="0.35">
      <c r="A169">
        <f t="shared" si="12"/>
        <v>19</v>
      </c>
      <c r="B169" s="78">
        <v>7</v>
      </c>
      <c r="C169" s="38">
        <v>14</v>
      </c>
      <c r="D169" s="38">
        <v>22</v>
      </c>
      <c r="E169" s="39">
        <v>28</v>
      </c>
      <c r="F169" s="38">
        <v>36</v>
      </c>
      <c r="G169" s="38">
        <v>46</v>
      </c>
      <c r="H169" s="38">
        <v>51</v>
      </c>
      <c r="I169" s="38">
        <v>58</v>
      </c>
      <c r="J169" s="38">
        <v>66</v>
      </c>
      <c r="K169" s="39">
        <v>73</v>
      </c>
      <c r="L169" s="38">
        <v>81</v>
      </c>
      <c r="M169" s="38">
        <v>89</v>
      </c>
      <c r="N169" s="38">
        <v>97</v>
      </c>
      <c r="O169" s="38">
        <v>104</v>
      </c>
      <c r="P169" s="38">
        <v>112</v>
      </c>
      <c r="Q169" s="38">
        <v>120</v>
      </c>
      <c r="R169" s="38">
        <v>128</v>
      </c>
      <c r="S169" s="38">
        <v>135</v>
      </c>
      <c r="T169" s="109">
        <v>143</v>
      </c>
    </row>
    <row r="170" spans="1:20" x14ac:dyDescent="0.35">
      <c r="A170">
        <f t="shared" si="12"/>
        <v>20</v>
      </c>
      <c r="B170" s="55">
        <v>7</v>
      </c>
      <c r="C170" s="127">
        <v>15</v>
      </c>
      <c r="D170" s="127">
        <v>23</v>
      </c>
      <c r="E170" s="127">
        <v>30</v>
      </c>
      <c r="F170" s="127">
        <v>38</v>
      </c>
      <c r="G170" s="127">
        <v>48</v>
      </c>
      <c r="H170" s="127">
        <v>54</v>
      </c>
      <c r="I170" s="127">
        <v>62</v>
      </c>
      <c r="J170" s="127">
        <v>70</v>
      </c>
      <c r="K170" s="127">
        <v>78</v>
      </c>
      <c r="L170" s="127">
        <v>86</v>
      </c>
      <c r="M170" s="127">
        <v>94</v>
      </c>
      <c r="N170" s="127">
        <v>102</v>
      </c>
      <c r="O170" s="127">
        <v>110</v>
      </c>
      <c r="P170" s="127">
        <v>119</v>
      </c>
      <c r="Q170" s="127">
        <v>127</v>
      </c>
      <c r="R170" s="127">
        <v>135</v>
      </c>
      <c r="S170" s="127">
        <v>143</v>
      </c>
      <c r="T170" s="56">
        <v>151</v>
      </c>
    </row>
    <row r="172" spans="1:20" x14ac:dyDescent="0.35">
      <c r="A172" t="s">
        <v>197</v>
      </c>
    </row>
    <row r="174" spans="1:20" x14ac:dyDescent="0.35">
      <c r="A174" t="s">
        <v>196</v>
      </c>
    </row>
  </sheetData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12"/>
  <dimension ref="A1:H62"/>
  <sheetViews>
    <sheetView workbookViewId="0">
      <selection activeCell="K16" sqref="K16"/>
    </sheetView>
  </sheetViews>
  <sheetFormatPr defaultRowHeight="14.5" x14ac:dyDescent="0.35"/>
  <sheetData>
    <row r="1" spans="1:8" x14ac:dyDescent="0.35">
      <c r="A1" s="1" t="s">
        <v>289</v>
      </c>
    </row>
    <row r="2" spans="1:8" x14ac:dyDescent="0.35">
      <c r="A2" t="s">
        <v>84</v>
      </c>
    </row>
    <row r="4" spans="1:8" x14ac:dyDescent="0.35">
      <c r="B4" s="227" t="s">
        <v>85</v>
      </c>
      <c r="C4" s="227"/>
      <c r="D4" s="227"/>
      <c r="E4" s="227"/>
      <c r="F4" s="227"/>
      <c r="G4" s="227"/>
      <c r="H4" s="227"/>
    </row>
    <row r="5" spans="1:8" x14ac:dyDescent="0.35">
      <c r="A5" s="157" t="s">
        <v>26</v>
      </c>
      <c r="B5" s="158">
        <v>1E-3</v>
      </c>
      <c r="C5" s="158">
        <v>5.0000000000000001E-3</v>
      </c>
      <c r="D5" s="158">
        <v>0.01</v>
      </c>
      <c r="E5" s="158">
        <v>2.5000000000000001E-2</v>
      </c>
      <c r="F5" s="158">
        <v>0.05</v>
      </c>
      <c r="G5" s="175">
        <v>0.1</v>
      </c>
      <c r="H5" s="202">
        <v>0.2</v>
      </c>
    </row>
    <row r="6" spans="1:8" x14ac:dyDescent="0.35">
      <c r="A6">
        <v>5</v>
      </c>
      <c r="B6" s="12" t="e">
        <f ca="1">IF(SRINV(B$5,$A6)&lt;0,"--",SRINV(B$5,$A6))</f>
        <v>#NAME?</v>
      </c>
      <c r="C6" s="12" t="e">
        <f ca="1">IF(SRINV(C$5,$A6)&lt;0,"--",SRINV(C$5,$A6))</f>
        <v>#NAME?</v>
      </c>
      <c r="D6" s="12" t="e">
        <f ca="1">IF(SRINV(D$5,$A6)&lt;0,"--",SRINV(D$5,$A6))</f>
        <v>#NAME?</v>
      </c>
      <c r="E6" s="12" t="e">
        <f ca="1">IF(SRINV(E$5,$A6)&lt;0,"--",SRINV(E$5,$A6))</f>
        <v>#NAME?</v>
      </c>
      <c r="F6" s="12" t="e">
        <f ca="1">IF(SRINV(F$5,$A6)&lt;0,"--",SRINV(F$5,$A6))</f>
        <v>#NAME?</v>
      </c>
      <c r="G6" t="e">
        <f ca="1">IF(SRINV(G$5,$A6)&lt;0,"--",SRINV(G$5,$A6))</f>
        <v>#NAME?</v>
      </c>
      <c r="H6" t="e">
        <f ca="1">IF(SRINV(H$5,$A6)&lt;0,"--",SRINV(H$5,$A6))</f>
        <v>#NAME?</v>
      </c>
    </row>
    <row r="7" spans="1:8" x14ac:dyDescent="0.35">
      <c r="A7">
        <v>6</v>
      </c>
      <c r="B7" s="12" t="e">
        <f ca="1">IF(SRINV(B$5,$A7)&lt;0,"--",SRINV(B$5,$A7))</f>
        <v>#NAME?</v>
      </c>
      <c r="C7" s="12" t="e">
        <f ca="1">IF(SRINV(C$5,$A7)&lt;0,"--",SRINV(C$5,$A7))</f>
        <v>#NAME?</v>
      </c>
      <c r="D7" s="12" t="e">
        <f ca="1">IF(SRINV(D$5,$A7)&lt;0,"--",SRINV(D$5,$A7))</f>
        <v>#NAME?</v>
      </c>
      <c r="E7" s="12" t="e">
        <f ca="1">IF(SRINV(E$5,$A7)&lt;0,"--",SRINV(E$5,$A7))</f>
        <v>#NAME?</v>
      </c>
      <c r="F7" s="12" t="e">
        <f ca="1">IF(SRINV(F$5,$A7)&lt;0,"--",SRINV(F$5,$A7))</f>
        <v>#NAME?</v>
      </c>
      <c r="G7" t="e">
        <f ca="1">IF(SRINV(G$5,$A7)&lt;0,"--",SRINV(G$5,$A7))</f>
        <v>#NAME?</v>
      </c>
      <c r="H7" t="e">
        <f ca="1">IF(SRINV(H$5,$A7)&lt;0,"--",SRINV(H$5,$A7))</f>
        <v>#NAME?</v>
      </c>
    </row>
    <row r="8" spans="1:8" x14ac:dyDescent="0.35">
      <c r="A8">
        <v>7</v>
      </c>
      <c r="B8" s="12" t="e">
        <f ca="1">IF(SRINV(B$5,$A8)&lt;0,"--",SRINV(B$5,$A8))</f>
        <v>#NAME?</v>
      </c>
      <c r="C8" s="12" t="e">
        <f ca="1">IF(SRINV(C$5,$A8)&lt;0,"--",SRINV(C$5,$A8))</f>
        <v>#NAME?</v>
      </c>
      <c r="D8" s="12" t="e">
        <f ca="1">IF(SRINV(D$5,$A8)&lt;0,"--",SRINV(D$5,$A8))</f>
        <v>#NAME?</v>
      </c>
      <c r="E8" s="12" t="e">
        <f ca="1">IF(SRINV(E$5,$A8)&lt;0,"--",SRINV(E$5,$A8))</f>
        <v>#NAME?</v>
      </c>
      <c r="F8" s="12" t="e">
        <f ca="1">IF(SRINV(F$5,$A8)&lt;0,"--",SRINV(F$5,$A8))</f>
        <v>#NAME?</v>
      </c>
      <c r="G8" t="e">
        <f ca="1">IF(SRINV(G$5,$A8)&lt;0,"--",SRINV(G$5,$A8))</f>
        <v>#NAME?</v>
      </c>
      <c r="H8" t="e">
        <f ca="1">IF(SRINV(H$5,$A8)&lt;0,"--",SRINV(H$5,$A8))</f>
        <v>#NAME?</v>
      </c>
    </row>
    <row r="9" spans="1:8" x14ac:dyDescent="0.35">
      <c r="A9">
        <v>8</v>
      </c>
      <c r="B9" s="12" t="e">
        <f ca="1">IF(SRINV(B$5,$A9)&lt;0,"--",SRINV(B$5,$A9))</f>
        <v>#NAME?</v>
      </c>
      <c r="C9" s="12" t="e">
        <f ca="1">IF(SRINV(C$5,$A9)&lt;0,"--",SRINV(C$5,$A9))</f>
        <v>#NAME?</v>
      </c>
      <c r="D9" s="12" t="e">
        <f ca="1">IF(SRINV(D$5,$A9)&lt;0,"--",SRINV(D$5,$A9))</f>
        <v>#NAME?</v>
      </c>
      <c r="E9" s="12" t="e">
        <f ca="1">IF(SRINV(E$5,$A9)&lt;0,"--",SRINV(E$5,$A9))</f>
        <v>#NAME?</v>
      </c>
      <c r="F9" s="12" t="e">
        <f ca="1">IF(SRINV(F$5,$A9)&lt;0,"--",SRINV(F$5,$A9))</f>
        <v>#NAME?</v>
      </c>
      <c r="G9" t="e">
        <f ca="1">IF(SRINV(G$5,$A9)&lt;0,"--",SRINV(G$5,$A9))</f>
        <v>#NAME?</v>
      </c>
      <c r="H9" t="e">
        <f ca="1">IF(SRINV(H$5,$A9)&lt;0,"--",SRINV(H$5,$A9))</f>
        <v>#NAME?</v>
      </c>
    </row>
    <row r="10" spans="1:8" x14ac:dyDescent="0.35">
      <c r="A10">
        <v>9</v>
      </c>
      <c r="B10" s="12" t="e">
        <f ca="1">IF(SRINV(B$5,$A10)&lt;0,"--",SRINV(B$5,$A10))</f>
        <v>#NAME?</v>
      </c>
      <c r="C10" s="12" t="e">
        <f ca="1">IF(SRINV(C$5,$A10)&lt;0,"--",SRINV(C$5,$A10))</f>
        <v>#NAME?</v>
      </c>
      <c r="D10" s="12" t="e">
        <f ca="1">IF(SRINV(D$5,$A10)&lt;0,"--",SRINV(D$5,$A10))</f>
        <v>#NAME?</v>
      </c>
      <c r="E10" s="12" t="e">
        <f ca="1">IF(SRINV(E$5,$A10)&lt;0,"--",SRINV(E$5,$A10))</f>
        <v>#NAME?</v>
      </c>
      <c r="F10" s="12" t="e">
        <f ca="1">IF(SRINV(F$5,$A10)&lt;0,"--",SRINV(F$5,$A10))</f>
        <v>#NAME?</v>
      </c>
      <c r="G10" t="e">
        <f ca="1">IF(SRINV(G$5,$A10)&lt;0,"--",SRINV(G$5,$A10))</f>
        <v>#NAME?</v>
      </c>
      <c r="H10" t="e">
        <f ca="1">IF(SRINV(H$5,$A10)&lt;0,"--",SRINV(H$5,$A10))</f>
        <v>#NAME?</v>
      </c>
    </row>
    <row r="11" spans="1:8" x14ac:dyDescent="0.35">
      <c r="A11">
        <v>10</v>
      </c>
      <c r="B11" s="12" t="e">
        <f ca="1">IF(SRINV(B$5,$A11)&lt;0,"--",SRINV(B$5,$A11))</f>
        <v>#NAME?</v>
      </c>
      <c r="C11" s="12" t="e">
        <f ca="1">IF(SRINV(C$5,$A11)&lt;0,"--",SRINV(C$5,$A11))</f>
        <v>#NAME?</v>
      </c>
      <c r="D11" s="12" t="e">
        <f ca="1">IF(SRINV(D$5,$A11)&lt;0,"--",SRINV(D$5,$A11))</f>
        <v>#NAME?</v>
      </c>
      <c r="E11" s="12" t="e">
        <f ca="1">IF(SRINV(E$5,$A11)&lt;0,"--",SRINV(E$5,$A11))</f>
        <v>#NAME?</v>
      </c>
      <c r="F11" s="12" t="e">
        <f ca="1">IF(SRINV(F$5,$A11)&lt;0,"--",SRINV(F$5,$A11))</f>
        <v>#NAME?</v>
      </c>
      <c r="G11" t="e">
        <f ca="1">IF(SRINV(G$5,$A11)&lt;0,"--",SRINV(G$5,$A11))</f>
        <v>#NAME?</v>
      </c>
      <c r="H11" t="e">
        <f ca="1">IF(SRINV(H$5,$A11)&lt;0,"--",SRINV(H$5,$A11))</f>
        <v>#NAME?</v>
      </c>
    </row>
    <row r="12" spans="1:8" x14ac:dyDescent="0.35">
      <c r="A12">
        <v>11</v>
      </c>
      <c r="B12" t="e">
        <f ca="1">IF(SRINV(B$5,$A12)&lt;0,"--",SRINV(B$5,$A12))</f>
        <v>#NAME?</v>
      </c>
      <c r="C12" t="e">
        <f ca="1">IF(SRINV(C$5,$A12)&lt;0,"--",SRINV(C$5,$A12))</f>
        <v>#NAME?</v>
      </c>
      <c r="D12" t="e">
        <f ca="1">IF(SRINV(D$5,$A12)&lt;0,"--",SRINV(D$5,$A12))</f>
        <v>#NAME?</v>
      </c>
      <c r="E12" t="e">
        <f ca="1">IF(SRINV(E$5,$A12)&lt;0,"--",SRINV(E$5,$A12))</f>
        <v>#NAME?</v>
      </c>
      <c r="F12" t="e">
        <f ca="1">IF(SRINV(F$5,$A12)&lt;0,"--",SRINV(F$5,$A12))</f>
        <v>#NAME?</v>
      </c>
      <c r="G12" t="e">
        <f ca="1">IF(SRINV(G$5,$A12)&lt;0,"--",SRINV(G$5,$A12))</f>
        <v>#NAME?</v>
      </c>
      <c r="H12" t="e">
        <f ca="1">IF(SRINV(H$5,$A12)&lt;0,"--",SRINV(H$5,$A12))</f>
        <v>#NAME?</v>
      </c>
    </row>
    <row r="13" spans="1:8" x14ac:dyDescent="0.35">
      <c r="A13">
        <v>12</v>
      </c>
      <c r="B13" t="e">
        <f ca="1">IF(SRINV(B$5,$A13)&lt;0,"--",SRINV(B$5,$A13))</f>
        <v>#NAME?</v>
      </c>
      <c r="C13" t="e">
        <f ca="1">IF(SRINV(C$5,$A13)&lt;0,"--",SRINV(C$5,$A13))</f>
        <v>#NAME?</v>
      </c>
      <c r="D13" t="e">
        <f ca="1">IF(SRINV(D$5,$A13)&lt;0,"--",SRINV(D$5,$A13))</f>
        <v>#NAME?</v>
      </c>
      <c r="E13" t="e">
        <f ca="1">IF(SRINV(E$5,$A13)&lt;0,"--",SRINV(E$5,$A13))</f>
        <v>#NAME?</v>
      </c>
      <c r="F13" t="e">
        <f ca="1">IF(SRINV(F$5,$A13)&lt;0,"--",SRINV(F$5,$A13))</f>
        <v>#NAME?</v>
      </c>
      <c r="G13" t="e">
        <f ca="1">IF(SRINV(G$5,$A13)&lt;0,"--",SRINV(G$5,$A13))</f>
        <v>#NAME?</v>
      </c>
      <c r="H13" t="e">
        <f ca="1">IF(SRINV(H$5,$A13)&lt;0,"--",SRINV(H$5,$A13))</f>
        <v>#NAME?</v>
      </c>
    </row>
    <row r="14" spans="1:8" x14ac:dyDescent="0.35">
      <c r="A14">
        <v>13</v>
      </c>
      <c r="B14" t="e">
        <f ca="1">IF(SRINV(B$5,$A14)&lt;0,"--",SRINV(B$5,$A14))</f>
        <v>#NAME?</v>
      </c>
      <c r="C14" t="e">
        <f ca="1">IF(SRINV(C$5,$A14)&lt;0,"--",SRINV(C$5,$A14))</f>
        <v>#NAME?</v>
      </c>
      <c r="D14" t="e">
        <f ca="1">IF(SRINV(D$5,$A14)&lt;0,"--",SRINV(D$5,$A14))</f>
        <v>#NAME?</v>
      </c>
      <c r="E14" t="e">
        <f ca="1">IF(SRINV(E$5,$A14)&lt;0,"--",SRINV(E$5,$A14))</f>
        <v>#NAME?</v>
      </c>
      <c r="F14" t="e">
        <f ca="1">IF(SRINV(F$5,$A14)&lt;0,"--",SRINV(F$5,$A14))</f>
        <v>#NAME?</v>
      </c>
      <c r="G14" t="e">
        <f ca="1">IF(SRINV(G$5,$A14)&lt;0,"--",SRINV(G$5,$A14))</f>
        <v>#NAME?</v>
      </c>
      <c r="H14" t="e">
        <f ca="1">IF(SRINV(H$5,$A14)&lt;0,"--",SRINV(H$5,$A14))</f>
        <v>#NAME?</v>
      </c>
    </row>
    <row r="15" spans="1:8" x14ac:dyDescent="0.35">
      <c r="A15">
        <v>14</v>
      </c>
      <c r="B15" t="e">
        <f ca="1">IF(SRINV(B$5,$A15)&lt;0,"--",SRINV(B$5,$A15))</f>
        <v>#NAME?</v>
      </c>
      <c r="C15" t="e">
        <f ca="1">IF(SRINV(C$5,$A15)&lt;0,"--",SRINV(C$5,$A15))</f>
        <v>#NAME?</v>
      </c>
      <c r="D15" t="e">
        <f ca="1">IF(SRINV(D$5,$A15)&lt;0,"--",SRINV(D$5,$A15))</f>
        <v>#NAME?</v>
      </c>
      <c r="E15" t="e">
        <f ca="1">IF(SRINV(E$5,$A15)&lt;0,"--",SRINV(E$5,$A15))</f>
        <v>#NAME?</v>
      </c>
      <c r="F15" t="e">
        <f ca="1">IF(SRINV(F$5,$A15)&lt;0,"--",SRINV(F$5,$A15))</f>
        <v>#NAME?</v>
      </c>
      <c r="G15" t="e">
        <f ca="1">IF(SRINV(G$5,$A15)&lt;0,"--",SRINV(G$5,$A15))</f>
        <v>#NAME?</v>
      </c>
      <c r="H15" t="e">
        <f ca="1">IF(SRINV(H$5,$A15)&lt;0,"--",SRINV(H$5,$A15))</f>
        <v>#NAME?</v>
      </c>
    </row>
    <row r="16" spans="1:8" x14ac:dyDescent="0.35">
      <c r="A16">
        <v>15</v>
      </c>
      <c r="B16" t="e">
        <f ca="1">IF(SRINV(B$5,$A16)&lt;0,"--",SRINV(B$5,$A16))</f>
        <v>#NAME?</v>
      </c>
      <c r="C16" t="e">
        <f ca="1">IF(SRINV(C$5,$A16)&lt;0,"--",SRINV(C$5,$A16))</f>
        <v>#NAME?</v>
      </c>
      <c r="D16" t="e">
        <f ca="1">IF(SRINV(D$5,$A16)&lt;0,"--",SRINV(D$5,$A16))</f>
        <v>#NAME?</v>
      </c>
      <c r="E16" t="e">
        <f ca="1">IF(SRINV(E$5,$A16)&lt;0,"--",SRINV(E$5,$A16))</f>
        <v>#NAME?</v>
      </c>
      <c r="F16" t="e">
        <f ca="1">IF(SRINV(F$5,$A16)&lt;0,"--",SRINV(F$5,$A16))</f>
        <v>#NAME?</v>
      </c>
      <c r="G16" t="e">
        <f ca="1">IF(SRINV(G$5,$A16)&lt;0,"--",SRINV(G$5,$A16))</f>
        <v>#NAME?</v>
      </c>
      <c r="H16" t="e">
        <f ca="1">IF(SRINV(H$5,$A16)&lt;0,"--",SRINV(H$5,$A16))</f>
        <v>#NAME?</v>
      </c>
    </row>
    <row r="17" spans="1:8" x14ac:dyDescent="0.35">
      <c r="A17">
        <v>16</v>
      </c>
      <c r="B17" t="e">
        <f ca="1">IF(SRINV(B$5,$A17)&lt;0,"--",SRINV(B$5,$A17))</f>
        <v>#NAME?</v>
      </c>
      <c r="C17" t="e">
        <f ca="1">IF(SRINV(C$5,$A17)&lt;0,"--",SRINV(C$5,$A17))</f>
        <v>#NAME?</v>
      </c>
      <c r="D17" t="e">
        <f ca="1">IF(SRINV(D$5,$A17)&lt;0,"--",SRINV(D$5,$A17))</f>
        <v>#NAME?</v>
      </c>
      <c r="E17" t="e">
        <f ca="1">IF(SRINV(E$5,$A17)&lt;0,"--",SRINV(E$5,$A17))</f>
        <v>#NAME?</v>
      </c>
      <c r="F17" t="e">
        <f ca="1">IF(SRINV(F$5,$A17)&lt;0,"--",SRINV(F$5,$A17))</f>
        <v>#NAME?</v>
      </c>
      <c r="G17" t="e">
        <f ca="1">IF(SRINV(G$5,$A17)&lt;0,"--",SRINV(G$5,$A17))</f>
        <v>#NAME?</v>
      </c>
      <c r="H17" t="e">
        <f ca="1">IF(SRINV(H$5,$A17)&lt;0,"--",SRINV(H$5,$A17))</f>
        <v>#NAME?</v>
      </c>
    </row>
    <row r="18" spans="1:8" x14ac:dyDescent="0.35">
      <c r="A18">
        <v>17</v>
      </c>
      <c r="B18" t="e">
        <f ca="1">IF(SRINV(B$5,$A18)&lt;0,"--",SRINV(B$5,$A18))</f>
        <v>#NAME?</v>
      </c>
      <c r="C18" t="e">
        <f ca="1">IF(SRINV(C$5,$A18)&lt;0,"--",SRINV(C$5,$A18))</f>
        <v>#NAME?</v>
      </c>
      <c r="D18" t="e">
        <f ca="1">IF(SRINV(D$5,$A18)&lt;0,"--",SRINV(D$5,$A18))</f>
        <v>#NAME?</v>
      </c>
      <c r="E18" t="e">
        <f ca="1">IF(SRINV(E$5,$A18)&lt;0,"--",SRINV(E$5,$A18))</f>
        <v>#NAME?</v>
      </c>
      <c r="F18" t="e">
        <f ca="1">IF(SRINV(F$5,$A18)&lt;0,"--",SRINV(F$5,$A18))</f>
        <v>#NAME?</v>
      </c>
      <c r="G18" t="e">
        <f ca="1">IF(SRINV(G$5,$A18)&lt;0,"--",SRINV(G$5,$A18))</f>
        <v>#NAME?</v>
      </c>
      <c r="H18" t="e">
        <f ca="1">IF(SRINV(H$5,$A18)&lt;0,"--",SRINV(H$5,$A18))</f>
        <v>#NAME?</v>
      </c>
    </row>
    <row r="19" spans="1:8" x14ac:dyDescent="0.35">
      <c r="A19">
        <v>18</v>
      </c>
      <c r="B19" t="e">
        <f ca="1">IF(SRINV(B$5,$A19)&lt;0,"--",SRINV(B$5,$A19))</f>
        <v>#NAME?</v>
      </c>
      <c r="C19" t="e">
        <f ca="1">IF(SRINV(C$5,$A19)&lt;0,"--",SRINV(C$5,$A19))</f>
        <v>#NAME?</v>
      </c>
      <c r="D19" t="e">
        <f ca="1">IF(SRINV(D$5,$A19)&lt;0,"--",SRINV(D$5,$A19))</f>
        <v>#NAME?</v>
      </c>
      <c r="E19" t="e">
        <f ca="1">IF(SRINV(E$5,$A19)&lt;0,"--",SRINV(E$5,$A19))</f>
        <v>#NAME?</v>
      </c>
      <c r="F19" t="e">
        <f ca="1">IF(SRINV(F$5,$A19)&lt;0,"--",SRINV(F$5,$A19))</f>
        <v>#NAME?</v>
      </c>
      <c r="G19" t="e">
        <f ca="1">IF(SRINV(G$5,$A19)&lt;0,"--",SRINV(G$5,$A19))</f>
        <v>#NAME?</v>
      </c>
      <c r="H19" t="e">
        <f ca="1">IF(SRINV(H$5,$A19)&lt;0,"--",SRINV(H$5,$A19))</f>
        <v>#NAME?</v>
      </c>
    </row>
    <row r="20" spans="1:8" x14ac:dyDescent="0.35">
      <c r="A20">
        <v>19</v>
      </c>
      <c r="B20" t="e">
        <f ca="1">IF(SRINV(B$5,$A20)&lt;0,"--",SRINV(B$5,$A20))</f>
        <v>#NAME?</v>
      </c>
      <c r="C20" t="e">
        <f ca="1">IF(SRINV(C$5,$A20)&lt;0,"--",SRINV(C$5,$A20))</f>
        <v>#NAME?</v>
      </c>
      <c r="D20" t="e">
        <f ca="1">IF(SRINV(D$5,$A20)&lt;0,"--",SRINV(D$5,$A20))</f>
        <v>#NAME?</v>
      </c>
      <c r="E20" t="e">
        <f ca="1">IF(SRINV(E$5,$A20)&lt;0,"--",SRINV(E$5,$A20))</f>
        <v>#NAME?</v>
      </c>
      <c r="F20" t="e">
        <f ca="1">IF(SRINV(F$5,$A20)&lt;0,"--",SRINV(F$5,$A20))</f>
        <v>#NAME?</v>
      </c>
      <c r="G20" t="e">
        <f ca="1">IF(SRINV(G$5,$A20)&lt;0,"--",SRINV(G$5,$A20))</f>
        <v>#NAME?</v>
      </c>
      <c r="H20" t="e">
        <f ca="1">IF(SRINV(H$5,$A20)&lt;0,"--",SRINV(H$5,$A20))</f>
        <v>#NAME?</v>
      </c>
    </row>
    <row r="21" spans="1:8" x14ac:dyDescent="0.35">
      <c r="A21">
        <v>20</v>
      </c>
      <c r="B21" t="e">
        <f ca="1">IF(SRINV(B$5,$A21)&lt;0,"--",SRINV(B$5,$A21))</f>
        <v>#NAME?</v>
      </c>
      <c r="C21" t="e">
        <f ca="1">IF(SRINV(C$5,$A21)&lt;0,"--",SRINV(C$5,$A21))</f>
        <v>#NAME?</v>
      </c>
      <c r="D21" t="e">
        <f ca="1">IF(SRINV(D$5,$A21)&lt;0,"--",SRINV(D$5,$A21))</f>
        <v>#NAME?</v>
      </c>
      <c r="E21" t="e">
        <f ca="1">IF(SRINV(E$5,$A21)&lt;0,"--",SRINV(E$5,$A21))</f>
        <v>#NAME?</v>
      </c>
      <c r="F21" t="e">
        <f ca="1">IF(SRINV(F$5,$A21)&lt;0,"--",SRINV(F$5,$A21))</f>
        <v>#NAME?</v>
      </c>
      <c r="G21" t="e">
        <f ca="1">IF(SRINV(G$5,$A21)&lt;0,"--",SRINV(G$5,$A21))</f>
        <v>#NAME?</v>
      </c>
      <c r="H21" t="e">
        <f ca="1">IF(SRINV(H$5,$A21)&lt;0,"--",SRINV(H$5,$A21))</f>
        <v>#NAME?</v>
      </c>
    </row>
    <row r="22" spans="1:8" x14ac:dyDescent="0.35">
      <c r="A22">
        <v>21</v>
      </c>
      <c r="B22" t="e">
        <f ca="1">IF(SRINV(B$5,$A22)&lt;0,"--",SRINV(B$5,$A22))</f>
        <v>#NAME?</v>
      </c>
      <c r="C22" t="e">
        <f ca="1">IF(SRINV(C$5,$A22)&lt;0,"--",SRINV(C$5,$A22))</f>
        <v>#NAME?</v>
      </c>
      <c r="D22" t="e">
        <f ca="1">IF(SRINV(D$5,$A22)&lt;0,"--",SRINV(D$5,$A22))</f>
        <v>#NAME?</v>
      </c>
      <c r="E22" t="e">
        <f ca="1">IF(SRINV(E$5,$A22)&lt;0,"--",SRINV(E$5,$A22))</f>
        <v>#NAME?</v>
      </c>
      <c r="F22" t="e">
        <f ca="1">IF(SRINV(F$5,$A22)&lt;0,"--",SRINV(F$5,$A22))</f>
        <v>#NAME?</v>
      </c>
      <c r="G22" t="e">
        <f ca="1">IF(SRINV(G$5,$A22)&lt;0,"--",SRINV(G$5,$A22))</f>
        <v>#NAME?</v>
      </c>
      <c r="H22" t="e">
        <f ca="1">IF(SRINV(H$5,$A22)&lt;0,"--",SRINV(H$5,$A22))</f>
        <v>#NAME?</v>
      </c>
    </row>
    <row r="23" spans="1:8" x14ac:dyDescent="0.35">
      <c r="A23">
        <v>22</v>
      </c>
      <c r="B23" t="e">
        <f ca="1">IF(SRINV(B$5,$A23)&lt;0,"--",SRINV(B$5,$A23))</f>
        <v>#NAME?</v>
      </c>
      <c r="C23" t="e">
        <f ca="1">IF(SRINV(C$5,$A23)&lt;0,"--",SRINV(C$5,$A23))</f>
        <v>#NAME?</v>
      </c>
      <c r="D23" t="e">
        <f ca="1">IF(SRINV(D$5,$A23)&lt;0,"--",SRINV(D$5,$A23))</f>
        <v>#NAME?</v>
      </c>
      <c r="E23" t="e">
        <f ca="1">IF(SRINV(E$5,$A23)&lt;0,"--",SRINV(E$5,$A23))</f>
        <v>#NAME?</v>
      </c>
      <c r="F23" t="e">
        <f ca="1">IF(SRINV(F$5,$A23)&lt;0,"--",SRINV(F$5,$A23))</f>
        <v>#NAME?</v>
      </c>
      <c r="G23" t="e">
        <f ca="1">IF(SRINV(G$5,$A23)&lt;0,"--",SRINV(G$5,$A23))</f>
        <v>#NAME?</v>
      </c>
      <c r="H23" t="e">
        <f ca="1">IF(SRINV(H$5,$A23)&lt;0,"--",SRINV(H$5,$A23))</f>
        <v>#NAME?</v>
      </c>
    </row>
    <row r="24" spans="1:8" x14ac:dyDescent="0.35">
      <c r="A24">
        <v>23</v>
      </c>
      <c r="B24" t="e">
        <f ca="1">IF(SRINV(B$5,$A24)&lt;0,"--",SRINV(B$5,$A24))</f>
        <v>#NAME?</v>
      </c>
      <c r="C24" t="e">
        <f ca="1">IF(SRINV(C$5,$A24)&lt;0,"--",SRINV(C$5,$A24))</f>
        <v>#NAME?</v>
      </c>
      <c r="D24" t="e">
        <f ca="1">IF(SRINV(D$5,$A24)&lt;0,"--",SRINV(D$5,$A24))</f>
        <v>#NAME?</v>
      </c>
      <c r="E24" t="e">
        <f ca="1">IF(SRINV(E$5,$A24)&lt;0,"--",SRINV(E$5,$A24))</f>
        <v>#NAME?</v>
      </c>
      <c r="F24" t="e">
        <f ca="1">IF(SRINV(F$5,$A24)&lt;0,"--",SRINV(F$5,$A24))</f>
        <v>#NAME?</v>
      </c>
      <c r="G24" t="e">
        <f ca="1">IF(SRINV(G$5,$A24)&lt;0,"--",SRINV(G$5,$A24))</f>
        <v>#NAME?</v>
      </c>
      <c r="H24" t="e">
        <f ca="1">IF(SRINV(H$5,$A24)&lt;0,"--",SRINV(H$5,$A24))</f>
        <v>#NAME?</v>
      </c>
    </row>
    <row r="25" spans="1:8" x14ac:dyDescent="0.35">
      <c r="A25">
        <v>24</v>
      </c>
      <c r="B25" t="e">
        <f ca="1">IF(SRINV(B$5,$A25)&lt;0,"--",SRINV(B$5,$A25))</f>
        <v>#NAME?</v>
      </c>
      <c r="C25" t="e">
        <f ca="1">IF(SRINV(C$5,$A25)&lt;0,"--",SRINV(C$5,$A25))</f>
        <v>#NAME?</v>
      </c>
      <c r="D25" t="e">
        <f ca="1">IF(SRINV(D$5,$A25)&lt;0,"--",SRINV(D$5,$A25))</f>
        <v>#NAME?</v>
      </c>
      <c r="E25" t="e">
        <f ca="1">IF(SRINV(E$5,$A25)&lt;0,"--",SRINV(E$5,$A25))</f>
        <v>#NAME?</v>
      </c>
      <c r="F25" t="e">
        <f ca="1">IF(SRINV(F$5,$A25)&lt;0,"--",SRINV(F$5,$A25))</f>
        <v>#NAME?</v>
      </c>
      <c r="G25" t="e">
        <f ca="1">IF(SRINV(G$5,$A25)&lt;0,"--",SRINV(G$5,$A25))</f>
        <v>#NAME?</v>
      </c>
      <c r="H25" t="e">
        <f ca="1">IF(SRINV(H$5,$A25)&lt;0,"--",SRINV(H$5,$A25))</f>
        <v>#NAME?</v>
      </c>
    </row>
    <row r="26" spans="1:8" x14ac:dyDescent="0.35">
      <c r="A26">
        <v>25</v>
      </c>
      <c r="B26" t="e">
        <f ca="1">IF(SRINV(B$5,$A26)&lt;0,"--",SRINV(B$5,$A26))</f>
        <v>#NAME?</v>
      </c>
      <c r="C26" t="e">
        <f ca="1">IF(SRINV(C$5,$A26)&lt;0,"--",SRINV(C$5,$A26))</f>
        <v>#NAME?</v>
      </c>
      <c r="D26" t="e">
        <f ca="1">IF(SRINV(D$5,$A26)&lt;0,"--",SRINV(D$5,$A26))</f>
        <v>#NAME?</v>
      </c>
      <c r="E26" t="e">
        <f ca="1">IF(SRINV(E$5,$A26)&lt;0,"--",SRINV(E$5,$A26))</f>
        <v>#NAME?</v>
      </c>
      <c r="F26" t="e">
        <f ca="1">IF(SRINV(F$5,$A26)&lt;0,"--",SRINV(F$5,$A26))</f>
        <v>#NAME?</v>
      </c>
      <c r="G26" t="e">
        <f ca="1">IF(SRINV(G$5,$A26)&lt;0,"--",SRINV(G$5,$A26))</f>
        <v>#NAME?</v>
      </c>
      <c r="H26" t="e">
        <f ca="1">IF(SRINV(H$5,$A26)&lt;0,"--",SRINV(H$5,$A26))</f>
        <v>#NAME?</v>
      </c>
    </row>
    <row r="27" spans="1:8" x14ac:dyDescent="0.35">
      <c r="A27">
        <v>26</v>
      </c>
      <c r="B27" t="e">
        <f ca="1">IF(SRINV(B$5,$A27)&lt;0,"--",SRINV(B$5,$A27))</f>
        <v>#NAME?</v>
      </c>
      <c r="C27" t="e">
        <f ca="1">IF(SRINV(C$5,$A27)&lt;0,"--",SRINV(C$5,$A27))</f>
        <v>#NAME?</v>
      </c>
      <c r="D27" t="e">
        <f ca="1">IF(SRINV(D$5,$A27)&lt;0,"--",SRINV(D$5,$A27))</f>
        <v>#NAME?</v>
      </c>
      <c r="E27" t="e">
        <f ca="1">IF(SRINV(E$5,$A27)&lt;0,"--",SRINV(E$5,$A27))</f>
        <v>#NAME?</v>
      </c>
      <c r="F27" t="e">
        <f ca="1">IF(SRINV(F$5,$A27)&lt;0,"--",SRINV(F$5,$A27))</f>
        <v>#NAME?</v>
      </c>
      <c r="G27" t="e">
        <f ca="1">IF(SRINV(G$5,$A27)&lt;0,"--",SRINV(G$5,$A27))</f>
        <v>#NAME?</v>
      </c>
      <c r="H27" t="e">
        <f ca="1">IF(SRINV(H$5,$A27)&lt;0,"--",SRINV(H$5,$A27))</f>
        <v>#NAME?</v>
      </c>
    </row>
    <row r="28" spans="1:8" x14ac:dyDescent="0.35">
      <c r="A28">
        <v>27</v>
      </c>
      <c r="B28" t="e">
        <f ca="1">IF(SRINV(B$5,$A28)&lt;0,"--",SRINV(B$5,$A28))</f>
        <v>#NAME?</v>
      </c>
      <c r="C28" t="e">
        <f ca="1">IF(SRINV(C$5,$A28)&lt;0,"--",SRINV(C$5,$A28))</f>
        <v>#NAME?</v>
      </c>
      <c r="D28" t="e">
        <f ca="1">IF(SRINV(D$5,$A28)&lt;0,"--",SRINV(D$5,$A28))</f>
        <v>#NAME?</v>
      </c>
      <c r="E28" t="e">
        <f ca="1">IF(SRINV(E$5,$A28)&lt;0,"--",SRINV(E$5,$A28))</f>
        <v>#NAME?</v>
      </c>
      <c r="F28" t="e">
        <f ca="1">IF(SRINV(F$5,$A28)&lt;0,"--",SRINV(F$5,$A28))</f>
        <v>#NAME?</v>
      </c>
      <c r="G28" t="e">
        <f ca="1">IF(SRINV(G$5,$A28)&lt;0,"--",SRINV(G$5,$A28))</f>
        <v>#NAME?</v>
      </c>
      <c r="H28" t="e">
        <f ca="1">IF(SRINV(H$5,$A28)&lt;0,"--",SRINV(H$5,$A28))</f>
        <v>#NAME?</v>
      </c>
    </row>
    <row r="29" spans="1:8" x14ac:dyDescent="0.35">
      <c r="A29">
        <v>28</v>
      </c>
      <c r="B29" t="e">
        <f ca="1">IF(SRINV(B$5,$A29)&lt;0,"--",SRINV(B$5,$A29))</f>
        <v>#NAME?</v>
      </c>
      <c r="C29" t="e">
        <f ca="1">IF(SRINV(C$5,$A29)&lt;0,"--",SRINV(C$5,$A29))</f>
        <v>#NAME?</v>
      </c>
      <c r="D29" t="e">
        <f ca="1">IF(SRINV(D$5,$A29)&lt;0,"--",SRINV(D$5,$A29))</f>
        <v>#NAME?</v>
      </c>
      <c r="E29" t="e">
        <f ca="1">IF(SRINV(E$5,$A29)&lt;0,"--",SRINV(E$5,$A29))</f>
        <v>#NAME?</v>
      </c>
      <c r="F29" t="e">
        <f ca="1">IF(SRINV(F$5,$A29)&lt;0,"--",SRINV(F$5,$A29))</f>
        <v>#NAME?</v>
      </c>
      <c r="G29" t="e">
        <f ca="1">IF(SRINV(G$5,$A29)&lt;0,"--",SRINV(G$5,$A29))</f>
        <v>#NAME?</v>
      </c>
      <c r="H29" t="e">
        <f ca="1">IF(SRINV(H$5,$A29)&lt;0,"--",SRINV(H$5,$A29))</f>
        <v>#NAME?</v>
      </c>
    </row>
    <row r="30" spans="1:8" x14ac:dyDescent="0.35">
      <c r="A30" s="23">
        <v>29</v>
      </c>
      <c r="B30" t="e">
        <f ca="1">IF(SRINV(B$5,$A30)&lt;0,"--",SRINV(B$5,$A30))</f>
        <v>#NAME?</v>
      </c>
      <c r="C30" t="e">
        <f ca="1">IF(SRINV(C$5,$A30)&lt;0,"--",SRINV(C$5,$A30))</f>
        <v>#NAME?</v>
      </c>
      <c r="D30" t="e">
        <f ca="1">IF(SRINV(D$5,$A30)&lt;0,"--",SRINV(D$5,$A30))</f>
        <v>#NAME?</v>
      </c>
      <c r="E30" t="e">
        <f ca="1">IF(SRINV(E$5,$A30)&lt;0,"--",SRINV(E$5,$A30))</f>
        <v>#NAME?</v>
      </c>
      <c r="F30" t="e">
        <f ca="1">IF(SRINV(F$5,$A30)&lt;0,"--",SRINV(F$5,$A30))</f>
        <v>#NAME?</v>
      </c>
      <c r="G30" t="e">
        <f ca="1">IF(SRINV(G$5,$A30)&lt;0,"--",SRINV(G$5,$A30))</f>
        <v>#NAME?</v>
      </c>
      <c r="H30" t="e">
        <f ca="1">IF(SRINV(H$5,$A30)&lt;0,"--",SRINV(H$5,$A30))</f>
        <v>#NAME?</v>
      </c>
    </row>
    <row r="31" spans="1:8" x14ac:dyDescent="0.35">
      <c r="A31">
        <v>30</v>
      </c>
      <c r="B31" t="e">
        <f ca="1">IF(SRINV(B$5,$A31)&lt;0,"--",SRINV(B$5,$A31))</f>
        <v>#NAME?</v>
      </c>
      <c r="C31" t="e">
        <f ca="1">IF(SRINV(C$5,$A31)&lt;0,"--",SRINV(C$5,$A31))</f>
        <v>#NAME?</v>
      </c>
      <c r="D31" t="e">
        <f ca="1">IF(SRINV(D$5,$A31)&lt;0,"--",SRINV(D$5,$A31))</f>
        <v>#NAME?</v>
      </c>
      <c r="E31" t="e">
        <f ca="1">IF(SRINV(E$5,$A31)&lt;0,"--",SRINV(E$5,$A31))</f>
        <v>#NAME?</v>
      </c>
      <c r="F31" t="e">
        <f ca="1">IF(SRINV(F$5,$A31)&lt;0,"--",SRINV(F$5,$A31))</f>
        <v>#NAME?</v>
      </c>
      <c r="G31" t="e">
        <f ca="1">IF(SRINV(G$5,$A31)&lt;0,"--",SRINV(G$5,$A31))</f>
        <v>#NAME?</v>
      </c>
      <c r="H31" t="e">
        <f ca="1">IF(SRINV(H$5,$A31)&lt;0,"--",SRINV(H$5,$A31))</f>
        <v>#NAME?</v>
      </c>
    </row>
    <row r="32" spans="1:8" x14ac:dyDescent="0.35">
      <c r="A32">
        <v>31</v>
      </c>
      <c r="B32" t="e">
        <f ca="1">IF(SRINV(B$5,$A32)&lt;0,"--",SRINV(B$5,$A32))</f>
        <v>#NAME?</v>
      </c>
      <c r="C32" t="e">
        <f ca="1">IF(SRINV(C$5,$A32)&lt;0,"--",SRINV(C$5,$A32))</f>
        <v>#NAME?</v>
      </c>
      <c r="D32" t="e">
        <f ca="1">IF(SRINV(D$5,$A32)&lt;0,"--",SRINV(D$5,$A32))</f>
        <v>#NAME?</v>
      </c>
      <c r="E32" t="e">
        <f ca="1">IF(SRINV(E$5,$A32)&lt;0,"--",SRINV(E$5,$A32))</f>
        <v>#NAME?</v>
      </c>
      <c r="F32" t="e">
        <f ca="1">IF(SRINV(F$5,$A32)&lt;0,"--",SRINV(F$5,$A32))</f>
        <v>#NAME?</v>
      </c>
      <c r="G32" t="e">
        <f ca="1">IF(SRINV(G$5,$A32)&lt;0,"--",SRINV(G$5,$A32))</f>
        <v>#NAME?</v>
      </c>
      <c r="H32" t="e">
        <f ca="1">IF(SRINV(H$5,$A32)&lt;0,"--",SRINV(H$5,$A32))</f>
        <v>#NAME?</v>
      </c>
    </row>
    <row r="33" spans="1:8" x14ac:dyDescent="0.35">
      <c r="A33">
        <v>32</v>
      </c>
      <c r="B33" t="e">
        <f ca="1">IF(SRINV(B$5,$A33)&lt;0,"--",SRINV(B$5,$A33))</f>
        <v>#NAME?</v>
      </c>
      <c r="C33" t="e">
        <f ca="1">IF(SRINV(C$5,$A33)&lt;0,"--",SRINV(C$5,$A33))</f>
        <v>#NAME?</v>
      </c>
      <c r="D33" t="e">
        <f ca="1">IF(SRINV(D$5,$A33)&lt;0,"--",SRINV(D$5,$A33))</f>
        <v>#NAME?</v>
      </c>
      <c r="E33" t="e">
        <f ca="1">IF(SRINV(E$5,$A33)&lt;0,"--",SRINV(E$5,$A33))</f>
        <v>#NAME?</v>
      </c>
      <c r="F33" t="e">
        <f ca="1">IF(SRINV(F$5,$A33)&lt;0,"--",SRINV(F$5,$A33))</f>
        <v>#NAME?</v>
      </c>
      <c r="G33" t="e">
        <f ca="1">IF(SRINV(G$5,$A33)&lt;0,"--",SRINV(G$5,$A33))</f>
        <v>#NAME?</v>
      </c>
      <c r="H33" t="e">
        <f ca="1">IF(SRINV(H$5,$A33)&lt;0,"--",SRINV(H$5,$A33))</f>
        <v>#NAME?</v>
      </c>
    </row>
    <row r="34" spans="1:8" x14ac:dyDescent="0.35">
      <c r="A34">
        <v>33</v>
      </c>
      <c r="B34" t="e">
        <f ca="1">IF(SRINV(B$5,$A34)&lt;0,"--",SRINV(B$5,$A34))</f>
        <v>#NAME?</v>
      </c>
      <c r="C34" t="e">
        <f ca="1">IF(SRINV(C$5,$A34)&lt;0,"--",SRINV(C$5,$A34))</f>
        <v>#NAME?</v>
      </c>
      <c r="D34" t="e">
        <f ca="1">IF(SRINV(D$5,$A34)&lt;0,"--",SRINV(D$5,$A34))</f>
        <v>#NAME?</v>
      </c>
      <c r="E34" t="e">
        <f ca="1">IF(SRINV(E$5,$A34)&lt;0,"--",SRINV(E$5,$A34))</f>
        <v>#NAME?</v>
      </c>
      <c r="F34" t="e">
        <f ca="1">IF(SRINV(F$5,$A34)&lt;0,"--",SRINV(F$5,$A34))</f>
        <v>#NAME?</v>
      </c>
      <c r="G34" t="e">
        <f ca="1">IF(SRINV(G$5,$A34)&lt;0,"--",SRINV(G$5,$A34))</f>
        <v>#NAME?</v>
      </c>
      <c r="H34" t="e">
        <f ca="1">IF(SRINV(H$5,$A34)&lt;0,"--",SRINV(H$5,$A34))</f>
        <v>#NAME?</v>
      </c>
    </row>
    <row r="35" spans="1:8" x14ac:dyDescent="0.35">
      <c r="A35">
        <v>34</v>
      </c>
      <c r="B35" t="e">
        <f ca="1">IF(SRINV(B$5,$A35)&lt;0,"--",SRINV(B$5,$A35))</f>
        <v>#NAME?</v>
      </c>
      <c r="C35" t="e">
        <f ca="1">IF(SRINV(C$5,$A35)&lt;0,"--",SRINV(C$5,$A35))</f>
        <v>#NAME?</v>
      </c>
      <c r="D35" t="e">
        <f ca="1">IF(SRINV(D$5,$A35)&lt;0,"--",SRINV(D$5,$A35))</f>
        <v>#NAME?</v>
      </c>
      <c r="E35" t="e">
        <f ca="1">IF(SRINV(E$5,$A35)&lt;0,"--",SRINV(E$5,$A35))</f>
        <v>#NAME?</v>
      </c>
      <c r="F35" t="e">
        <f ca="1">IF(SRINV(F$5,$A35)&lt;0,"--",SRINV(F$5,$A35))</f>
        <v>#NAME?</v>
      </c>
      <c r="G35" t="e">
        <f ca="1">IF(SRINV(G$5,$A35)&lt;0,"--",SRINV(G$5,$A35))</f>
        <v>#NAME?</v>
      </c>
      <c r="H35" t="e">
        <f ca="1">IF(SRINV(H$5,$A35)&lt;0,"--",SRINV(H$5,$A35))</f>
        <v>#NAME?</v>
      </c>
    </row>
    <row r="36" spans="1:8" x14ac:dyDescent="0.35">
      <c r="A36">
        <v>35</v>
      </c>
      <c r="B36" t="e">
        <f ca="1">IF(SRINV(B$5,$A36)&lt;0,"--",SRINV(B$5,$A36))</f>
        <v>#NAME?</v>
      </c>
      <c r="C36" t="e">
        <f ca="1">IF(SRINV(C$5,$A36)&lt;0,"--",SRINV(C$5,$A36))</f>
        <v>#NAME?</v>
      </c>
      <c r="D36" t="e">
        <f ca="1">IF(SRINV(D$5,$A36)&lt;0,"--",SRINV(D$5,$A36))</f>
        <v>#NAME?</v>
      </c>
      <c r="E36" t="e">
        <f ca="1">IF(SRINV(E$5,$A36)&lt;0,"--",SRINV(E$5,$A36))</f>
        <v>#NAME?</v>
      </c>
      <c r="F36" t="e">
        <f ca="1">IF(SRINV(F$5,$A36)&lt;0,"--",SRINV(F$5,$A36))</f>
        <v>#NAME?</v>
      </c>
      <c r="G36" t="e">
        <f ca="1">IF(SRINV(G$5,$A36)&lt;0,"--",SRINV(G$5,$A36))</f>
        <v>#NAME?</v>
      </c>
      <c r="H36" t="e">
        <f ca="1">IF(SRINV(H$5,$A36)&lt;0,"--",SRINV(H$5,$A36))</f>
        <v>#NAME?</v>
      </c>
    </row>
    <row r="37" spans="1:8" x14ac:dyDescent="0.35">
      <c r="A37">
        <v>36</v>
      </c>
      <c r="B37" t="e">
        <f ca="1">IF(SRINV(B$5,$A37)&lt;0,"--",SRINV(B$5,$A37))</f>
        <v>#NAME?</v>
      </c>
      <c r="C37" t="e">
        <f ca="1">IF(SRINV(C$5,$A37)&lt;0,"--",SRINV(C$5,$A37))</f>
        <v>#NAME?</v>
      </c>
      <c r="D37" t="e">
        <f ca="1">IF(SRINV(D$5,$A37)&lt;0,"--",SRINV(D$5,$A37))</f>
        <v>#NAME?</v>
      </c>
      <c r="E37" t="e">
        <f ca="1">IF(SRINV(E$5,$A37)&lt;0,"--",SRINV(E$5,$A37))</f>
        <v>#NAME?</v>
      </c>
      <c r="F37" t="e">
        <f ca="1">IF(SRINV(F$5,$A37)&lt;0,"--",SRINV(F$5,$A37))</f>
        <v>#NAME?</v>
      </c>
      <c r="G37" t="e">
        <f ca="1">IF(SRINV(G$5,$A37)&lt;0,"--",SRINV(G$5,$A37))</f>
        <v>#NAME?</v>
      </c>
      <c r="H37" t="e">
        <f ca="1">IF(SRINV(H$5,$A37)&lt;0,"--",SRINV(H$5,$A37))</f>
        <v>#NAME?</v>
      </c>
    </row>
    <row r="38" spans="1:8" x14ac:dyDescent="0.35">
      <c r="A38">
        <v>37</v>
      </c>
      <c r="B38" t="e">
        <f ca="1">IF(SRINV(B$5,$A38)&lt;0,"--",SRINV(B$5,$A38))</f>
        <v>#NAME?</v>
      </c>
      <c r="C38" t="e">
        <f ca="1">IF(SRINV(C$5,$A38)&lt;0,"--",SRINV(C$5,$A38))</f>
        <v>#NAME?</v>
      </c>
      <c r="D38" t="e">
        <f ca="1">IF(SRINV(D$5,$A38)&lt;0,"--",SRINV(D$5,$A38))</f>
        <v>#NAME?</v>
      </c>
      <c r="E38" t="e">
        <f ca="1">IF(SRINV(E$5,$A38)&lt;0,"--",SRINV(E$5,$A38))</f>
        <v>#NAME?</v>
      </c>
      <c r="F38" t="e">
        <f ca="1">IF(SRINV(F$5,$A38)&lt;0,"--",SRINV(F$5,$A38))</f>
        <v>#NAME?</v>
      </c>
      <c r="G38" t="e">
        <f ca="1">IF(SRINV(G$5,$A38)&lt;0,"--",SRINV(G$5,$A38))</f>
        <v>#NAME?</v>
      </c>
      <c r="H38" t="e">
        <f ca="1">IF(SRINV(H$5,$A38)&lt;0,"--",SRINV(H$5,$A38))</f>
        <v>#NAME?</v>
      </c>
    </row>
    <row r="39" spans="1:8" x14ac:dyDescent="0.35">
      <c r="A39">
        <v>38</v>
      </c>
      <c r="B39" t="e">
        <f ca="1">IF(SRINV(B$5,$A39)&lt;0,"--",SRINV(B$5,$A39))</f>
        <v>#NAME?</v>
      </c>
      <c r="C39" t="e">
        <f ca="1">IF(SRINV(C$5,$A39)&lt;0,"--",SRINV(C$5,$A39))</f>
        <v>#NAME?</v>
      </c>
      <c r="D39" t="e">
        <f ca="1">IF(SRINV(D$5,$A39)&lt;0,"--",SRINV(D$5,$A39))</f>
        <v>#NAME?</v>
      </c>
      <c r="E39" t="e">
        <f ca="1">IF(SRINV(E$5,$A39)&lt;0,"--",SRINV(E$5,$A39))</f>
        <v>#NAME?</v>
      </c>
      <c r="F39" t="e">
        <f ca="1">IF(SRINV(F$5,$A39)&lt;0,"--",SRINV(F$5,$A39))</f>
        <v>#NAME?</v>
      </c>
      <c r="G39" t="e">
        <f ca="1">IF(SRINV(G$5,$A39)&lt;0,"--",SRINV(G$5,$A39))</f>
        <v>#NAME?</v>
      </c>
      <c r="H39" t="e">
        <f ca="1">IF(SRINV(H$5,$A39)&lt;0,"--",SRINV(H$5,$A39))</f>
        <v>#NAME?</v>
      </c>
    </row>
    <row r="40" spans="1:8" x14ac:dyDescent="0.35">
      <c r="A40">
        <v>39</v>
      </c>
      <c r="B40" t="e">
        <f ca="1">IF(SRINV(B$5,$A40)&lt;0,"--",SRINV(B$5,$A40))</f>
        <v>#NAME?</v>
      </c>
      <c r="C40" t="e">
        <f ca="1">IF(SRINV(C$5,$A40)&lt;0,"--",SRINV(C$5,$A40))</f>
        <v>#NAME?</v>
      </c>
      <c r="D40" t="e">
        <f ca="1">IF(SRINV(D$5,$A40)&lt;0,"--",SRINV(D$5,$A40))</f>
        <v>#NAME?</v>
      </c>
      <c r="E40" t="e">
        <f ca="1">IF(SRINV(E$5,$A40)&lt;0,"--",SRINV(E$5,$A40))</f>
        <v>#NAME?</v>
      </c>
      <c r="F40" t="e">
        <f ca="1">IF(SRINV(F$5,$A40)&lt;0,"--",SRINV(F$5,$A40))</f>
        <v>#NAME?</v>
      </c>
      <c r="G40" t="e">
        <f ca="1">IF(SRINV(G$5,$A40)&lt;0,"--",SRINV(G$5,$A40))</f>
        <v>#NAME?</v>
      </c>
      <c r="H40" t="e">
        <f ca="1">IF(SRINV(H$5,$A40)&lt;0,"--",SRINV(H$5,$A40))</f>
        <v>#NAME?</v>
      </c>
    </row>
    <row r="41" spans="1:8" x14ac:dyDescent="0.35">
      <c r="A41">
        <v>40</v>
      </c>
      <c r="B41" t="e">
        <f ca="1">IF(SRINV(B$5,$A41)&lt;0,"--",SRINV(B$5,$A41))</f>
        <v>#NAME?</v>
      </c>
      <c r="C41" t="e">
        <f ca="1">IF(SRINV(C$5,$A41)&lt;0,"--",SRINV(C$5,$A41))</f>
        <v>#NAME?</v>
      </c>
      <c r="D41" t="e">
        <f ca="1">IF(SRINV(D$5,$A41)&lt;0,"--",SRINV(D$5,$A41))</f>
        <v>#NAME?</v>
      </c>
      <c r="E41" t="e">
        <f ca="1">IF(SRINV(E$5,$A41)&lt;0,"--",SRINV(E$5,$A41))</f>
        <v>#NAME?</v>
      </c>
      <c r="F41" t="e">
        <f ca="1">IF(SRINV(F$5,$A41)&lt;0,"--",SRINV(F$5,$A41))</f>
        <v>#NAME?</v>
      </c>
      <c r="G41" t="e">
        <f ca="1">IF(SRINV(G$5,$A41)&lt;0,"--",SRINV(G$5,$A41))</f>
        <v>#NAME?</v>
      </c>
      <c r="H41" t="e">
        <f ca="1">IF(SRINV(H$5,$A41)&lt;0,"--",SRINV(H$5,$A41))</f>
        <v>#NAME?</v>
      </c>
    </row>
    <row r="42" spans="1:8" x14ac:dyDescent="0.35">
      <c r="A42">
        <v>41</v>
      </c>
      <c r="B42" t="e">
        <f ca="1">IF(SRINV(B$5,$A42)&lt;0,"--",SRINV(B$5,$A42))</f>
        <v>#NAME?</v>
      </c>
      <c r="C42" t="e">
        <f ca="1">IF(SRINV(C$5,$A42)&lt;0,"--",SRINV(C$5,$A42))</f>
        <v>#NAME?</v>
      </c>
      <c r="D42" t="e">
        <f ca="1">IF(SRINV(D$5,$A42)&lt;0,"--",SRINV(D$5,$A42))</f>
        <v>#NAME?</v>
      </c>
      <c r="E42" t="e">
        <f ca="1">IF(SRINV(E$5,$A42)&lt;0,"--",SRINV(E$5,$A42))</f>
        <v>#NAME?</v>
      </c>
      <c r="F42" t="e">
        <f ca="1">IF(SRINV(F$5,$A42)&lt;0,"--",SRINV(F$5,$A42))</f>
        <v>#NAME?</v>
      </c>
      <c r="G42" t="e">
        <f ca="1">IF(SRINV(G$5,$A42)&lt;0,"--",SRINV(G$5,$A42))</f>
        <v>#NAME?</v>
      </c>
      <c r="H42" t="e">
        <f ca="1">IF(SRINV(H$5,$A42)&lt;0,"--",SRINV(H$5,$A42))</f>
        <v>#NAME?</v>
      </c>
    </row>
    <row r="43" spans="1:8" x14ac:dyDescent="0.35">
      <c r="A43">
        <v>42</v>
      </c>
      <c r="B43" t="e">
        <f ca="1">IF(SRINV(B$5,$A43)&lt;0,"--",SRINV(B$5,$A43))</f>
        <v>#NAME?</v>
      </c>
      <c r="C43" t="e">
        <f ca="1">IF(SRINV(C$5,$A43)&lt;0,"--",SRINV(C$5,$A43))</f>
        <v>#NAME?</v>
      </c>
      <c r="D43" t="e">
        <f ca="1">IF(SRINV(D$5,$A43)&lt;0,"--",SRINV(D$5,$A43))</f>
        <v>#NAME?</v>
      </c>
      <c r="E43" t="e">
        <f ca="1">IF(SRINV(E$5,$A43)&lt;0,"--",SRINV(E$5,$A43))</f>
        <v>#NAME?</v>
      </c>
      <c r="F43" t="e">
        <f ca="1">IF(SRINV(F$5,$A43)&lt;0,"--",SRINV(F$5,$A43))</f>
        <v>#NAME?</v>
      </c>
      <c r="G43" t="e">
        <f ca="1">IF(SRINV(G$5,$A43)&lt;0,"--",SRINV(G$5,$A43))</f>
        <v>#NAME?</v>
      </c>
      <c r="H43" t="e">
        <f ca="1">IF(SRINV(H$5,$A43)&lt;0,"--",SRINV(H$5,$A43))</f>
        <v>#NAME?</v>
      </c>
    </row>
    <row r="44" spans="1:8" x14ac:dyDescent="0.35">
      <c r="A44">
        <v>43</v>
      </c>
      <c r="B44" t="e">
        <f ca="1">IF(SRINV(B$5,$A44)&lt;0,"--",SRINV(B$5,$A44))</f>
        <v>#NAME?</v>
      </c>
      <c r="C44" t="e">
        <f ca="1">IF(SRINV(C$5,$A44)&lt;0,"--",SRINV(C$5,$A44))</f>
        <v>#NAME?</v>
      </c>
      <c r="D44" t="e">
        <f ca="1">IF(SRINV(D$5,$A44)&lt;0,"--",SRINV(D$5,$A44))</f>
        <v>#NAME?</v>
      </c>
      <c r="E44" t="e">
        <f ca="1">IF(SRINV(E$5,$A44)&lt;0,"--",SRINV(E$5,$A44))</f>
        <v>#NAME?</v>
      </c>
      <c r="F44" t="e">
        <f ca="1">IF(SRINV(F$5,$A44)&lt;0,"--",SRINV(F$5,$A44))</f>
        <v>#NAME?</v>
      </c>
      <c r="G44" t="e">
        <f ca="1">IF(SRINV(G$5,$A44)&lt;0,"--",SRINV(G$5,$A44))</f>
        <v>#NAME?</v>
      </c>
      <c r="H44" t="e">
        <f ca="1">IF(SRINV(H$5,$A44)&lt;0,"--",SRINV(H$5,$A44))</f>
        <v>#NAME?</v>
      </c>
    </row>
    <row r="45" spans="1:8" x14ac:dyDescent="0.35">
      <c r="A45">
        <v>44</v>
      </c>
      <c r="B45" t="e">
        <f ca="1">IF(SRINV(B$5,$A45)&lt;0,"--",SRINV(B$5,$A45))</f>
        <v>#NAME?</v>
      </c>
      <c r="C45" t="e">
        <f ca="1">IF(SRINV(C$5,$A45)&lt;0,"--",SRINV(C$5,$A45))</f>
        <v>#NAME?</v>
      </c>
      <c r="D45" t="e">
        <f ca="1">IF(SRINV(D$5,$A45)&lt;0,"--",SRINV(D$5,$A45))</f>
        <v>#NAME?</v>
      </c>
      <c r="E45" t="e">
        <f ca="1">IF(SRINV(E$5,$A45)&lt;0,"--",SRINV(E$5,$A45))</f>
        <v>#NAME?</v>
      </c>
      <c r="F45" t="e">
        <f ca="1">IF(SRINV(F$5,$A45)&lt;0,"--",SRINV(F$5,$A45))</f>
        <v>#NAME?</v>
      </c>
      <c r="G45" t="e">
        <f ca="1">IF(SRINV(G$5,$A45)&lt;0,"--",SRINV(G$5,$A45))</f>
        <v>#NAME?</v>
      </c>
      <c r="H45" t="e">
        <f ca="1">IF(SRINV(H$5,$A45)&lt;0,"--",SRINV(H$5,$A45))</f>
        <v>#NAME?</v>
      </c>
    </row>
    <row r="46" spans="1:8" x14ac:dyDescent="0.35">
      <c r="A46">
        <v>45</v>
      </c>
      <c r="B46" t="e">
        <f ca="1">IF(SRINV(B$5,$A46)&lt;0,"--",SRINV(B$5,$A46))</f>
        <v>#NAME?</v>
      </c>
      <c r="C46" t="e">
        <f ca="1">IF(SRINV(C$5,$A46)&lt;0,"--",SRINV(C$5,$A46))</f>
        <v>#NAME?</v>
      </c>
      <c r="D46" t="e">
        <f ca="1">IF(SRINV(D$5,$A46)&lt;0,"--",SRINV(D$5,$A46))</f>
        <v>#NAME?</v>
      </c>
      <c r="E46" t="e">
        <f ca="1">IF(SRINV(E$5,$A46)&lt;0,"--",SRINV(E$5,$A46))</f>
        <v>#NAME?</v>
      </c>
      <c r="F46" t="e">
        <f ca="1">IF(SRINV(F$5,$A46)&lt;0,"--",SRINV(F$5,$A46))</f>
        <v>#NAME?</v>
      </c>
      <c r="G46" t="e">
        <f ca="1">IF(SRINV(G$5,$A46)&lt;0,"--",SRINV(G$5,$A46))</f>
        <v>#NAME?</v>
      </c>
      <c r="H46" t="e">
        <f ca="1">IF(SRINV(H$5,$A46)&lt;0,"--",SRINV(H$5,$A46))</f>
        <v>#NAME?</v>
      </c>
    </row>
    <row r="47" spans="1:8" x14ac:dyDescent="0.35">
      <c r="A47">
        <v>46</v>
      </c>
      <c r="B47" t="e">
        <f ca="1">IF(SRINV(B$5,$A47)&lt;0,"--",SRINV(B$5,$A47))</f>
        <v>#NAME?</v>
      </c>
      <c r="C47" t="e">
        <f ca="1">IF(SRINV(C$5,$A47)&lt;0,"--",SRINV(C$5,$A47))</f>
        <v>#NAME?</v>
      </c>
      <c r="D47" t="e">
        <f ca="1">IF(SRINV(D$5,$A47)&lt;0,"--",SRINV(D$5,$A47))</f>
        <v>#NAME?</v>
      </c>
      <c r="E47" t="e">
        <f ca="1">IF(SRINV(E$5,$A47)&lt;0,"--",SRINV(E$5,$A47))</f>
        <v>#NAME?</v>
      </c>
      <c r="F47" t="e">
        <f ca="1">IF(SRINV(F$5,$A47)&lt;0,"--",SRINV(F$5,$A47))</f>
        <v>#NAME?</v>
      </c>
      <c r="G47" t="e">
        <f ca="1">IF(SRINV(G$5,$A47)&lt;0,"--",SRINV(G$5,$A47))</f>
        <v>#NAME?</v>
      </c>
      <c r="H47" t="e">
        <f ca="1">IF(SRINV(H$5,$A47)&lt;0,"--",SRINV(H$5,$A47))</f>
        <v>#NAME?</v>
      </c>
    </row>
    <row r="48" spans="1:8" x14ac:dyDescent="0.35">
      <c r="A48">
        <v>47</v>
      </c>
      <c r="B48" t="e">
        <f ca="1">IF(SRINV(B$5,$A48)&lt;0,"--",SRINV(B$5,$A48))</f>
        <v>#NAME?</v>
      </c>
      <c r="C48" t="e">
        <f ca="1">IF(SRINV(C$5,$A48)&lt;0,"--",SRINV(C$5,$A48))</f>
        <v>#NAME?</v>
      </c>
      <c r="D48" t="e">
        <f ca="1">IF(SRINV(D$5,$A48)&lt;0,"--",SRINV(D$5,$A48))</f>
        <v>#NAME?</v>
      </c>
      <c r="E48" t="e">
        <f ca="1">IF(SRINV(E$5,$A48)&lt;0,"--",SRINV(E$5,$A48))</f>
        <v>#NAME?</v>
      </c>
      <c r="F48" t="e">
        <f ca="1">IF(SRINV(F$5,$A48)&lt;0,"--",SRINV(F$5,$A48))</f>
        <v>#NAME?</v>
      </c>
      <c r="G48" t="e">
        <f ca="1">IF(SRINV(G$5,$A48)&lt;0,"--",SRINV(G$5,$A48))</f>
        <v>#NAME?</v>
      </c>
      <c r="H48" t="e">
        <f ca="1">IF(SRINV(H$5,$A48)&lt;0,"--",SRINV(H$5,$A48))</f>
        <v>#NAME?</v>
      </c>
    </row>
    <row r="49" spans="1:8" x14ac:dyDescent="0.35">
      <c r="A49">
        <v>48</v>
      </c>
      <c r="B49" t="e">
        <f ca="1">IF(SRINV(B$5,$A49)&lt;0,"--",SRINV(B$5,$A49))</f>
        <v>#NAME?</v>
      </c>
      <c r="C49" t="e">
        <f ca="1">IF(SRINV(C$5,$A49)&lt;0,"--",SRINV(C$5,$A49))</f>
        <v>#NAME?</v>
      </c>
      <c r="D49" t="e">
        <f ca="1">IF(SRINV(D$5,$A49)&lt;0,"--",SRINV(D$5,$A49))</f>
        <v>#NAME?</v>
      </c>
      <c r="E49" t="e">
        <f ca="1">IF(SRINV(E$5,$A49)&lt;0,"--",SRINV(E$5,$A49))</f>
        <v>#NAME?</v>
      </c>
      <c r="F49" t="e">
        <f ca="1">IF(SRINV(F$5,$A49)&lt;0,"--",SRINV(F$5,$A49))</f>
        <v>#NAME?</v>
      </c>
      <c r="G49" t="e">
        <f ca="1">IF(SRINV(G$5,$A49)&lt;0,"--",SRINV(G$5,$A49))</f>
        <v>#NAME?</v>
      </c>
      <c r="H49" t="e">
        <f ca="1">IF(SRINV(H$5,$A49)&lt;0,"--",SRINV(H$5,$A49))</f>
        <v>#NAME?</v>
      </c>
    </row>
    <row r="50" spans="1:8" x14ac:dyDescent="0.35">
      <c r="A50">
        <v>49</v>
      </c>
      <c r="B50" t="e">
        <f ca="1">IF(SRINV(B$5,$A50)&lt;0,"--",SRINV(B$5,$A50))</f>
        <v>#NAME?</v>
      </c>
      <c r="C50" t="e">
        <f ca="1">IF(SRINV(C$5,$A50)&lt;0,"--",SRINV(C$5,$A50))</f>
        <v>#NAME?</v>
      </c>
      <c r="D50" t="e">
        <f ca="1">IF(SRINV(D$5,$A50)&lt;0,"--",SRINV(D$5,$A50))</f>
        <v>#NAME?</v>
      </c>
      <c r="E50" t="e">
        <f ca="1">IF(SRINV(E$5,$A50)&lt;0,"--",SRINV(E$5,$A50))</f>
        <v>#NAME?</v>
      </c>
      <c r="F50" t="e">
        <f ca="1">IF(SRINV(F$5,$A50)&lt;0,"--",SRINV(F$5,$A50))</f>
        <v>#NAME?</v>
      </c>
      <c r="G50" t="e">
        <f ca="1">IF(SRINV(G$5,$A50)&lt;0,"--",SRINV(G$5,$A50))</f>
        <v>#NAME?</v>
      </c>
      <c r="H50" t="e">
        <f ca="1">IF(SRINV(H$5,$A50)&lt;0,"--",SRINV(H$5,$A50))</f>
        <v>#NAME?</v>
      </c>
    </row>
    <row r="51" spans="1:8" x14ac:dyDescent="0.35">
      <c r="A51">
        <v>50</v>
      </c>
      <c r="B51" t="e">
        <f ca="1">IF(SRINV(B$5,$A51)&lt;0,"--",SRINV(B$5,$A51))</f>
        <v>#NAME?</v>
      </c>
      <c r="C51" t="e">
        <f ca="1">IF(SRINV(C$5,$A51)&lt;0,"--",SRINV(C$5,$A51))</f>
        <v>#NAME?</v>
      </c>
      <c r="D51" t="e">
        <f ca="1">IF(SRINV(D$5,$A51)&lt;0,"--",SRINV(D$5,$A51))</f>
        <v>#NAME?</v>
      </c>
      <c r="E51" t="e">
        <f ca="1">IF(SRINV(E$5,$A51)&lt;0,"--",SRINV(E$5,$A51))</f>
        <v>#NAME?</v>
      </c>
      <c r="F51" t="e">
        <f ca="1">IF(SRINV(F$5,$A51)&lt;0,"--",SRINV(F$5,$A51))</f>
        <v>#NAME?</v>
      </c>
      <c r="G51" t="e">
        <f ca="1">IF(SRINV(G$5,$A51)&lt;0,"--",SRINV(G$5,$A51))</f>
        <v>#NAME?</v>
      </c>
      <c r="H51" t="e">
        <f ca="1">IF(SRINV(H$5,$A51)&lt;0,"--",SRINV(H$5,$A51))</f>
        <v>#NAME?</v>
      </c>
    </row>
    <row r="54" spans="1:8" x14ac:dyDescent="0.35">
      <c r="A54" t="s">
        <v>86</v>
      </c>
    </row>
    <row r="55" spans="1:8" x14ac:dyDescent="0.35">
      <c r="A55" t="s">
        <v>87</v>
      </c>
    </row>
    <row r="57" spans="1:8" x14ac:dyDescent="0.35">
      <c r="A57" t="s">
        <v>88</v>
      </c>
    </row>
    <row r="59" spans="1:8" x14ac:dyDescent="0.35">
      <c r="A59" t="s">
        <v>89</v>
      </c>
    </row>
    <row r="61" spans="1:8" x14ac:dyDescent="0.35">
      <c r="A61" t="s">
        <v>90</v>
      </c>
    </row>
    <row r="62" spans="1:8" x14ac:dyDescent="0.35">
      <c r="A62" t="s">
        <v>91</v>
      </c>
    </row>
  </sheetData>
  <mergeCells count="1">
    <mergeCell ref="B4:H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4"/>
  <dimension ref="A1:AA69"/>
  <sheetViews>
    <sheetView zoomScale="95" zoomScaleNormal="95" workbookViewId="0"/>
  </sheetViews>
  <sheetFormatPr defaultRowHeight="14.5" x14ac:dyDescent="0.35"/>
  <cols>
    <col min="19" max="19" width="6.54296875" customWidth="1"/>
  </cols>
  <sheetData>
    <row r="1" spans="1:27" x14ac:dyDescent="0.35">
      <c r="A1" s="1" t="s">
        <v>152</v>
      </c>
    </row>
    <row r="2" spans="1:27" x14ac:dyDescent="0.35">
      <c r="A2" t="s">
        <v>84</v>
      </c>
    </row>
    <row r="4" spans="1:27" x14ac:dyDescent="0.35">
      <c r="B4" s="227" t="s">
        <v>85</v>
      </c>
      <c r="C4" s="227"/>
      <c r="D4" s="227"/>
      <c r="E4" s="227"/>
      <c r="F4" s="227"/>
      <c r="G4" s="227"/>
      <c r="H4" s="227"/>
      <c r="J4" s="131"/>
      <c r="L4" s="227" t="s">
        <v>85</v>
      </c>
      <c r="M4" s="227"/>
      <c r="N4" s="227"/>
      <c r="O4" s="227"/>
      <c r="P4" s="227"/>
      <c r="Q4" s="227"/>
      <c r="R4" s="227"/>
      <c r="U4" s="227" t="s">
        <v>85</v>
      </c>
      <c r="V4" s="227"/>
      <c r="W4" s="227"/>
      <c r="X4" s="227"/>
      <c r="Y4" s="227"/>
      <c r="Z4" s="227"/>
      <c r="AA4" s="227"/>
    </row>
    <row r="5" spans="1:27" x14ac:dyDescent="0.35">
      <c r="A5" s="12" t="s">
        <v>26</v>
      </c>
      <c r="B5" s="13">
        <v>0.2</v>
      </c>
      <c r="C5" s="13">
        <v>0.1</v>
      </c>
      <c r="D5">
        <v>0.05</v>
      </c>
      <c r="E5">
        <v>0.02</v>
      </c>
      <c r="F5">
        <v>0.01</v>
      </c>
      <c r="G5">
        <v>2E-3</v>
      </c>
      <c r="H5">
        <v>1E-3</v>
      </c>
      <c r="K5" s="12" t="s">
        <v>26</v>
      </c>
      <c r="L5" s="13">
        <v>0.2</v>
      </c>
      <c r="M5" s="13">
        <v>0.1</v>
      </c>
      <c r="N5">
        <v>0.05</v>
      </c>
      <c r="O5">
        <v>0.02</v>
      </c>
      <c r="P5">
        <v>0.01</v>
      </c>
      <c r="Q5">
        <v>2E-3</v>
      </c>
      <c r="R5">
        <v>1E-3</v>
      </c>
      <c r="U5" s="13">
        <v>0.2</v>
      </c>
      <c r="V5" s="13">
        <v>0.1</v>
      </c>
      <c r="W5">
        <v>0.05</v>
      </c>
      <c r="X5">
        <v>0.02</v>
      </c>
      <c r="Y5">
        <v>0.01</v>
      </c>
      <c r="Z5">
        <v>2E-3</v>
      </c>
      <c r="AA5">
        <v>1E-3</v>
      </c>
    </row>
    <row r="6" spans="1:27" x14ac:dyDescent="0.35">
      <c r="A6">
        <v>5</v>
      </c>
      <c r="B6" s="117">
        <v>2</v>
      </c>
      <c r="C6" s="137">
        <v>0</v>
      </c>
      <c r="D6" s="133" t="s">
        <v>73</v>
      </c>
      <c r="E6" s="133" t="s">
        <v>73</v>
      </c>
      <c r="F6" s="133" t="s">
        <v>73</v>
      </c>
      <c r="G6" s="133" t="s">
        <v>73</v>
      </c>
      <c r="H6" s="135" t="s">
        <v>73</v>
      </c>
      <c r="K6">
        <v>5</v>
      </c>
      <c r="L6" s="117">
        <v>2</v>
      </c>
      <c r="M6" s="137">
        <v>0</v>
      </c>
      <c r="N6" s="133" t="s">
        <v>73</v>
      </c>
      <c r="O6" s="133" t="s">
        <v>73</v>
      </c>
      <c r="P6" s="133" t="s">
        <v>73</v>
      </c>
      <c r="Q6" s="133" t="s">
        <v>73</v>
      </c>
      <c r="R6" s="135" t="s">
        <v>73</v>
      </c>
      <c r="T6">
        <v>28</v>
      </c>
      <c r="U6" s="117">
        <v>146</v>
      </c>
      <c r="V6" s="111">
        <v>130</v>
      </c>
      <c r="W6" s="111">
        <v>116</v>
      </c>
      <c r="X6" s="111">
        <v>101</v>
      </c>
      <c r="Y6" s="111">
        <v>91</v>
      </c>
      <c r="Z6" s="139">
        <v>71</v>
      </c>
      <c r="AA6" s="140">
        <v>64</v>
      </c>
    </row>
    <row r="7" spans="1:27" x14ac:dyDescent="0.35">
      <c r="A7">
        <v>6</v>
      </c>
      <c r="B7" s="59">
        <v>4</v>
      </c>
      <c r="C7" s="32">
        <v>2</v>
      </c>
      <c r="D7" s="32">
        <v>0</v>
      </c>
      <c r="E7" s="134" t="s">
        <v>73</v>
      </c>
      <c r="F7" s="134" t="s">
        <v>73</v>
      </c>
      <c r="G7" s="134" t="s">
        <v>73</v>
      </c>
      <c r="H7" s="136" t="s">
        <v>73</v>
      </c>
      <c r="K7">
        <v>6</v>
      </c>
      <c r="L7" s="59">
        <v>4</v>
      </c>
      <c r="M7" s="32">
        <v>2</v>
      </c>
      <c r="N7" s="32">
        <v>0</v>
      </c>
      <c r="O7" s="134" t="s">
        <v>73</v>
      </c>
      <c r="P7" s="134" t="s">
        <v>73</v>
      </c>
      <c r="Q7" s="134" t="s">
        <v>73</v>
      </c>
      <c r="R7" s="136" t="s">
        <v>73</v>
      </c>
      <c r="T7" s="23">
        <v>29</v>
      </c>
      <c r="U7" s="63">
        <v>157</v>
      </c>
      <c r="V7" s="7">
        <v>140</v>
      </c>
      <c r="W7" s="23">
        <v>126</v>
      </c>
      <c r="X7" s="23">
        <v>110</v>
      </c>
      <c r="Y7" s="7">
        <v>100</v>
      </c>
      <c r="Z7" s="132">
        <v>80</v>
      </c>
      <c r="AA7" s="128">
        <v>71</v>
      </c>
    </row>
    <row r="8" spans="1:27" x14ac:dyDescent="0.35">
      <c r="A8">
        <v>7</v>
      </c>
      <c r="B8" s="59">
        <v>6</v>
      </c>
      <c r="C8" s="32">
        <v>3</v>
      </c>
      <c r="D8" s="32">
        <v>2</v>
      </c>
      <c r="E8" s="32">
        <v>0</v>
      </c>
      <c r="F8" s="134" t="s">
        <v>73</v>
      </c>
      <c r="G8" s="134" t="s">
        <v>73</v>
      </c>
      <c r="H8" s="136" t="s">
        <v>73</v>
      </c>
      <c r="K8">
        <v>7</v>
      </c>
      <c r="L8" s="59">
        <v>6</v>
      </c>
      <c r="M8" s="32">
        <v>3</v>
      </c>
      <c r="N8" s="32">
        <v>2</v>
      </c>
      <c r="O8" s="32">
        <v>0</v>
      </c>
      <c r="P8" s="134" t="s">
        <v>73</v>
      </c>
      <c r="Q8" s="134" t="s">
        <v>73</v>
      </c>
      <c r="R8" s="136" t="s">
        <v>73</v>
      </c>
      <c r="T8">
        <v>30</v>
      </c>
      <c r="U8" s="63">
        <v>169</v>
      </c>
      <c r="V8" s="7">
        <v>151</v>
      </c>
      <c r="W8" s="7">
        <v>137</v>
      </c>
      <c r="X8" s="7">
        <v>120</v>
      </c>
      <c r="Y8" s="7">
        <v>109</v>
      </c>
      <c r="Z8" s="132">
        <v>85</v>
      </c>
      <c r="AA8" s="128">
        <v>78</v>
      </c>
    </row>
    <row r="9" spans="1:27" x14ac:dyDescent="0.35">
      <c r="A9">
        <v>8</v>
      </c>
      <c r="B9" s="59">
        <v>8</v>
      </c>
      <c r="C9" s="32">
        <v>5</v>
      </c>
      <c r="D9" s="32">
        <v>3</v>
      </c>
      <c r="E9" s="32">
        <v>1</v>
      </c>
      <c r="F9" s="32">
        <v>0</v>
      </c>
      <c r="G9" s="134" t="s">
        <v>73</v>
      </c>
      <c r="H9" s="136" t="s">
        <v>73</v>
      </c>
      <c r="K9">
        <v>8</v>
      </c>
      <c r="L9" s="59">
        <v>8</v>
      </c>
      <c r="M9" s="32">
        <v>5</v>
      </c>
      <c r="N9" s="32">
        <v>3</v>
      </c>
      <c r="O9" s="32">
        <v>1</v>
      </c>
      <c r="P9" s="32">
        <v>0</v>
      </c>
      <c r="Q9" s="134" t="s">
        <v>73</v>
      </c>
      <c r="R9" s="136" t="s">
        <v>73</v>
      </c>
      <c r="T9">
        <v>31</v>
      </c>
      <c r="U9" s="63">
        <v>181</v>
      </c>
      <c r="V9" s="7">
        <v>163</v>
      </c>
      <c r="W9" s="23">
        <v>147</v>
      </c>
      <c r="X9" s="23">
        <v>130</v>
      </c>
      <c r="Y9" s="7">
        <v>118</v>
      </c>
      <c r="Z9" s="132">
        <v>95</v>
      </c>
      <c r="AA9" s="128">
        <v>86</v>
      </c>
    </row>
    <row r="10" spans="1:27" x14ac:dyDescent="0.35">
      <c r="A10">
        <v>9</v>
      </c>
      <c r="B10" s="59">
        <v>11</v>
      </c>
      <c r="C10" s="32">
        <v>8</v>
      </c>
      <c r="D10" s="32">
        <v>5</v>
      </c>
      <c r="E10" s="32">
        <v>3</v>
      </c>
      <c r="F10" s="32">
        <v>1</v>
      </c>
      <c r="G10" s="134" t="s">
        <v>73</v>
      </c>
      <c r="H10" s="136" t="s">
        <v>73</v>
      </c>
      <c r="K10">
        <v>9</v>
      </c>
      <c r="L10" s="59">
        <v>11</v>
      </c>
      <c r="M10" s="32">
        <v>8</v>
      </c>
      <c r="N10" s="32">
        <v>5</v>
      </c>
      <c r="O10" s="32">
        <v>3</v>
      </c>
      <c r="P10" s="32">
        <v>1</v>
      </c>
      <c r="Q10" s="134" t="s">
        <v>73</v>
      </c>
      <c r="R10" s="136" t="s">
        <v>73</v>
      </c>
      <c r="T10">
        <v>32</v>
      </c>
      <c r="U10" s="63">
        <v>195</v>
      </c>
      <c r="V10" s="7">
        <v>175</v>
      </c>
      <c r="W10" s="23">
        <v>159</v>
      </c>
      <c r="X10" s="23">
        <v>140</v>
      </c>
      <c r="Y10" s="7">
        <v>128</v>
      </c>
      <c r="Z10" s="132">
        <v>102</v>
      </c>
      <c r="AA10" s="128">
        <v>94</v>
      </c>
    </row>
    <row r="11" spans="1:27" x14ac:dyDescent="0.35">
      <c r="A11">
        <v>10</v>
      </c>
      <c r="B11" s="59">
        <v>14</v>
      </c>
      <c r="C11" s="32">
        <v>10</v>
      </c>
      <c r="D11" s="32">
        <v>8</v>
      </c>
      <c r="E11" s="32">
        <v>5</v>
      </c>
      <c r="F11" s="32">
        <v>3</v>
      </c>
      <c r="G11" s="32">
        <v>0</v>
      </c>
      <c r="H11" s="136" t="s">
        <v>73</v>
      </c>
      <c r="K11">
        <v>10</v>
      </c>
      <c r="L11" s="59">
        <v>14</v>
      </c>
      <c r="M11" s="32">
        <v>10</v>
      </c>
      <c r="N11" s="32">
        <v>8</v>
      </c>
      <c r="O11" s="32">
        <v>5</v>
      </c>
      <c r="P11" s="32">
        <v>3</v>
      </c>
      <c r="Q11" s="32">
        <v>0</v>
      </c>
      <c r="R11" s="136" t="s">
        <v>73</v>
      </c>
      <c r="T11">
        <v>33</v>
      </c>
      <c r="U11" s="63">
        <v>208</v>
      </c>
      <c r="V11" s="7">
        <v>187</v>
      </c>
      <c r="W11" s="23">
        <v>170</v>
      </c>
      <c r="X11" s="23">
        <v>151</v>
      </c>
      <c r="Y11" s="7">
        <v>138</v>
      </c>
      <c r="Z11" s="132">
        <v>111</v>
      </c>
      <c r="AA11" s="128">
        <v>102</v>
      </c>
    </row>
    <row r="12" spans="1:27" x14ac:dyDescent="0.35">
      <c r="A12">
        <v>11</v>
      </c>
      <c r="B12" s="59">
        <v>18</v>
      </c>
      <c r="C12" s="32">
        <v>13</v>
      </c>
      <c r="D12" s="32">
        <v>10</v>
      </c>
      <c r="E12" s="32">
        <v>7</v>
      </c>
      <c r="F12" s="32">
        <v>5</v>
      </c>
      <c r="G12" s="32">
        <v>1</v>
      </c>
      <c r="H12" s="128">
        <v>0</v>
      </c>
      <c r="K12">
        <v>11</v>
      </c>
      <c r="L12" s="59">
        <v>18</v>
      </c>
      <c r="M12" s="32">
        <v>13</v>
      </c>
      <c r="N12" s="32">
        <v>10</v>
      </c>
      <c r="O12" s="32">
        <v>7</v>
      </c>
      <c r="P12" s="32">
        <v>5</v>
      </c>
      <c r="Q12" s="32">
        <v>1</v>
      </c>
      <c r="R12" s="128">
        <v>0</v>
      </c>
      <c r="T12">
        <v>34</v>
      </c>
      <c r="U12" s="63">
        <v>221</v>
      </c>
      <c r="V12" s="7">
        <v>200</v>
      </c>
      <c r="W12" s="23">
        <v>182</v>
      </c>
      <c r="X12" s="23">
        <v>162</v>
      </c>
      <c r="Y12" s="7">
        <v>148</v>
      </c>
      <c r="Z12" s="132">
        <v>123</v>
      </c>
      <c r="AA12" s="128">
        <v>111</v>
      </c>
    </row>
    <row r="13" spans="1:27" x14ac:dyDescent="0.35">
      <c r="A13">
        <v>12</v>
      </c>
      <c r="B13" s="59">
        <v>22</v>
      </c>
      <c r="C13" s="32">
        <v>17</v>
      </c>
      <c r="D13" s="32">
        <v>13</v>
      </c>
      <c r="E13" s="32">
        <v>9</v>
      </c>
      <c r="F13" s="32">
        <v>7</v>
      </c>
      <c r="G13" s="32">
        <v>2</v>
      </c>
      <c r="H13" s="128">
        <v>1</v>
      </c>
      <c r="K13">
        <v>12</v>
      </c>
      <c r="L13" s="59">
        <v>22</v>
      </c>
      <c r="M13" s="32">
        <v>17</v>
      </c>
      <c r="N13" s="32">
        <v>13</v>
      </c>
      <c r="O13" s="32">
        <v>9</v>
      </c>
      <c r="P13" s="32">
        <v>7</v>
      </c>
      <c r="Q13" s="32">
        <v>2</v>
      </c>
      <c r="R13" s="128">
        <v>1</v>
      </c>
      <c r="T13">
        <v>35</v>
      </c>
      <c r="U13" s="63">
        <v>236</v>
      </c>
      <c r="V13" s="7">
        <v>213</v>
      </c>
      <c r="W13" s="7">
        <v>195</v>
      </c>
      <c r="X13" s="7">
        <v>173</v>
      </c>
      <c r="Y13" s="7">
        <v>159</v>
      </c>
      <c r="Z13" s="132">
        <v>130</v>
      </c>
      <c r="AA13" s="128">
        <v>120</v>
      </c>
    </row>
    <row r="14" spans="1:27" x14ac:dyDescent="0.35">
      <c r="A14">
        <v>13</v>
      </c>
      <c r="B14" s="59">
        <v>26</v>
      </c>
      <c r="C14" s="32">
        <v>21</v>
      </c>
      <c r="D14" s="32">
        <v>17</v>
      </c>
      <c r="E14" s="32">
        <v>12</v>
      </c>
      <c r="F14" s="32">
        <v>9</v>
      </c>
      <c r="G14" s="32">
        <v>4</v>
      </c>
      <c r="H14" s="128">
        <v>2</v>
      </c>
      <c r="K14">
        <v>13</v>
      </c>
      <c r="L14" s="59">
        <v>26</v>
      </c>
      <c r="M14" s="32">
        <v>21</v>
      </c>
      <c r="N14" s="32">
        <v>17</v>
      </c>
      <c r="O14" s="32">
        <v>12</v>
      </c>
      <c r="P14" s="32">
        <v>9</v>
      </c>
      <c r="Q14" s="32">
        <v>4</v>
      </c>
      <c r="R14" s="128">
        <v>2</v>
      </c>
      <c r="T14">
        <v>36</v>
      </c>
      <c r="U14" s="63">
        <v>250</v>
      </c>
      <c r="V14" s="7">
        <v>227</v>
      </c>
      <c r="W14" s="23">
        <v>208</v>
      </c>
      <c r="X14" s="23">
        <v>185</v>
      </c>
      <c r="Y14" s="7">
        <v>171</v>
      </c>
      <c r="Z14" s="132">
        <v>139</v>
      </c>
      <c r="AA14" s="128">
        <v>130</v>
      </c>
    </row>
    <row r="15" spans="1:27" x14ac:dyDescent="0.35">
      <c r="A15">
        <v>14</v>
      </c>
      <c r="B15" s="59">
        <v>31</v>
      </c>
      <c r="C15" s="32">
        <v>25</v>
      </c>
      <c r="D15" s="32">
        <v>21</v>
      </c>
      <c r="E15" s="32">
        <v>15</v>
      </c>
      <c r="F15" s="32">
        <v>12</v>
      </c>
      <c r="G15" s="32">
        <v>6</v>
      </c>
      <c r="H15" s="128">
        <v>4</v>
      </c>
      <c r="K15">
        <v>14</v>
      </c>
      <c r="L15" s="59">
        <v>31</v>
      </c>
      <c r="M15" s="32">
        <v>25</v>
      </c>
      <c r="N15" s="32">
        <v>21</v>
      </c>
      <c r="O15" s="32">
        <v>15</v>
      </c>
      <c r="P15" s="32">
        <v>12</v>
      </c>
      <c r="Q15" s="32">
        <v>6</v>
      </c>
      <c r="R15" s="128">
        <v>4</v>
      </c>
      <c r="T15">
        <v>37</v>
      </c>
      <c r="U15" s="63">
        <v>266</v>
      </c>
      <c r="V15" s="7">
        <v>241</v>
      </c>
      <c r="W15" s="23">
        <v>221</v>
      </c>
      <c r="X15" s="23">
        <v>198</v>
      </c>
      <c r="Y15" s="7">
        <v>182</v>
      </c>
      <c r="Z15" s="132">
        <v>153</v>
      </c>
      <c r="AA15" s="128">
        <v>140</v>
      </c>
    </row>
    <row r="16" spans="1:27" x14ac:dyDescent="0.35">
      <c r="A16">
        <v>15</v>
      </c>
      <c r="B16" s="59">
        <v>37</v>
      </c>
      <c r="C16" s="32">
        <v>30</v>
      </c>
      <c r="D16" s="32">
        <v>25</v>
      </c>
      <c r="E16" s="32">
        <v>19</v>
      </c>
      <c r="F16" s="32">
        <v>15</v>
      </c>
      <c r="G16" s="32">
        <v>8</v>
      </c>
      <c r="H16" s="128">
        <v>6</v>
      </c>
      <c r="K16">
        <v>15</v>
      </c>
      <c r="L16" s="59">
        <v>37</v>
      </c>
      <c r="M16" s="32">
        <v>30</v>
      </c>
      <c r="N16" s="32">
        <v>25</v>
      </c>
      <c r="O16" s="32">
        <v>19</v>
      </c>
      <c r="P16" s="32">
        <v>15</v>
      </c>
      <c r="Q16" s="32">
        <v>8</v>
      </c>
      <c r="R16" s="128">
        <v>6</v>
      </c>
      <c r="T16">
        <v>38</v>
      </c>
      <c r="U16" s="63">
        <v>281</v>
      </c>
      <c r="V16" s="7">
        <v>256</v>
      </c>
      <c r="W16" s="23">
        <v>235</v>
      </c>
      <c r="X16" s="23">
        <v>211</v>
      </c>
      <c r="Y16" s="7">
        <v>194</v>
      </c>
      <c r="Z16" s="132">
        <v>163</v>
      </c>
      <c r="AA16" s="128">
        <v>150</v>
      </c>
    </row>
    <row r="17" spans="1:27" x14ac:dyDescent="0.35">
      <c r="A17">
        <v>16</v>
      </c>
      <c r="B17" s="59">
        <v>42</v>
      </c>
      <c r="C17" s="32">
        <v>35</v>
      </c>
      <c r="D17" s="32">
        <v>29</v>
      </c>
      <c r="E17" s="32">
        <v>23</v>
      </c>
      <c r="F17" s="32">
        <v>19</v>
      </c>
      <c r="G17" s="32">
        <v>11</v>
      </c>
      <c r="H17" s="128">
        <v>8</v>
      </c>
      <c r="K17">
        <v>16</v>
      </c>
      <c r="L17" s="59">
        <v>42</v>
      </c>
      <c r="M17" s="32">
        <v>35</v>
      </c>
      <c r="N17" s="32">
        <v>29</v>
      </c>
      <c r="O17" s="32">
        <v>23</v>
      </c>
      <c r="P17" s="32">
        <v>19</v>
      </c>
      <c r="Q17" s="32">
        <v>11</v>
      </c>
      <c r="R17" s="128">
        <v>8</v>
      </c>
      <c r="T17">
        <v>39</v>
      </c>
      <c r="U17" s="63">
        <v>297</v>
      </c>
      <c r="V17" s="7">
        <v>271</v>
      </c>
      <c r="W17" s="23">
        <v>249</v>
      </c>
      <c r="X17" s="23">
        <v>224</v>
      </c>
      <c r="Y17" s="7">
        <v>207</v>
      </c>
      <c r="Z17" s="132">
        <v>176</v>
      </c>
      <c r="AA17" s="128">
        <v>161</v>
      </c>
    </row>
    <row r="18" spans="1:27" x14ac:dyDescent="0.35">
      <c r="A18">
        <v>17</v>
      </c>
      <c r="B18" s="59">
        <v>49</v>
      </c>
      <c r="C18" s="32">
        <v>41</v>
      </c>
      <c r="D18" s="32">
        <v>34</v>
      </c>
      <c r="E18" s="32">
        <v>27</v>
      </c>
      <c r="F18" s="32">
        <v>23</v>
      </c>
      <c r="G18" s="32">
        <v>14</v>
      </c>
      <c r="H18" s="128">
        <v>11</v>
      </c>
      <c r="K18">
        <v>17</v>
      </c>
      <c r="L18" s="59">
        <v>49</v>
      </c>
      <c r="M18" s="32">
        <v>41</v>
      </c>
      <c r="N18" s="32">
        <v>34</v>
      </c>
      <c r="O18" s="32">
        <v>27</v>
      </c>
      <c r="P18" s="32">
        <v>23</v>
      </c>
      <c r="Q18" s="32">
        <v>14</v>
      </c>
      <c r="R18" s="128">
        <v>11</v>
      </c>
      <c r="T18">
        <v>40</v>
      </c>
      <c r="U18" s="63">
        <v>314</v>
      </c>
      <c r="V18" s="7">
        <v>286</v>
      </c>
      <c r="W18" s="7">
        <v>264</v>
      </c>
      <c r="X18" s="7">
        <v>238</v>
      </c>
      <c r="Y18" s="7">
        <v>220</v>
      </c>
      <c r="Z18" s="132">
        <v>186</v>
      </c>
      <c r="AA18" s="128">
        <v>172</v>
      </c>
    </row>
    <row r="19" spans="1:27" x14ac:dyDescent="0.35">
      <c r="A19">
        <v>18</v>
      </c>
      <c r="B19" s="59">
        <v>55</v>
      </c>
      <c r="C19" s="32">
        <v>47</v>
      </c>
      <c r="D19" s="32">
        <v>40</v>
      </c>
      <c r="E19" s="32">
        <v>32</v>
      </c>
      <c r="F19" s="32">
        <v>27</v>
      </c>
      <c r="G19" s="32">
        <v>18</v>
      </c>
      <c r="H19" s="128">
        <v>14</v>
      </c>
      <c r="K19">
        <v>18</v>
      </c>
      <c r="L19" s="59">
        <v>55</v>
      </c>
      <c r="M19" s="32">
        <v>47</v>
      </c>
      <c r="N19" s="32">
        <v>40</v>
      </c>
      <c r="O19" s="32">
        <v>32</v>
      </c>
      <c r="P19" s="32">
        <v>27</v>
      </c>
      <c r="Q19" s="32">
        <v>18</v>
      </c>
      <c r="R19" s="128">
        <v>14</v>
      </c>
      <c r="T19">
        <v>41</v>
      </c>
      <c r="U19" s="59"/>
      <c r="V19" s="7">
        <v>302</v>
      </c>
      <c r="W19" s="23">
        <v>279</v>
      </c>
      <c r="X19" s="23">
        <v>252</v>
      </c>
      <c r="Y19" s="7">
        <v>233</v>
      </c>
      <c r="Z19" s="7"/>
      <c r="AA19" s="128">
        <v>183</v>
      </c>
    </row>
    <row r="20" spans="1:27" x14ac:dyDescent="0.35">
      <c r="A20">
        <v>19</v>
      </c>
      <c r="B20" s="59">
        <v>62</v>
      </c>
      <c r="C20" s="32">
        <v>53</v>
      </c>
      <c r="D20" s="32">
        <v>46</v>
      </c>
      <c r="E20" s="32">
        <v>37</v>
      </c>
      <c r="F20" s="32">
        <v>32</v>
      </c>
      <c r="G20" s="32">
        <v>21</v>
      </c>
      <c r="H20" s="128">
        <v>18</v>
      </c>
      <c r="K20">
        <v>19</v>
      </c>
      <c r="L20" s="59">
        <v>62</v>
      </c>
      <c r="M20" s="32">
        <v>53</v>
      </c>
      <c r="N20" s="32">
        <v>46</v>
      </c>
      <c r="O20" s="32">
        <v>37</v>
      </c>
      <c r="P20" s="32">
        <v>32</v>
      </c>
      <c r="Q20" s="32">
        <v>21</v>
      </c>
      <c r="R20" s="128">
        <v>18</v>
      </c>
      <c r="T20">
        <v>42</v>
      </c>
      <c r="U20" s="59"/>
      <c r="V20" s="7">
        <v>319</v>
      </c>
      <c r="W20" s="23">
        <v>294</v>
      </c>
      <c r="X20" s="23">
        <v>266</v>
      </c>
      <c r="Y20" s="7">
        <v>247</v>
      </c>
      <c r="Z20" s="7"/>
      <c r="AA20" s="128">
        <v>195</v>
      </c>
    </row>
    <row r="21" spans="1:27" x14ac:dyDescent="0.35">
      <c r="A21">
        <v>20</v>
      </c>
      <c r="B21" s="59">
        <v>70</v>
      </c>
      <c r="C21" s="32">
        <v>60</v>
      </c>
      <c r="D21" s="32">
        <v>52</v>
      </c>
      <c r="E21" s="32">
        <v>43</v>
      </c>
      <c r="F21" s="32">
        <v>37</v>
      </c>
      <c r="G21" s="32">
        <v>23</v>
      </c>
      <c r="H21" s="128">
        <v>21</v>
      </c>
      <c r="K21">
        <v>20</v>
      </c>
      <c r="L21" s="59">
        <v>70</v>
      </c>
      <c r="M21" s="32">
        <v>60</v>
      </c>
      <c r="N21" s="32">
        <v>52</v>
      </c>
      <c r="O21" s="32">
        <v>43</v>
      </c>
      <c r="P21" s="32">
        <v>37</v>
      </c>
      <c r="Q21" s="32">
        <v>23</v>
      </c>
      <c r="R21" s="128">
        <v>21</v>
      </c>
      <c r="T21">
        <v>43</v>
      </c>
      <c r="U21" s="59"/>
      <c r="V21" s="7">
        <v>336</v>
      </c>
      <c r="W21" s="23">
        <v>310</v>
      </c>
      <c r="X21" s="23">
        <v>280</v>
      </c>
      <c r="Y21" s="7">
        <v>261</v>
      </c>
      <c r="Z21" s="7"/>
      <c r="AA21" s="128">
        <v>207</v>
      </c>
    </row>
    <row r="22" spans="1:27" x14ac:dyDescent="0.35">
      <c r="A22">
        <v>21</v>
      </c>
      <c r="B22" s="59">
        <v>78</v>
      </c>
      <c r="C22" s="32">
        <v>67</v>
      </c>
      <c r="D22" s="32">
        <v>58</v>
      </c>
      <c r="E22" s="32">
        <v>49</v>
      </c>
      <c r="F22" s="32">
        <v>42</v>
      </c>
      <c r="G22" s="32">
        <v>32</v>
      </c>
      <c r="H22" s="128">
        <v>25</v>
      </c>
      <c r="K22">
        <v>21</v>
      </c>
      <c r="L22" s="59">
        <v>78</v>
      </c>
      <c r="M22" s="32">
        <v>67</v>
      </c>
      <c r="N22" s="32">
        <v>58</v>
      </c>
      <c r="O22" s="32">
        <v>49</v>
      </c>
      <c r="P22" s="32">
        <v>42</v>
      </c>
      <c r="Q22" s="32">
        <v>32</v>
      </c>
      <c r="R22" s="128">
        <v>25</v>
      </c>
      <c r="T22">
        <v>44</v>
      </c>
      <c r="U22" s="59"/>
      <c r="V22" s="7">
        <v>353</v>
      </c>
      <c r="W22" s="23">
        <v>327</v>
      </c>
      <c r="X22" s="23">
        <v>296</v>
      </c>
      <c r="Y22" s="7">
        <v>276</v>
      </c>
      <c r="Z22" s="7"/>
      <c r="AA22" s="128">
        <v>220</v>
      </c>
    </row>
    <row r="23" spans="1:27" x14ac:dyDescent="0.35">
      <c r="A23">
        <v>22</v>
      </c>
      <c r="B23" s="59">
        <v>86</v>
      </c>
      <c r="C23" s="32">
        <v>75</v>
      </c>
      <c r="D23" s="32">
        <v>65</v>
      </c>
      <c r="E23" s="32">
        <v>56</v>
      </c>
      <c r="F23" s="32">
        <v>48</v>
      </c>
      <c r="G23" s="32">
        <v>34</v>
      </c>
      <c r="H23" s="128">
        <v>30</v>
      </c>
      <c r="K23">
        <v>22</v>
      </c>
      <c r="L23" s="59">
        <v>86</v>
      </c>
      <c r="M23" s="32">
        <v>75</v>
      </c>
      <c r="N23" s="32">
        <v>65</v>
      </c>
      <c r="O23" s="32">
        <v>56</v>
      </c>
      <c r="P23" s="32">
        <v>48</v>
      </c>
      <c r="Q23" s="32">
        <v>34</v>
      </c>
      <c r="R23" s="128">
        <v>30</v>
      </c>
      <c r="T23">
        <v>45</v>
      </c>
      <c r="U23" s="59"/>
      <c r="V23" s="7">
        <v>371</v>
      </c>
      <c r="W23" s="23">
        <v>343</v>
      </c>
      <c r="X23" s="23">
        <v>312</v>
      </c>
      <c r="Y23" s="7">
        <v>291</v>
      </c>
      <c r="Z23" s="7"/>
      <c r="AA23" s="128">
        <v>233</v>
      </c>
    </row>
    <row r="24" spans="1:27" x14ac:dyDescent="0.35">
      <c r="A24">
        <v>23</v>
      </c>
      <c r="B24" s="59">
        <v>95</v>
      </c>
      <c r="C24" s="32">
        <v>83</v>
      </c>
      <c r="D24" s="32">
        <v>73</v>
      </c>
      <c r="E24" s="32">
        <v>62</v>
      </c>
      <c r="F24" s="32">
        <v>54</v>
      </c>
      <c r="G24" s="32">
        <v>40</v>
      </c>
      <c r="H24" s="128">
        <v>35</v>
      </c>
      <c r="K24">
        <v>23</v>
      </c>
      <c r="L24" s="59">
        <v>95</v>
      </c>
      <c r="M24" s="32">
        <v>83</v>
      </c>
      <c r="N24" s="32">
        <v>73</v>
      </c>
      <c r="O24" s="32">
        <v>62</v>
      </c>
      <c r="P24" s="32">
        <v>54</v>
      </c>
      <c r="Q24" s="32">
        <v>40</v>
      </c>
      <c r="R24" s="128">
        <v>35</v>
      </c>
      <c r="T24">
        <v>46</v>
      </c>
      <c r="U24" s="59"/>
      <c r="V24" s="7">
        <v>389</v>
      </c>
      <c r="W24" s="23">
        <v>361</v>
      </c>
      <c r="X24" s="23">
        <v>328</v>
      </c>
      <c r="Y24" s="7">
        <v>307</v>
      </c>
      <c r="Z24" s="7"/>
      <c r="AA24" s="128">
        <v>246</v>
      </c>
    </row>
    <row r="25" spans="1:27" x14ac:dyDescent="0.35">
      <c r="A25">
        <v>24</v>
      </c>
      <c r="B25" s="59">
        <v>104</v>
      </c>
      <c r="C25" s="32">
        <v>91</v>
      </c>
      <c r="D25" s="32">
        <v>81</v>
      </c>
      <c r="E25" s="32">
        <v>69</v>
      </c>
      <c r="F25" s="32">
        <v>61</v>
      </c>
      <c r="G25" s="32">
        <v>46</v>
      </c>
      <c r="H25" s="128">
        <v>40</v>
      </c>
      <c r="K25">
        <v>24</v>
      </c>
      <c r="L25" s="59">
        <v>104</v>
      </c>
      <c r="M25" s="32">
        <v>91</v>
      </c>
      <c r="N25" s="32">
        <v>81</v>
      </c>
      <c r="O25" s="32">
        <v>69</v>
      </c>
      <c r="P25" s="32">
        <v>61</v>
      </c>
      <c r="Q25" s="32">
        <v>46</v>
      </c>
      <c r="R25" s="128">
        <v>40</v>
      </c>
      <c r="T25">
        <v>47</v>
      </c>
      <c r="U25" s="59"/>
      <c r="V25" s="7">
        <v>407</v>
      </c>
      <c r="W25" s="23">
        <v>378</v>
      </c>
      <c r="X25" s="23">
        <v>345</v>
      </c>
      <c r="Y25" s="7">
        <v>322</v>
      </c>
      <c r="Z25" s="7"/>
      <c r="AA25" s="128">
        <v>260</v>
      </c>
    </row>
    <row r="26" spans="1:27" x14ac:dyDescent="0.35">
      <c r="A26">
        <v>25</v>
      </c>
      <c r="B26" s="59">
        <v>115</v>
      </c>
      <c r="C26" s="32">
        <v>100</v>
      </c>
      <c r="D26" s="32">
        <v>89</v>
      </c>
      <c r="E26" s="32">
        <v>77</v>
      </c>
      <c r="F26" s="32">
        <v>68</v>
      </c>
      <c r="G26" s="32">
        <v>51</v>
      </c>
      <c r="H26" s="128">
        <v>45</v>
      </c>
      <c r="K26">
        <v>25</v>
      </c>
      <c r="L26" s="59">
        <v>115</v>
      </c>
      <c r="M26" s="32">
        <v>100</v>
      </c>
      <c r="N26" s="32">
        <v>89</v>
      </c>
      <c r="O26" s="32">
        <v>77</v>
      </c>
      <c r="P26" s="32">
        <v>68</v>
      </c>
      <c r="Q26" s="32">
        <v>51</v>
      </c>
      <c r="R26" s="128">
        <v>45</v>
      </c>
      <c r="T26">
        <v>48</v>
      </c>
      <c r="U26" s="59"/>
      <c r="V26" s="7">
        <v>426</v>
      </c>
      <c r="W26" s="23">
        <v>396</v>
      </c>
      <c r="X26" s="23">
        <v>362</v>
      </c>
      <c r="Y26" s="7">
        <v>339</v>
      </c>
      <c r="Z26" s="7"/>
      <c r="AA26" s="128">
        <v>274</v>
      </c>
    </row>
    <row r="27" spans="1:27" x14ac:dyDescent="0.35">
      <c r="A27">
        <v>26</v>
      </c>
      <c r="B27" s="59">
        <v>124</v>
      </c>
      <c r="C27" s="32">
        <v>110</v>
      </c>
      <c r="D27" s="32">
        <v>98</v>
      </c>
      <c r="E27" s="32">
        <v>84</v>
      </c>
      <c r="F27" s="32">
        <v>75</v>
      </c>
      <c r="G27" s="32">
        <v>58</v>
      </c>
      <c r="H27" s="128">
        <v>51</v>
      </c>
      <c r="K27">
        <v>26</v>
      </c>
      <c r="L27" s="59">
        <v>124</v>
      </c>
      <c r="M27" s="32">
        <v>110</v>
      </c>
      <c r="N27" s="32">
        <v>98</v>
      </c>
      <c r="O27" s="32">
        <v>84</v>
      </c>
      <c r="P27" s="32">
        <v>75</v>
      </c>
      <c r="Q27" s="32">
        <v>58</v>
      </c>
      <c r="R27" s="128">
        <v>51</v>
      </c>
      <c r="T27">
        <v>49</v>
      </c>
      <c r="U27" s="59"/>
      <c r="V27" s="7">
        <v>446</v>
      </c>
      <c r="W27" s="23">
        <v>415</v>
      </c>
      <c r="X27" s="23">
        <v>379</v>
      </c>
      <c r="Y27" s="7">
        <v>355</v>
      </c>
      <c r="Z27" s="7"/>
      <c r="AA27" s="128">
        <v>289</v>
      </c>
    </row>
    <row r="28" spans="1:27" x14ac:dyDescent="0.35">
      <c r="A28">
        <v>27</v>
      </c>
      <c r="B28" s="59">
        <v>135</v>
      </c>
      <c r="C28" s="7">
        <v>119</v>
      </c>
      <c r="D28" s="23">
        <v>107</v>
      </c>
      <c r="E28" s="23">
        <v>92</v>
      </c>
      <c r="F28" s="7">
        <v>83</v>
      </c>
      <c r="G28" s="132">
        <v>63</v>
      </c>
      <c r="H28" s="128">
        <v>57</v>
      </c>
      <c r="K28">
        <v>27</v>
      </c>
      <c r="L28" s="45">
        <v>135</v>
      </c>
      <c r="M28" s="106">
        <v>119</v>
      </c>
      <c r="N28" s="112">
        <v>107</v>
      </c>
      <c r="O28" s="112">
        <v>92</v>
      </c>
      <c r="P28" s="106">
        <v>83</v>
      </c>
      <c r="Q28" s="138">
        <v>63</v>
      </c>
      <c r="R28" s="129">
        <v>57</v>
      </c>
      <c r="T28">
        <v>50</v>
      </c>
      <c r="U28" s="45"/>
      <c r="V28" s="106">
        <v>466</v>
      </c>
      <c r="W28" s="106">
        <v>434</v>
      </c>
      <c r="X28" s="106">
        <v>397</v>
      </c>
      <c r="Y28" s="106">
        <v>373</v>
      </c>
      <c r="Z28" s="106"/>
      <c r="AA28" s="129">
        <v>304</v>
      </c>
    </row>
    <row r="29" spans="1:27" x14ac:dyDescent="0.35">
      <c r="A29">
        <v>28</v>
      </c>
      <c r="B29" s="59">
        <v>146</v>
      </c>
      <c r="C29" s="7">
        <v>130</v>
      </c>
      <c r="D29" s="7">
        <v>116</v>
      </c>
      <c r="E29" s="7">
        <v>101</v>
      </c>
      <c r="F29" s="7">
        <v>91</v>
      </c>
      <c r="G29" s="132">
        <v>71</v>
      </c>
      <c r="H29" s="128">
        <v>64</v>
      </c>
    </row>
    <row r="30" spans="1:27" x14ac:dyDescent="0.35">
      <c r="A30" s="23">
        <v>29</v>
      </c>
      <c r="B30" s="63">
        <v>157</v>
      </c>
      <c r="C30" s="7">
        <v>140</v>
      </c>
      <c r="D30" s="23">
        <v>126</v>
      </c>
      <c r="E30" s="23">
        <v>110</v>
      </c>
      <c r="F30" s="7">
        <v>100</v>
      </c>
      <c r="G30" s="132">
        <v>80</v>
      </c>
      <c r="H30" s="128">
        <v>71</v>
      </c>
    </row>
    <row r="31" spans="1:27" x14ac:dyDescent="0.35">
      <c r="A31">
        <v>30</v>
      </c>
      <c r="B31" s="63">
        <v>169</v>
      </c>
      <c r="C31" s="7">
        <v>151</v>
      </c>
      <c r="D31" s="7">
        <v>137</v>
      </c>
      <c r="E31" s="7">
        <v>120</v>
      </c>
      <c r="F31" s="7">
        <v>109</v>
      </c>
      <c r="G31" s="132">
        <v>85</v>
      </c>
      <c r="H31" s="128">
        <v>78</v>
      </c>
    </row>
    <row r="32" spans="1:27" x14ac:dyDescent="0.35">
      <c r="A32">
        <v>31</v>
      </c>
      <c r="B32" s="63">
        <v>181</v>
      </c>
      <c r="C32" s="7">
        <v>163</v>
      </c>
      <c r="D32" s="23">
        <v>147</v>
      </c>
      <c r="E32" s="23">
        <v>130</v>
      </c>
      <c r="F32" s="7">
        <v>118</v>
      </c>
      <c r="G32" s="132">
        <v>95</v>
      </c>
      <c r="H32" s="128">
        <v>86</v>
      </c>
    </row>
    <row r="33" spans="1:8" x14ac:dyDescent="0.35">
      <c r="A33">
        <v>32</v>
      </c>
      <c r="B33" s="63">
        <v>195</v>
      </c>
      <c r="C33" s="7">
        <v>175</v>
      </c>
      <c r="D33" s="23">
        <v>159</v>
      </c>
      <c r="E33" s="23">
        <v>140</v>
      </c>
      <c r="F33" s="7">
        <v>128</v>
      </c>
      <c r="G33" s="132">
        <v>102</v>
      </c>
      <c r="H33" s="128">
        <v>94</v>
      </c>
    </row>
    <row r="34" spans="1:8" x14ac:dyDescent="0.35">
      <c r="A34">
        <v>33</v>
      </c>
      <c r="B34" s="63">
        <v>208</v>
      </c>
      <c r="C34" s="7">
        <v>187</v>
      </c>
      <c r="D34" s="23">
        <v>170</v>
      </c>
      <c r="E34" s="23">
        <v>151</v>
      </c>
      <c r="F34" s="7">
        <v>138</v>
      </c>
      <c r="G34" s="132">
        <v>111</v>
      </c>
      <c r="H34" s="128">
        <v>102</v>
      </c>
    </row>
    <row r="35" spans="1:8" x14ac:dyDescent="0.35">
      <c r="A35">
        <v>34</v>
      </c>
      <c r="B35" s="63">
        <v>221</v>
      </c>
      <c r="C35" s="7">
        <v>200</v>
      </c>
      <c r="D35" s="23">
        <v>182</v>
      </c>
      <c r="E35" s="23">
        <v>162</v>
      </c>
      <c r="F35" s="7">
        <v>148</v>
      </c>
      <c r="G35" s="132">
        <v>123</v>
      </c>
      <c r="H35" s="128">
        <v>111</v>
      </c>
    </row>
    <row r="36" spans="1:8" x14ac:dyDescent="0.35">
      <c r="A36">
        <v>35</v>
      </c>
      <c r="B36" s="63">
        <v>236</v>
      </c>
      <c r="C36" s="7">
        <v>213</v>
      </c>
      <c r="D36" s="7">
        <v>195</v>
      </c>
      <c r="E36" s="7">
        <v>173</v>
      </c>
      <c r="F36" s="7">
        <v>159</v>
      </c>
      <c r="G36" s="132">
        <v>130</v>
      </c>
      <c r="H36" s="128">
        <v>120</v>
      </c>
    </row>
    <row r="37" spans="1:8" x14ac:dyDescent="0.35">
      <c r="A37">
        <v>36</v>
      </c>
      <c r="B37" s="63">
        <v>250</v>
      </c>
      <c r="C37" s="7">
        <v>227</v>
      </c>
      <c r="D37" s="23">
        <v>208</v>
      </c>
      <c r="E37" s="23">
        <v>185</v>
      </c>
      <c r="F37" s="7">
        <v>171</v>
      </c>
      <c r="G37" s="132">
        <v>139</v>
      </c>
      <c r="H37" s="128">
        <v>130</v>
      </c>
    </row>
    <row r="38" spans="1:8" x14ac:dyDescent="0.35">
      <c r="A38">
        <v>37</v>
      </c>
      <c r="B38" s="63">
        <v>266</v>
      </c>
      <c r="C38" s="7">
        <v>241</v>
      </c>
      <c r="D38" s="23">
        <v>221</v>
      </c>
      <c r="E38" s="23">
        <v>198</v>
      </c>
      <c r="F38" s="7">
        <v>182</v>
      </c>
      <c r="G38" s="132">
        <v>153</v>
      </c>
      <c r="H38" s="128">
        <v>140</v>
      </c>
    </row>
    <row r="39" spans="1:8" x14ac:dyDescent="0.35">
      <c r="A39">
        <v>38</v>
      </c>
      <c r="B39" s="63">
        <v>281</v>
      </c>
      <c r="C39" s="7">
        <v>256</v>
      </c>
      <c r="D39" s="23">
        <v>235</v>
      </c>
      <c r="E39" s="23">
        <v>211</v>
      </c>
      <c r="F39" s="7">
        <v>194</v>
      </c>
      <c r="G39" s="132">
        <v>163</v>
      </c>
      <c r="H39" s="128">
        <v>150</v>
      </c>
    </row>
    <row r="40" spans="1:8" x14ac:dyDescent="0.35">
      <c r="A40">
        <v>39</v>
      </c>
      <c r="B40" s="63">
        <v>297</v>
      </c>
      <c r="C40" s="7">
        <v>271</v>
      </c>
      <c r="D40" s="23">
        <v>249</v>
      </c>
      <c r="E40" s="23">
        <v>224</v>
      </c>
      <c r="F40" s="7">
        <v>207</v>
      </c>
      <c r="G40" s="132">
        <v>176</v>
      </c>
      <c r="H40" s="128">
        <v>161</v>
      </c>
    </row>
    <row r="41" spans="1:8" x14ac:dyDescent="0.35">
      <c r="A41">
        <v>40</v>
      </c>
      <c r="B41" s="63">
        <v>314</v>
      </c>
      <c r="C41" s="7">
        <v>286</v>
      </c>
      <c r="D41" s="7">
        <v>264</v>
      </c>
      <c r="E41" s="7">
        <v>238</v>
      </c>
      <c r="F41" s="7">
        <v>220</v>
      </c>
      <c r="G41" s="132">
        <v>186</v>
      </c>
      <c r="H41" s="128">
        <v>172</v>
      </c>
    </row>
    <row r="42" spans="1:8" x14ac:dyDescent="0.35">
      <c r="A42">
        <v>41</v>
      </c>
      <c r="B42" s="59"/>
      <c r="C42" s="7">
        <v>302</v>
      </c>
      <c r="D42" s="23">
        <v>279</v>
      </c>
      <c r="E42" s="23">
        <v>252</v>
      </c>
      <c r="F42" s="7">
        <v>233</v>
      </c>
      <c r="G42" s="7"/>
      <c r="H42" s="128">
        <v>183</v>
      </c>
    </row>
    <row r="43" spans="1:8" x14ac:dyDescent="0.35">
      <c r="A43">
        <v>42</v>
      </c>
      <c r="B43" s="59"/>
      <c r="C43" s="7">
        <v>319</v>
      </c>
      <c r="D43" s="23">
        <v>294</v>
      </c>
      <c r="E43" s="23">
        <v>266</v>
      </c>
      <c r="F43" s="7">
        <v>247</v>
      </c>
      <c r="G43" s="7"/>
      <c r="H43" s="128">
        <v>195</v>
      </c>
    </row>
    <row r="44" spans="1:8" x14ac:dyDescent="0.35">
      <c r="A44">
        <v>43</v>
      </c>
      <c r="B44" s="59"/>
      <c r="C44" s="7">
        <v>336</v>
      </c>
      <c r="D44" s="23">
        <v>310</v>
      </c>
      <c r="E44" s="23">
        <v>280</v>
      </c>
      <c r="F44" s="7">
        <v>261</v>
      </c>
      <c r="G44" s="7"/>
      <c r="H44" s="128">
        <v>207</v>
      </c>
    </row>
    <row r="45" spans="1:8" x14ac:dyDescent="0.35">
      <c r="A45">
        <v>44</v>
      </c>
      <c r="B45" s="59"/>
      <c r="C45" s="7">
        <v>353</v>
      </c>
      <c r="D45" s="23">
        <v>327</v>
      </c>
      <c r="E45" s="23">
        <v>296</v>
      </c>
      <c r="F45" s="7">
        <v>276</v>
      </c>
      <c r="G45" s="7"/>
      <c r="H45" s="128">
        <v>220</v>
      </c>
    </row>
    <row r="46" spans="1:8" x14ac:dyDescent="0.35">
      <c r="A46">
        <v>45</v>
      </c>
      <c r="B46" s="59"/>
      <c r="C46" s="7">
        <v>371</v>
      </c>
      <c r="D46" s="23">
        <v>343</v>
      </c>
      <c r="E46" s="23">
        <v>312</v>
      </c>
      <c r="F46" s="7">
        <v>291</v>
      </c>
      <c r="G46" s="7"/>
      <c r="H46" s="128">
        <v>233</v>
      </c>
    </row>
    <row r="47" spans="1:8" x14ac:dyDescent="0.35">
      <c r="A47">
        <v>46</v>
      </c>
      <c r="B47" s="59"/>
      <c r="C47" s="7">
        <v>389</v>
      </c>
      <c r="D47" s="23">
        <v>361</v>
      </c>
      <c r="E47" s="23">
        <v>328</v>
      </c>
      <c r="F47" s="7">
        <v>307</v>
      </c>
      <c r="G47" s="7"/>
      <c r="H47" s="128">
        <v>246</v>
      </c>
    </row>
    <row r="48" spans="1:8" x14ac:dyDescent="0.35">
      <c r="A48">
        <v>47</v>
      </c>
      <c r="B48" s="59"/>
      <c r="C48" s="7">
        <v>407</v>
      </c>
      <c r="D48" s="23">
        <v>378</v>
      </c>
      <c r="E48" s="23">
        <v>345</v>
      </c>
      <c r="F48" s="7">
        <v>322</v>
      </c>
      <c r="G48" s="7"/>
      <c r="H48" s="128">
        <v>260</v>
      </c>
    </row>
    <row r="49" spans="1:8" x14ac:dyDescent="0.35">
      <c r="A49">
        <v>48</v>
      </c>
      <c r="B49" s="59"/>
      <c r="C49" s="7">
        <v>426</v>
      </c>
      <c r="D49" s="23">
        <v>396</v>
      </c>
      <c r="E49" s="23">
        <v>362</v>
      </c>
      <c r="F49" s="7">
        <v>339</v>
      </c>
      <c r="G49" s="7"/>
      <c r="H49" s="128">
        <v>274</v>
      </c>
    </row>
    <row r="50" spans="1:8" x14ac:dyDescent="0.35">
      <c r="A50">
        <v>49</v>
      </c>
      <c r="B50" s="59"/>
      <c r="C50" s="7">
        <v>446</v>
      </c>
      <c r="D50" s="23">
        <v>415</v>
      </c>
      <c r="E50" s="23">
        <v>379</v>
      </c>
      <c r="F50" s="7">
        <v>355</v>
      </c>
      <c r="G50" s="7"/>
      <c r="H50" s="128">
        <v>289</v>
      </c>
    </row>
    <row r="51" spans="1:8" x14ac:dyDescent="0.35">
      <c r="A51">
        <v>50</v>
      </c>
      <c r="B51" s="45"/>
      <c r="C51" s="106">
        <v>466</v>
      </c>
      <c r="D51" s="106">
        <v>434</v>
      </c>
      <c r="E51" s="106">
        <v>397</v>
      </c>
      <c r="F51" s="106">
        <v>373</v>
      </c>
      <c r="G51" s="106"/>
      <c r="H51" s="129">
        <v>304</v>
      </c>
    </row>
    <row r="54" spans="1:8" x14ac:dyDescent="0.35">
      <c r="A54" t="s">
        <v>86</v>
      </c>
    </row>
    <row r="55" spans="1:8" x14ac:dyDescent="0.35">
      <c r="A55" t="s">
        <v>87</v>
      </c>
    </row>
    <row r="57" spans="1:8" x14ac:dyDescent="0.35">
      <c r="A57" t="s">
        <v>88</v>
      </c>
    </row>
    <row r="59" spans="1:8" x14ac:dyDescent="0.35">
      <c r="A59" t="s">
        <v>89</v>
      </c>
    </row>
    <row r="61" spans="1:8" x14ac:dyDescent="0.35">
      <c r="A61" t="s">
        <v>90</v>
      </c>
    </row>
    <row r="62" spans="1:8" x14ac:dyDescent="0.35">
      <c r="A62" t="s">
        <v>91</v>
      </c>
    </row>
    <row r="64" spans="1:8" x14ac:dyDescent="0.35">
      <c r="A64" t="s">
        <v>212</v>
      </c>
    </row>
    <row r="65" spans="1:1" x14ac:dyDescent="0.35">
      <c r="A65" t="s">
        <v>214</v>
      </c>
    </row>
    <row r="67" spans="1:1" x14ac:dyDescent="0.35">
      <c r="A67" t="s">
        <v>213</v>
      </c>
    </row>
    <row r="68" spans="1:1" x14ac:dyDescent="0.35">
      <c r="A68" t="s">
        <v>198</v>
      </c>
    </row>
    <row r="69" spans="1:1" x14ac:dyDescent="0.35">
      <c r="A69" t="s">
        <v>199</v>
      </c>
    </row>
  </sheetData>
  <mergeCells count="3">
    <mergeCell ref="B4:H4"/>
    <mergeCell ref="L4:R4"/>
    <mergeCell ref="U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TOC0</vt:lpstr>
      <vt:lpstr>TOC</vt:lpstr>
      <vt:lpstr>Sign Test</vt:lpstr>
      <vt:lpstr>Sign Test 1</vt:lpstr>
      <vt:lpstr>Sign A</vt:lpstr>
      <vt:lpstr>Sign B</vt:lpstr>
      <vt:lpstr>Trinom</vt:lpstr>
      <vt:lpstr>Moods</vt:lpstr>
      <vt:lpstr>Wilcoxon 1</vt:lpstr>
      <vt:lpstr>Wilcoxon 2</vt:lpstr>
      <vt:lpstr>Wilcoxon 3</vt:lpstr>
      <vt:lpstr>Wilcoxon 4</vt:lpstr>
      <vt:lpstr>Wil Exact</vt:lpstr>
      <vt:lpstr>Wil Exact 1</vt:lpstr>
      <vt:lpstr>Wil Exact 2</vt:lpstr>
      <vt:lpstr>Mann 1</vt:lpstr>
      <vt:lpstr>Mann 1a</vt:lpstr>
      <vt:lpstr>Mann 2</vt:lpstr>
      <vt:lpstr>Mann 3</vt:lpstr>
      <vt:lpstr>Mann 4</vt:lpstr>
      <vt:lpstr>Mann Exact</vt:lpstr>
      <vt:lpstr>Mann Exact 1</vt:lpstr>
      <vt:lpstr>MW</vt:lpstr>
      <vt:lpstr>Cliff</vt:lpstr>
      <vt:lpstr>MW Pow 1</vt:lpstr>
      <vt:lpstr>MW Pow 2</vt:lpstr>
      <vt:lpstr>Wilcox Pair 1</vt:lpstr>
      <vt:lpstr>Wilcox Pair 2</vt:lpstr>
      <vt:lpstr>Wilcox Pair 3</vt:lpstr>
      <vt:lpstr>SR CI 1</vt:lpstr>
      <vt:lpstr>SR CI 2</vt:lpstr>
      <vt:lpstr>Signed Rank</vt:lpstr>
      <vt:lpstr>Signed Rank 1</vt:lpstr>
      <vt:lpstr>Signed Rank 2</vt:lpstr>
      <vt:lpstr>SR Exact</vt:lpstr>
      <vt:lpstr>Multiple SR</vt:lpstr>
      <vt:lpstr>SR Size</vt:lpstr>
      <vt:lpstr>Wilcoxon Table</vt:lpstr>
      <vt:lpstr>Mann Table</vt:lpstr>
      <vt:lpstr>RSign Table</vt:lpstr>
      <vt:lpstr>Signed Rank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2015-05-22T15:20:10Z</cp:lastPrinted>
  <dcterms:created xsi:type="dcterms:W3CDTF">2011-12-03T11:22:59Z</dcterms:created>
  <dcterms:modified xsi:type="dcterms:W3CDTF">2020-06-24T06:04:45Z</dcterms:modified>
</cp:coreProperties>
</file>