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현재_통합_문서" defaultThemeVersion="164011"/>
  <bookViews>
    <workbookView xWindow="-120" yWindow="-120" windowWidth="29040" windowHeight="15840" activeTab="1"/>
  </bookViews>
  <sheets>
    <sheet name="매출업체list" sheetId="14" r:id="rId1"/>
    <sheet name="2024.01" sheetId="35" r:id="rId2"/>
    <sheet name="2023.12" sheetId="34" r:id="rId3"/>
    <sheet name="2023.11" sheetId="33" r:id="rId4"/>
    <sheet name="2023.10" sheetId="32" r:id="rId5"/>
    <sheet name="2023.09" sheetId="31" r:id="rId6"/>
    <sheet name="2023.08" sheetId="30" r:id="rId7"/>
    <sheet name="2023.07" sheetId="29" r:id="rId8"/>
    <sheet name="2023.06" sheetId="28" r:id="rId9"/>
    <sheet name="2023.05" sheetId="27" r:id="rId10"/>
    <sheet name="2023.04" sheetId="26" r:id="rId11"/>
    <sheet name="2023.03" sheetId="25" r:id="rId12"/>
    <sheet name="2023.02" sheetId="24" r:id="rId13"/>
    <sheet name="2023.01" sheetId="23" r:id="rId14"/>
    <sheet name="202212" sheetId="22" r:id="rId15"/>
    <sheet name="2022.11" sheetId="21" r:id="rId16"/>
    <sheet name="2022.10" sheetId="20" r:id="rId17"/>
    <sheet name="2022.09" sheetId="19" r:id="rId18"/>
    <sheet name="2022.08" sheetId="18" r:id="rId19"/>
    <sheet name="2022.07" sheetId="16" r:id="rId20"/>
    <sheet name="2022.06" sheetId="15" r:id="rId21"/>
    <sheet name="2022.05.31" sheetId="13" r:id="rId22"/>
    <sheet name="2022.05" sheetId="12" r:id="rId23"/>
    <sheet name="2022.04" sheetId="11" r:id="rId24"/>
    <sheet name="2022.03" sheetId="10" r:id="rId25"/>
    <sheet name="2022.02" sheetId="9" r:id="rId26"/>
    <sheet name="2022.01" sheetId="8" r:id="rId27"/>
    <sheet name="2021.12" sheetId="7" r:id="rId28"/>
    <sheet name="2021.11" sheetId="6" r:id="rId29"/>
    <sheet name="2021.10" sheetId="5" r:id="rId30"/>
    <sheet name="2021.09" sheetId="4" r:id="rId31"/>
    <sheet name="2021.08" sheetId="3" r:id="rId32"/>
    <sheet name="2021.07" sheetId="2" r:id="rId33"/>
  </sheets>
  <definedNames>
    <definedName name="_xlnm._FilterDatabase" localSheetId="32" hidden="1">'2021.07'!$A$1:$H$1</definedName>
    <definedName name="_xlnm._FilterDatabase" localSheetId="31" hidden="1">'2021.08'!$A$1:$H$1</definedName>
    <definedName name="_xlnm._FilterDatabase" localSheetId="30" hidden="1">'2021.09'!$A$3:$I$3</definedName>
    <definedName name="_xlnm._FilterDatabase" localSheetId="29" hidden="1">'2021.10'!$A$3:$I$3</definedName>
    <definedName name="_xlnm._FilterDatabase" localSheetId="28" hidden="1">'2021.11'!$A$3:$I$3</definedName>
    <definedName name="_xlnm._FilterDatabase" localSheetId="27" hidden="1">'2021.12'!$A$3:$I$3</definedName>
    <definedName name="_xlnm._FilterDatabase" localSheetId="26" hidden="1">'2022.01'!$A$3:$I$3</definedName>
    <definedName name="_xlnm._FilterDatabase" localSheetId="25" hidden="1">'2022.02'!$A$3:$I$3</definedName>
    <definedName name="_xlnm._FilterDatabase" localSheetId="24" hidden="1">'2022.03'!$A$3:$I$3</definedName>
    <definedName name="_xlnm._FilterDatabase" localSheetId="23" hidden="1">'2022.04'!$A$3:$I$3</definedName>
    <definedName name="_xlnm._FilterDatabase" localSheetId="22" hidden="1">'2022.05'!$A$3:$I$3</definedName>
    <definedName name="_xlnm._FilterDatabase" localSheetId="21" hidden="1">'2022.05.31'!$A$3:$I$3</definedName>
    <definedName name="_xlnm._FilterDatabase" localSheetId="20" hidden="1">'2022.06'!$A$3:$I$3</definedName>
    <definedName name="_xlnm._FilterDatabase" localSheetId="19" hidden="1">'2022.07'!$A$3:$I$3</definedName>
    <definedName name="_xlnm._FilterDatabase" localSheetId="18" hidden="1">'2022.08'!$A$3:$I$3</definedName>
    <definedName name="_xlnm._FilterDatabase" localSheetId="17" hidden="1">'2022.09'!$A$3:$I$3</definedName>
    <definedName name="_xlnm._FilterDatabase" localSheetId="16" hidden="1">'2022.10'!$A$3:$I$3</definedName>
    <definedName name="_xlnm._FilterDatabase" localSheetId="15" hidden="1">'2022.11'!$A$3:$J$3</definedName>
    <definedName name="_xlnm._FilterDatabase" localSheetId="14" hidden="1">'202212'!$A$3:$J$3</definedName>
    <definedName name="_xlnm._FilterDatabase" localSheetId="13" hidden="1">'2023.01'!$A$3:$J$3</definedName>
    <definedName name="_xlnm._FilterDatabase" localSheetId="12" hidden="1">'2023.02'!$A$3:$K$3</definedName>
    <definedName name="_xlnm._FilterDatabase" localSheetId="11" hidden="1">'2023.03'!$A$3:$K$3</definedName>
    <definedName name="_xlnm._FilterDatabase" localSheetId="10" hidden="1">'2023.04'!$A$3:$K$3</definedName>
    <definedName name="_xlnm._FilterDatabase" localSheetId="9" hidden="1">'2023.05'!$A$3:$K$3</definedName>
    <definedName name="_xlnm._FilterDatabase" localSheetId="8" hidden="1">'2023.06'!$A$3:$K$3</definedName>
    <definedName name="_xlnm._FilterDatabase" localSheetId="7" hidden="1">'2023.07'!$A$3:$M$3</definedName>
    <definedName name="_xlnm._FilterDatabase" localSheetId="6" hidden="1">'2023.08'!$A$3:$M$3</definedName>
    <definedName name="_xlnm._FilterDatabase" localSheetId="5" hidden="1">'2023.09'!$A$3:$M$3</definedName>
    <definedName name="_xlnm._FilterDatabase" localSheetId="4" hidden="1">'2023.10'!$A$3:$M$3</definedName>
    <definedName name="_xlnm._FilterDatabase" localSheetId="3" hidden="1">'2023.11'!$A$3:$M$3</definedName>
    <definedName name="_xlnm._FilterDatabase" localSheetId="2" hidden="1">'2023.12'!$A$3:$M$3</definedName>
    <definedName name="_xlnm._FilterDatabase" localSheetId="1" hidden="1">'2024.01'!$A$3:$M$3</definedName>
    <definedName name="_xlnm._FilterDatabase" localSheetId="0" hidden="1">매출업체list!$A$3:$J$3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5" i="35" l="1"/>
  <c r="H45" i="35" s="1"/>
  <c r="G44" i="35"/>
  <c r="H44" i="35" s="1"/>
  <c r="H43" i="35"/>
  <c r="I43" i="35" s="1"/>
  <c r="G43" i="35"/>
  <c r="E39" i="35"/>
  <c r="G38" i="35"/>
  <c r="H38" i="35" s="1"/>
  <c r="I38" i="35" s="1"/>
  <c r="A38" i="35"/>
  <c r="I37" i="35"/>
  <c r="G37" i="35"/>
  <c r="G36" i="35"/>
  <c r="H36" i="35" s="1"/>
  <c r="I36" i="35" s="1"/>
  <c r="A36" i="35"/>
  <c r="H35" i="35"/>
  <c r="I35" i="35" s="1"/>
  <c r="G35" i="35"/>
  <c r="A35" i="35"/>
  <c r="H34" i="35"/>
  <c r="I34" i="35" s="1"/>
  <c r="G34" i="35"/>
  <c r="A34" i="35"/>
  <c r="G33" i="35"/>
  <c r="H33" i="35" s="1"/>
  <c r="I33" i="35" s="1"/>
  <c r="A33" i="35"/>
  <c r="G32" i="35"/>
  <c r="H32" i="35" s="1"/>
  <c r="I32" i="35" s="1"/>
  <c r="A32" i="35"/>
  <c r="H31" i="35"/>
  <c r="I31" i="35" s="1"/>
  <c r="G31" i="35"/>
  <c r="A31" i="35"/>
  <c r="H30" i="35"/>
  <c r="I30" i="35" s="1"/>
  <c r="G30" i="35"/>
  <c r="A30" i="35"/>
  <c r="G29" i="35"/>
  <c r="H29" i="35" s="1"/>
  <c r="I29" i="35" s="1"/>
  <c r="A29" i="35"/>
  <c r="G28" i="35"/>
  <c r="H28" i="35" s="1"/>
  <c r="I28" i="35" s="1"/>
  <c r="A28" i="35"/>
  <c r="G27" i="35"/>
  <c r="H27" i="35" s="1"/>
  <c r="I27" i="35" s="1"/>
  <c r="A27" i="35"/>
  <c r="G26" i="35"/>
  <c r="H26" i="35" s="1"/>
  <c r="I26" i="35" s="1"/>
  <c r="A26" i="35"/>
  <c r="A25" i="35"/>
  <c r="A24" i="35"/>
  <c r="G23" i="35"/>
  <c r="H23" i="35" s="1"/>
  <c r="I23" i="35" s="1"/>
  <c r="A23" i="35"/>
  <c r="H22" i="35"/>
  <c r="I22" i="35" s="1"/>
  <c r="G22" i="35"/>
  <c r="A22" i="35"/>
  <c r="G21" i="35"/>
  <c r="H21" i="35" s="1"/>
  <c r="I21" i="35" s="1"/>
  <c r="A21" i="35"/>
  <c r="H20" i="35"/>
  <c r="I20" i="35" s="1"/>
  <c r="G20" i="35"/>
  <c r="A20" i="35"/>
  <c r="G19" i="35"/>
  <c r="H19" i="35" s="1"/>
  <c r="I19" i="35" s="1"/>
  <c r="A19" i="35"/>
  <c r="G18" i="35"/>
  <c r="H18" i="35" s="1"/>
  <c r="I18" i="35" s="1"/>
  <c r="A18" i="35"/>
  <c r="G17" i="35"/>
  <c r="H17" i="35" s="1"/>
  <c r="I17" i="35" s="1"/>
  <c r="A17" i="35"/>
  <c r="G16" i="35"/>
  <c r="H16" i="35" s="1"/>
  <c r="I16" i="35" s="1"/>
  <c r="A16" i="35"/>
  <c r="G15" i="35"/>
  <c r="H15" i="35" s="1"/>
  <c r="I15" i="35" s="1"/>
  <c r="A15" i="35"/>
  <c r="G14" i="35"/>
  <c r="H14" i="35" s="1"/>
  <c r="I14" i="35" s="1"/>
  <c r="A14" i="35"/>
  <c r="A13" i="35"/>
  <c r="F39" i="35"/>
  <c r="F41" i="35" s="1"/>
  <c r="A12" i="35"/>
  <c r="G11" i="35"/>
  <c r="I11" i="35" s="1"/>
  <c r="A11" i="35"/>
  <c r="G10" i="35"/>
  <c r="H10" i="35" s="1"/>
  <c r="I10" i="35" s="1"/>
  <c r="A10" i="35"/>
  <c r="G9" i="35"/>
  <c r="H9" i="35" s="1"/>
  <c r="I9" i="35" s="1"/>
  <c r="A9" i="35"/>
  <c r="G8" i="35"/>
  <c r="H8" i="35" s="1"/>
  <c r="I8" i="35" s="1"/>
  <c r="A8" i="35"/>
  <c r="G7" i="35"/>
  <c r="H7" i="35" s="1"/>
  <c r="I7" i="35" s="1"/>
  <c r="A7" i="35"/>
  <c r="G6" i="35"/>
  <c r="H6" i="35" s="1"/>
  <c r="I6" i="35" s="1"/>
  <c r="A6" i="35"/>
  <c r="G5" i="35"/>
  <c r="H5" i="35" s="1"/>
  <c r="I5" i="35" s="1"/>
  <c r="A5" i="35"/>
  <c r="G4" i="35"/>
  <c r="A4" i="35"/>
  <c r="H4" i="35" l="1"/>
  <c r="G12" i="35"/>
  <c r="G39" i="35" s="1"/>
  <c r="G41" i="35" s="1"/>
  <c r="G24" i="35"/>
  <c r="H24" i="35" s="1"/>
  <c r="I24" i="35" s="1"/>
  <c r="G13" i="35"/>
  <c r="H13" i="35" s="1"/>
  <c r="I13" i="35" s="1"/>
  <c r="G25" i="35"/>
  <c r="H25" i="35" s="1"/>
  <c r="I25" i="35" s="1"/>
  <c r="F13" i="34"/>
  <c r="F12" i="34"/>
  <c r="H12" i="35" l="1"/>
  <c r="I12" i="35" s="1"/>
  <c r="I4" i="35"/>
  <c r="H39" i="35"/>
  <c r="F19" i="34"/>
  <c r="I39" i="35" l="1"/>
  <c r="H41" i="35"/>
  <c r="G32" i="34"/>
  <c r="H32" i="34" s="1"/>
  <c r="I32" i="34" s="1"/>
  <c r="A32" i="34"/>
  <c r="G31" i="34" l="1"/>
  <c r="H31" i="34" s="1"/>
  <c r="I31" i="34" s="1"/>
  <c r="A31" i="34"/>
  <c r="F28" i="34" l="1"/>
  <c r="F25" i="34" l="1"/>
  <c r="F24" i="34"/>
  <c r="F23" i="34"/>
  <c r="F36" i="34" l="1"/>
  <c r="F27" i="34" l="1"/>
  <c r="F31" i="33" l="1"/>
  <c r="A31" i="33"/>
  <c r="G31" i="33" l="1"/>
  <c r="H31" i="33" s="1"/>
  <c r="I31" i="33" s="1"/>
  <c r="F13" i="33"/>
  <c r="F12" i="33"/>
  <c r="G45" i="34" l="1"/>
  <c r="H45" i="34" s="1"/>
  <c r="G44" i="34"/>
  <c r="H44" i="34" s="1"/>
  <c r="G43" i="34"/>
  <c r="H43" i="34" s="1"/>
  <c r="I43" i="34" s="1"/>
  <c r="E39" i="34"/>
  <c r="G38" i="34"/>
  <c r="H38" i="34" s="1"/>
  <c r="I38" i="34" s="1"/>
  <c r="A38" i="34"/>
  <c r="I37" i="34"/>
  <c r="G37" i="34"/>
  <c r="G36" i="34"/>
  <c r="H36" i="34" s="1"/>
  <c r="I36" i="34" s="1"/>
  <c r="A36" i="34"/>
  <c r="G35" i="34"/>
  <c r="H35" i="34" s="1"/>
  <c r="I35" i="34" s="1"/>
  <c r="A35" i="34"/>
  <c r="G34" i="34"/>
  <c r="H34" i="34" s="1"/>
  <c r="I34" i="34" s="1"/>
  <c r="A34" i="34"/>
  <c r="G33" i="34"/>
  <c r="H33" i="34" s="1"/>
  <c r="I33" i="34" s="1"/>
  <c r="A33" i="34"/>
  <c r="G30" i="34"/>
  <c r="H30" i="34" s="1"/>
  <c r="I30" i="34" s="1"/>
  <c r="A30" i="34"/>
  <c r="G29" i="34"/>
  <c r="H29" i="34" s="1"/>
  <c r="I29" i="34" s="1"/>
  <c r="A29" i="34"/>
  <c r="G28" i="34"/>
  <c r="H28" i="34" s="1"/>
  <c r="I28" i="34" s="1"/>
  <c r="A28" i="34"/>
  <c r="G27" i="34"/>
  <c r="H27" i="34" s="1"/>
  <c r="I27" i="34" s="1"/>
  <c r="A27" i="34"/>
  <c r="G26" i="34"/>
  <c r="H26" i="34" s="1"/>
  <c r="I26" i="34" s="1"/>
  <c r="A26" i="34"/>
  <c r="G25" i="34"/>
  <c r="H25" i="34" s="1"/>
  <c r="I25" i="34" s="1"/>
  <c r="A25" i="34"/>
  <c r="G24" i="34"/>
  <c r="H24" i="34" s="1"/>
  <c r="I24" i="34" s="1"/>
  <c r="A24" i="34"/>
  <c r="G23" i="34"/>
  <c r="H23" i="34" s="1"/>
  <c r="I23" i="34" s="1"/>
  <c r="A23" i="34"/>
  <c r="G22" i="34"/>
  <c r="H22" i="34" s="1"/>
  <c r="I22" i="34" s="1"/>
  <c r="A22" i="34"/>
  <c r="A21" i="34"/>
  <c r="G20" i="34"/>
  <c r="H20" i="34" s="1"/>
  <c r="I20" i="34" s="1"/>
  <c r="A20" i="34"/>
  <c r="A19" i="34"/>
  <c r="G18" i="34"/>
  <c r="H18" i="34" s="1"/>
  <c r="I18" i="34" s="1"/>
  <c r="A18" i="34"/>
  <c r="G17" i="34"/>
  <c r="H17" i="34" s="1"/>
  <c r="I17" i="34" s="1"/>
  <c r="A17" i="34"/>
  <c r="G16" i="34"/>
  <c r="H16" i="34" s="1"/>
  <c r="I16" i="34" s="1"/>
  <c r="A16" i="34"/>
  <c r="G15" i="34"/>
  <c r="H15" i="34" s="1"/>
  <c r="I15" i="34" s="1"/>
  <c r="A15" i="34"/>
  <c r="G14" i="34"/>
  <c r="H14" i="34" s="1"/>
  <c r="I14" i="34" s="1"/>
  <c r="A14" i="34"/>
  <c r="G13" i="34"/>
  <c r="H13" i="34" s="1"/>
  <c r="I13" i="34" s="1"/>
  <c r="A13" i="34"/>
  <c r="G12" i="34"/>
  <c r="H12" i="34" s="1"/>
  <c r="I12" i="34" s="1"/>
  <c r="A12" i="34"/>
  <c r="G11" i="34"/>
  <c r="H11" i="34" s="1"/>
  <c r="I11" i="34" s="1"/>
  <c r="A11" i="34"/>
  <c r="G10" i="34"/>
  <c r="H10" i="34" s="1"/>
  <c r="I10" i="34" s="1"/>
  <c r="A10" i="34"/>
  <c r="G9" i="34"/>
  <c r="H9" i="34" s="1"/>
  <c r="I9" i="34" s="1"/>
  <c r="A9" i="34"/>
  <c r="G8" i="34"/>
  <c r="H8" i="34" s="1"/>
  <c r="I8" i="34" s="1"/>
  <c r="A8" i="34"/>
  <c r="G7" i="34"/>
  <c r="H7" i="34" s="1"/>
  <c r="I7" i="34" s="1"/>
  <c r="A7" i="34"/>
  <c r="G6" i="34"/>
  <c r="H6" i="34" s="1"/>
  <c r="I6" i="34" s="1"/>
  <c r="A6" i="34"/>
  <c r="G5" i="34"/>
  <c r="H5" i="34" s="1"/>
  <c r="I5" i="34" s="1"/>
  <c r="A5" i="34"/>
  <c r="G4" i="34"/>
  <c r="A4" i="34"/>
  <c r="G19" i="34" l="1"/>
  <c r="G21" i="34"/>
  <c r="H21" i="34" s="1"/>
  <c r="I21" i="34" s="1"/>
  <c r="F39" i="34"/>
  <c r="F41" i="34" s="1"/>
  <c r="H4" i="34"/>
  <c r="F14" i="33"/>
  <c r="G39" i="34" l="1"/>
  <c r="G41" i="34" s="1"/>
  <c r="H19" i="34"/>
  <c r="I19" i="34" s="1"/>
  <c r="I4" i="34"/>
  <c r="H39" i="34"/>
  <c r="F19" i="33"/>
  <c r="H41" i="34" l="1"/>
  <c r="I39" i="34"/>
  <c r="F17" i="33" l="1"/>
  <c r="F28" i="33" l="1"/>
  <c r="G44" i="33" l="1"/>
  <c r="G30" i="33"/>
  <c r="G29" i="33"/>
  <c r="G28" i="33"/>
  <c r="G26" i="33"/>
  <c r="G25" i="33"/>
  <c r="G5" i="33"/>
  <c r="G6" i="33"/>
  <c r="G7" i="33"/>
  <c r="G8" i="33"/>
  <c r="G9" i="33"/>
  <c r="G10" i="33"/>
  <c r="G11" i="33"/>
  <c r="G12" i="33"/>
  <c r="G13" i="33"/>
  <c r="G14" i="33"/>
  <c r="G15" i="33"/>
  <c r="G16" i="33"/>
  <c r="G17" i="33"/>
  <c r="G18" i="33"/>
  <c r="G19" i="33"/>
  <c r="G20" i="33"/>
  <c r="G21" i="33"/>
  <c r="G22" i="33"/>
  <c r="G23" i="33"/>
  <c r="G24" i="33"/>
  <c r="G27" i="33"/>
  <c r="G32" i="33"/>
  <c r="G33" i="33"/>
  <c r="G34" i="33"/>
  <c r="G35" i="33"/>
  <c r="G4" i="33"/>
  <c r="F21" i="33"/>
  <c r="H44" i="33" l="1"/>
  <c r="H43" i="33"/>
  <c r="G43" i="33"/>
  <c r="H42" i="33"/>
  <c r="I42" i="33" s="1"/>
  <c r="G42" i="33"/>
  <c r="E38" i="33"/>
  <c r="G37" i="33"/>
  <c r="H37" i="33" s="1"/>
  <c r="I37" i="33" s="1"/>
  <c r="A37" i="33"/>
  <c r="I36" i="33"/>
  <c r="G36" i="33"/>
  <c r="H35" i="33"/>
  <c r="I35" i="33" s="1"/>
  <c r="A35" i="33"/>
  <c r="H34" i="33"/>
  <c r="I34" i="33" s="1"/>
  <c r="A34" i="33"/>
  <c r="H33" i="33"/>
  <c r="I33" i="33" s="1"/>
  <c r="A33" i="33"/>
  <c r="H32" i="33"/>
  <c r="I32" i="33" s="1"/>
  <c r="A32" i="33"/>
  <c r="H30" i="33"/>
  <c r="I30" i="33" s="1"/>
  <c r="A30" i="33"/>
  <c r="H29" i="33"/>
  <c r="I29" i="33" s="1"/>
  <c r="A29" i="33"/>
  <c r="A28" i="33"/>
  <c r="H27" i="33"/>
  <c r="I27" i="33" s="1"/>
  <c r="A27" i="33"/>
  <c r="H26" i="33"/>
  <c r="I26" i="33" s="1"/>
  <c r="A26" i="33"/>
  <c r="H25" i="33"/>
  <c r="I25" i="33" s="1"/>
  <c r="A25" i="33"/>
  <c r="A24" i="33"/>
  <c r="A23" i="33"/>
  <c r="H22" i="33"/>
  <c r="I22" i="33" s="1"/>
  <c r="A22" i="33"/>
  <c r="A21" i="33"/>
  <c r="H20" i="33"/>
  <c r="I20" i="33" s="1"/>
  <c r="A20" i="33"/>
  <c r="A19" i="33"/>
  <c r="H18" i="33"/>
  <c r="I18" i="33" s="1"/>
  <c r="A18" i="33"/>
  <c r="A17" i="33"/>
  <c r="H16" i="33"/>
  <c r="I16" i="33" s="1"/>
  <c r="A16" i="33"/>
  <c r="H15" i="33"/>
  <c r="I15" i="33" s="1"/>
  <c r="A15" i="33"/>
  <c r="A14" i="33"/>
  <c r="H13" i="33"/>
  <c r="I13" i="33" s="1"/>
  <c r="A13" i="33"/>
  <c r="H12" i="33"/>
  <c r="I12" i="33" s="1"/>
  <c r="A12" i="33"/>
  <c r="H11" i="33"/>
  <c r="I11" i="33" s="1"/>
  <c r="A11" i="33"/>
  <c r="H10" i="33"/>
  <c r="I10" i="33" s="1"/>
  <c r="A10" i="33"/>
  <c r="H9" i="33"/>
  <c r="I9" i="33" s="1"/>
  <c r="A9" i="33"/>
  <c r="H8" i="33"/>
  <c r="I8" i="33" s="1"/>
  <c r="A8" i="33"/>
  <c r="H7" i="33"/>
  <c r="I7" i="33" s="1"/>
  <c r="A7" i="33"/>
  <c r="H6" i="33"/>
  <c r="I6" i="33" s="1"/>
  <c r="A6" i="33"/>
  <c r="H5" i="33"/>
  <c r="I5" i="33" s="1"/>
  <c r="A5" i="33"/>
  <c r="F38" i="33"/>
  <c r="F40" i="33" s="1"/>
  <c r="A4" i="33"/>
  <c r="H21" i="33" l="1"/>
  <c r="I21" i="33" s="1"/>
  <c r="H23" i="33"/>
  <c r="I23" i="33" s="1"/>
  <c r="H17" i="33"/>
  <c r="I17" i="33" s="1"/>
  <c r="H19" i="33"/>
  <c r="I19" i="33" s="1"/>
  <c r="H24" i="33"/>
  <c r="I24" i="33" s="1"/>
  <c r="H14" i="33"/>
  <c r="I14" i="33" s="1"/>
  <c r="H28" i="33"/>
  <c r="I28" i="33" s="1"/>
  <c r="F14" i="32"/>
  <c r="G38" i="33" l="1"/>
  <c r="G40" i="33" s="1"/>
  <c r="H4" i="33"/>
  <c r="F19" i="32"/>
  <c r="H38" i="33" l="1"/>
  <c r="I4" i="33"/>
  <c r="F21" i="32"/>
  <c r="I38" i="33" l="1"/>
  <c r="H40" i="33"/>
  <c r="F4" i="32"/>
  <c r="G30" i="32" l="1"/>
  <c r="H30" i="32" s="1"/>
  <c r="I30" i="32" s="1"/>
  <c r="F30" i="32"/>
  <c r="A30" i="32"/>
  <c r="F29" i="32" l="1"/>
  <c r="A29" i="32"/>
  <c r="G29" i="32" l="1"/>
  <c r="H29" i="32" s="1"/>
  <c r="I29" i="32" s="1"/>
  <c r="F27" i="32"/>
  <c r="F26" i="32"/>
  <c r="F25" i="32"/>
  <c r="F17" i="32" l="1"/>
  <c r="G45" i="32" l="1"/>
  <c r="G46" i="32"/>
  <c r="H46" i="32" s="1"/>
  <c r="G47" i="32"/>
  <c r="H47" i="32" s="1"/>
  <c r="H48" i="32"/>
  <c r="H45" i="32"/>
  <c r="G44" i="32"/>
  <c r="H44" i="32" s="1"/>
  <c r="H43" i="32"/>
  <c r="I43" i="32" s="1"/>
  <c r="G43" i="32"/>
  <c r="F39" i="32"/>
  <c r="F41" i="32" s="1"/>
  <c r="E39" i="32"/>
  <c r="H38" i="32"/>
  <c r="I38" i="32" s="1"/>
  <c r="G38" i="32"/>
  <c r="A38" i="32"/>
  <c r="I37" i="32"/>
  <c r="G37" i="32"/>
  <c r="G36" i="32"/>
  <c r="H36" i="32" s="1"/>
  <c r="I36" i="32" s="1"/>
  <c r="A36" i="32"/>
  <c r="G35" i="32"/>
  <c r="H35" i="32" s="1"/>
  <c r="I35" i="32" s="1"/>
  <c r="A35" i="32"/>
  <c r="G34" i="32"/>
  <c r="H34" i="32" s="1"/>
  <c r="I34" i="32" s="1"/>
  <c r="A34" i="32"/>
  <c r="G33" i="32"/>
  <c r="H33" i="32" s="1"/>
  <c r="I33" i="32" s="1"/>
  <c r="A33" i="32"/>
  <c r="A32" i="32"/>
  <c r="A31" i="32"/>
  <c r="G28" i="32"/>
  <c r="H28" i="32" s="1"/>
  <c r="I28" i="32" s="1"/>
  <c r="A28" i="32"/>
  <c r="G27" i="32"/>
  <c r="H27" i="32" s="1"/>
  <c r="I27" i="32" s="1"/>
  <c r="A27" i="32"/>
  <c r="G26" i="32"/>
  <c r="H26" i="32" s="1"/>
  <c r="I26" i="32" s="1"/>
  <c r="A26" i="32"/>
  <c r="G25" i="32"/>
  <c r="H25" i="32" s="1"/>
  <c r="I25" i="32" s="1"/>
  <c r="A25" i="32"/>
  <c r="G24" i="32"/>
  <c r="H24" i="32" s="1"/>
  <c r="I24" i="32" s="1"/>
  <c r="A24" i="32"/>
  <c r="G23" i="32"/>
  <c r="H23" i="32" s="1"/>
  <c r="I23" i="32" s="1"/>
  <c r="A23" i="32"/>
  <c r="G22" i="32"/>
  <c r="H22" i="32" s="1"/>
  <c r="I22" i="32" s="1"/>
  <c r="A22" i="32"/>
  <c r="G21" i="32"/>
  <c r="H21" i="32" s="1"/>
  <c r="I21" i="32" s="1"/>
  <c r="A21" i="32"/>
  <c r="G20" i="32"/>
  <c r="H20" i="32" s="1"/>
  <c r="I20" i="32" s="1"/>
  <c r="A20" i="32"/>
  <c r="G19" i="32"/>
  <c r="H19" i="32" s="1"/>
  <c r="I19" i="32" s="1"/>
  <c r="A19" i="32"/>
  <c r="G18" i="32"/>
  <c r="H18" i="32" s="1"/>
  <c r="I18" i="32" s="1"/>
  <c r="A18" i="32"/>
  <c r="A17" i="32"/>
  <c r="G16" i="32"/>
  <c r="H16" i="32" s="1"/>
  <c r="I16" i="32" s="1"/>
  <c r="A16" i="32"/>
  <c r="G15" i="32"/>
  <c r="H15" i="32" s="1"/>
  <c r="I15" i="32" s="1"/>
  <c r="A15" i="32"/>
  <c r="G14" i="32"/>
  <c r="H14" i="32" s="1"/>
  <c r="I14" i="32" s="1"/>
  <c r="A14" i="32"/>
  <c r="G13" i="32"/>
  <c r="H13" i="32" s="1"/>
  <c r="I13" i="32" s="1"/>
  <c r="A13" i="32"/>
  <c r="G12" i="32"/>
  <c r="H12" i="32" s="1"/>
  <c r="I12" i="32" s="1"/>
  <c r="A12" i="32"/>
  <c r="G11" i="32"/>
  <c r="H11" i="32" s="1"/>
  <c r="I11" i="32" s="1"/>
  <c r="A11" i="32"/>
  <c r="G10" i="32"/>
  <c r="H10" i="32" s="1"/>
  <c r="I10" i="32" s="1"/>
  <c r="A10" i="32"/>
  <c r="G9" i="32"/>
  <c r="H9" i="32" s="1"/>
  <c r="I9" i="32" s="1"/>
  <c r="A9" i="32"/>
  <c r="G8" i="32"/>
  <c r="H8" i="32" s="1"/>
  <c r="I8" i="32" s="1"/>
  <c r="A8" i="32"/>
  <c r="G7" i="32"/>
  <c r="H7" i="32" s="1"/>
  <c r="I7" i="32" s="1"/>
  <c r="A7" i="32"/>
  <c r="G6" i="32"/>
  <c r="H6" i="32" s="1"/>
  <c r="I6" i="32" s="1"/>
  <c r="A6" i="32"/>
  <c r="G5" i="32"/>
  <c r="H5" i="32" s="1"/>
  <c r="I5" i="32" s="1"/>
  <c r="A5" i="32"/>
  <c r="G4" i="32"/>
  <c r="H4" i="32" s="1"/>
  <c r="I4" i="32" s="1"/>
  <c r="A4" i="32"/>
  <c r="G31" i="32" l="1"/>
  <c r="H31" i="32" s="1"/>
  <c r="I31" i="32" s="1"/>
  <c r="G17" i="32"/>
  <c r="G32" i="32"/>
  <c r="H32" i="32" s="1"/>
  <c r="I32" i="32" s="1"/>
  <c r="G6" i="31"/>
  <c r="H6" i="31" s="1"/>
  <c r="I6" i="31" s="1"/>
  <c r="A6" i="31"/>
  <c r="G39" i="32" l="1"/>
  <c r="G41" i="32" s="1"/>
  <c r="H17" i="32"/>
  <c r="F13" i="31"/>
  <c r="I17" i="32" l="1"/>
  <c r="H39" i="32"/>
  <c r="F12" i="31"/>
  <c r="H41" i="32" l="1"/>
  <c r="I39" i="32"/>
  <c r="F21" i="31"/>
  <c r="F19" i="31" l="1"/>
  <c r="F29" i="31" l="1"/>
  <c r="F17" i="31" l="1"/>
  <c r="G31" i="31" l="1"/>
  <c r="H31" i="31" s="1"/>
  <c r="I31" i="31" s="1"/>
  <c r="A31" i="31"/>
  <c r="F30" i="31"/>
  <c r="A30" i="31"/>
  <c r="G30" i="31" l="1"/>
  <c r="H30" i="31" s="1"/>
  <c r="I30" i="31" s="1"/>
  <c r="H47" i="30"/>
  <c r="H46" i="31" l="1"/>
  <c r="H45" i="31"/>
  <c r="H43" i="31"/>
  <c r="H44" i="31"/>
  <c r="G42" i="31"/>
  <c r="H42" i="31" s="1"/>
  <c r="G41" i="31"/>
  <c r="H41" i="31" s="1"/>
  <c r="I41" i="31" s="1"/>
  <c r="E37" i="31"/>
  <c r="G36" i="31"/>
  <c r="H36" i="31" s="1"/>
  <c r="I36" i="31" s="1"/>
  <c r="A36" i="31"/>
  <c r="I35" i="31"/>
  <c r="G35" i="31"/>
  <c r="G34" i="31"/>
  <c r="H34" i="31" s="1"/>
  <c r="I34" i="31" s="1"/>
  <c r="A34" i="31"/>
  <c r="G33" i="31"/>
  <c r="H33" i="31" s="1"/>
  <c r="I33" i="31" s="1"/>
  <c r="A33" i="31"/>
  <c r="G32" i="31"/>
  <c r="H32" i="31" s="1"/>
  <c r="I32" i="31" s="1"/>
  <c r="A32" i="31"/>
  <c r="G29" i="31"/>
  <c r="H29" i="31" s="1"/>
  <c r="I29" i="31" s="1"/>
  <c r="A29" i="31"/>
  <c r="G28" i="31"/>
  <c r="H28" i="31" s="1"/>
  <c r="I28" i="31" s="1"/>
  <c r="A28" i="31"/>
  <c r="G27" i="31"/>
  <c r="H27" i="31" s="1"/>
  <c r="I27" i="31" s="1"/>
  <c r="A27" i="31"/>
  <c r="A26" i="31"/>
  <c r="A25" i="31"/>
  <c r="G24" i="31"/>
  <c r="H24" i="31" s="1"/>
  <c r="I24" i="31" s="1"/>
  <c r="A24" i="31"/>
  <c r="G23" i="31"/>
  <c r="H23" i="31" s="1"/>
  <c r="I23" i="31" s="1"/>
  <c r="A23" i="31"/>
  <c r="G22" i="31"/>
  <c r="H22" i="31" s="1"/>
  <c r="I22" i="31" s="1"/>
  <c r="A22" i="31"/>
  <c r="G21" i="31"/>
  <c r="H21" i="31" s="1"/>
  <c r="I21" i="31" s="1"/>
  <c r="F37" i="31"/>
  <c r="F39" i="31" s="1"/>
  <c r="A21" i="31"/>
  <c r="G20" i="31"/>
  <c r="H20" i="31" s="1"/>
  <c r="I20" i="31" s="1"/>
  <c r="A20" i="31"/>
  <c r="G19" i="31"/>
  <c r="H19" i="31" s="1"/>
  <c r="I19" i="31" s="1"/>
  <c r="A19" i="31"/>
  <c r="G18" i="31"/>
  <c r="H18" i="31" s="1"/>
  <c r="I18" i="31" s="1"/>
  <c r="A18" i="31"/>
  <c r="G17" i="31"/>
  <c r="H17" i="31" s="1"/>
  <c r="I17" i="31" s="1"/>
  <c r="A17" i="31"/>
  <c r="G16" i="31"/>
  <c r="H16" i="31" s="1"/>
  <c r="I16" i="31" s="1"/>
  <c r="A16" i="31"/>
  <c r="G15" i="31"/>
  <c r="H15" i="31" s="1"/>
  <c r="I15" i="31" s="1"/>
  <c r="A15" i="31"/>
  <c r="G14" i="31"/>
  <c r="H14" i="31" s="1"/>
  <c r="I14" i="31" s="1"/>
  <c r="A14" i="31"/>
  <c r="G13" i="31"/>
  <c r="H13" i="31" s="1"/>
  <c r="I13" i="31" s="1"/>
  <c r="A13" i="31"/>
  <c r="G12" i="31"/>
  <c r="H12" i="31" s="1"/>
  <c r="I12" i="31" s="1"/>
  <c r="A12" i="31"/>
  <c r="G11" i="31"/>
  <c r="H11" i="31" s="1"/>
  <c r="I11" i="31" s="1"/>
  <c r="A11" i="31"/>
  <c r="G10" i="31"/>
  <c r="H10" i="31" s="1"/>
  <c r="I10" i="31" s="1"/>
  <c r="A10" i="31"/>
  <c r="G9" i="31"/>
  <c r="H9" i="31" s="1"/>
  <c r="I9" i="31" s="1"/>
  <c r="A9" i="31"/>
  <c r="G8" i="31"/>
  <c r="H8" i="31" s="1"/>
  <c r="I8" i="31" s="1"/>
  <c r="A8" i="31"/>
  <c r="G7" i="31"/>
  <c r="H7" i="31" s="1"/>
  <c r="I7" i="31" s="1"/>
  <c r="A7" i="31"/>
  <c r="G5" i="31"/>
  <c r="H5" i="31" s="1"/>
  <c r="I5" i="31" s="1"/>
  <c r="A5" i="31"/>
  <c r="G4" i="31"/>
  <c r="H4" i="31" s="1"/>
  <c r="I4" i="31" s="1"/>
  <c r="A4" i="31"/>
  <c r="G26" i="31" l="1"/>
  <c r="H26" i="31" s="1"/>
  <c r="I26" i="31" s="1"/>
  <c r="G25" i="31"/>
  <c r="H25" i="31" s="1"/>
  <c r="I25" i="31" l="1"/>
  <c r="H37" i="31"/>
  <c r="G37" i="31"/>
  <c r="G39" i="31" s="1"/>
  <c r="H39" i="31" l="1"/>
  <c r="I37" i="31"/>
  <c r="G30" i="30" l="1"/>
  <c r="H30" i="30" s="1"/>
  <c r="I30" i="30" s="1"/>
  <c r="A30" i="30"/>
  <c r="F26" i="30" l="1"/>
  <c r="F25" i="30"/>
  <c r="F24" i="30"/>
  <c r="G24" i="30"/>
  <c r="H24" i="30" s="1"/>
  <c r="I24" i="30" s="1"/>
  <c r="A24" i="30"/>
  <c r="G23" i="30"/>
  <c r="H23" i="30" s="1"/>
  <c r="I23" i="30" s="1"/>
  <c r="A23" i="30"/>
  <c r="G22" i="30"/>
  <c r="H22" i="30" s="1"/>
  <c r="I22" i="30" s="1"/>
  <c r="A22" i="30"/>
  <c r="F21" i="30"/>
  <c r="H43" i="30" l="1"/>
  <c r="H45" i="30" l="1"/>
  <c r="H44" i="30" l="1"/>
  <c r="G40" i="30"/>
  <c r="H40" i="30" s="1"/>
  <c r="I40" i="30" s="1"/>
  <c r="G32" i="30"/>
  <c r="H32" i="30" s="1"/>
  <c r="I32" i="30" s="1"/>
  <c r="A32" i="30"/>
  <c r="F20" i="30" l="1"/>
  <c r="I34" i="30" l="1"/>
  <c r="F29" i="30"/>
  <c r="E12" i="29" l="1"/>
  <c r="E11" i="29"/>
  <c r="G25" i="30"/>
  <c r="H25" i="30" s="1"/>
  <c r="I25" i="30" s="1"/>
  <c r="A25" i="30"/>
  <c r="H46" i="30" l="1"/>
  <c r="G41" i="30"/>
  <c r="H41" i="30" s="1"/>
  <c r="H42" i="30"/>
  <c r="I42" i="30" s="1"/>
  <c r="E36" i="30"/>
  <c r="G35" i="30"/>
  <c r="H35" i="30" s="1"/>
  <c r="I35" i="30" s="1"/>
  <c r="A35" i="30"/>
  <c r="G34" i="30"/>
  <c r="G33" i="30"/>
  <c r="H33" i="30" s="1"/>
  <c r="I33" i="30" s="1"/>
  <c r="A33" i="30"/>
  <c r="G31" i="30"/>
  <c r="H31" i="30" s="1"/>
  <c r="I31" i="30" s="1"/>
  <c r="A31" i="30"/>
  <c r="G29" i="30"/>
  <c r="H29" i="30" s="1"/>
  <c r="I29" i="30" s="1"/>
  <c r="A29" i="30"/>
  <c r="G28" i="30"/>
  <c r="H28" i="30" s="1"/>
  <c r="I28" i="30" s="1"/>
  <c r="A28" i="30"/>
  <c r="G27" i="30"/>
  <c r="H27" i="30" s="1"/>
  <c r="I27" i="30" s="1"/>
  <c r="A27" i="30"/>
  <c r="F36" i="30"/>
  <c r="F38" i="30" s="1"/>
  <c r="A26" i="30"/>
  <c r="G21" i="30"/>
  <c r="H21" i="30" s="1"/>
  <c r="I21" i="30" s="1"/>
  <c r="A21" i="30"/>
  <c r="G20" i="30"/>
  <c r="H20" i="30" s="1"/>
  <c r="I20" i="30" s="1"/>
  <c r="A20" i="30"/>
  <c r="G19" i="30"/>
  <c r="H19" i="30" s="1"/>
  <c r="I19" i="30" s="1"/>
  <c r="A19" i="30"/>
  <c r="G18" i="30"/>
  <c r="H18" i="30" s="1"/>
  <c r="I18" i="30" s="1"/>
  <c r="A18" i="30"/>
  <c r="G17" i="30"/>
  <c r="H17" i="30" s="1"/>
  <c r="I17" i="30" s="1"/>
  <c r="A17" i="30"/>
  <c r="G16" i="30"/>
  <c r="H16" i="30" s="1"/>
  <c r="I16" i="30" s="1"/>
  <c r="A16" i="30"/>
  <c r="G15" i="30"/>
  <c r="H15" i="30" s="1"/>
  <c r="I15" i="30" s="1"/>
  <c r="A15" i="30"/>
  <c r="G14" i="30"/>
  <c r="H14" i="30" s="1"/>
  <c r="I14" i="30" s="1"/>
  <c r="A14" i="30"/>
  <c r="G13" i="30"/>
  <c r="H13" i="30" s="1"/>
  <c r="I13" i="30" s="1"/>
  <c r="A13" i="30"/>
  <c r="G12" i="30"/>
  <c r="H12" i="30" s="1"/>
  <c r="I12" i="30" s="1"/>
  <c r="A12" i="30"/>
  <c r="G11" i="30"/>
  <c r="H11" i="30" s="1"/>
  <c r="I11" i="30" s="1"/>
  <c r="A11" i="30"/>
  <c r="G10" i="30"/>
  <c r="H10" i="30" s="1"/>
  <c r="I10" i="30" s="1"/>
  <c r="A10" i="30"/>
  <c r="G9" i="30"/>
  <c r="H9" i="30" s="1"/>
  <c r="I9" i="30" s="1"/>
  <c r="A9" i="30"/>
  <c r="G8" i="30"/>
  <c r="H8" i="30" s="1"/>
  <c r="I8" i="30" s="1"/>
  <c r="A8" i="30"/>
  <c r="G7" i="30"/>
  <c r="H7" i="30" s="1"/>
  <c r="I7" i="30" s="1"/>
  <c r="A7" i="30"/>
  <c r="G6" i="30"/>
  <c r="H6" i="30" s="1"/>
  <c r="I6" i="30" s="1"/>
  <c r="A6" i="30"/>
  <c r="G5" i="30"/>
  <c r="H5" i="30" s="1"/>
  <c r="I5" i="30" s="1"/>
  <c r="A5" i="30"/>
  <c r="G4" i="30"/>
  <c r="H4" i="30" s="1"/>
  <c r="I4" i="30" s="1"/>
  <c r="A4" i="30"/>
  <c r="G26" i="30" l="1"/>
  <c r="H38" i="29"/>
  <c r="I38" i="29" s="1"/>
  <c r="H26" i="30" l="1"/>
  <c r="G36" i="30"/>
  <c r="G38" i="30" s="1"/>
  <c r="F23" i="29"/>
  <c r="H36" i="30" l="1"/>
  <c r="H38" i="30" s="1"/>
  <c r="I26" i="30"/>
  <c r="H37" i="29"/>
  <c r="I37" i="29" s="1"/>
  <c r="I36" i="30" l="1"/>
  <c r="G36" i="29"/>
  <c r="G35" i="29"/>
  <c r="H8" i="29"/>
  <c r="H14" i="29"/>
  <c r="H16" i="29"/>
  <c r="H18" i="29"/>
  <c r="H19" i="29"/>
  <c r="H20" i="29"/>
  <c r="H21" i="29"/>
  <c r="H22" i="29"/>
  <c r="H25" i="29"/>
  <c r="H26" i="29"/>
  <c r="H27" i="29"/>
  <c r="H28" i="29"/>
  <c r="G6" i="29"/>
  <c r="H6" i="29" s="1"/>
  <c r="G7" i="29"/>
  <c r="H7" i="29" s="1"/>
  <c r="G8" i="29"/>
  <c r="G9" i="29"/>
  <c r="H9" i="29" s="1"/>
  <c r="G10" i="29"/>
  <c r="H10" i="29" s="1"/>
  <c r="G11" i="29"/>
  <c r="H11" i="29" s="1"/>
  <c r="G12" i="29"/>
  <c r="H12" i="29" s="1"/>
  <c r="G13" i="29"/>
  <c r="H13" i="29" s="1"/>
  <c r="G14" i="29"/>
  <c r="G15" i="29"/>
  <c r="H15" i="29" s="1"/>
  <c r="G16" i="29"/>
  <c r="G17" i="29"/>
  <c r="H17" i="29" s="1"/>
  <c r="G18" i="29"/>
  <c r="G19" i="29"/>
  <c r="G20" i="29"/>
  <c r="G21" i="29"/>
  <c r="G22" i="29"/>
  <c r="G23" i="29"/>
  <c r="H23" i="29" s="1"/>
  <c r="G24" i="29"/>
  <c r="H24" i="29" s="1"/>
  <c r="G25" i="29"/>
  <c r="G26" i="29"/>
  <c r="G27" i="29"/>
  <c r="G28" i="29"/>
  <c r="G29" i="29"/>
  <c r="G30" i="29"/>
  <c r="G5" i="29"/>
  <c r="H5" i="29" s="1"/>
  <c r="E11" i="14" l="1"/>
  <c r="F11" i="14" s="1"/>
  <c r="G11" i="14" s="1"/>
  <c r="A11" i="14"/>
  <c r="E10" i="14"/>
  <c r="F10" i="14" s="1"/>
  <c r="G10" i="14" s="1"/>
  <c r="A10" i="14"/>
  <c r="A23" i="29"/>
  <c r="A24" i="29"/>
  <c r="E9" i="14"/>
  <c r="A9" i="14"/>
  <c r="A12" i="14"/>
  <c r="E12" i="14"/>
  <c r="F12" i="14" s="1"/>
  <c r="I11" i="29"/>
  <c r="A11" i="29"/>
  <c r="F9" i="14" l="1"/>
  <c r="G9" i="14" s="1"/>
  <c r="G12" i="14"/>
  <c r="I31" i="27"/>
  <c r="I26" i="29"/>
  <c r="I25" i="29"/>
  <c r="I22" i="29"/>
  <c r="I21" i="29"/>
  <c r="I20" i="29"/>
  <c r="I19" i="29"/>
  <c r="I18" i="29"/>
  <c r="I17" i="29"/>
  <c r="I16" i="29"/>
  <c r="I15" i="29"/>
  <c r="I14" i="29"/>
  <c r="I13" i="29"/>
  <c r="I10" i="29"/>
  <c r="I9" i="29"/>
  <c r="I7" i="29"/>
  <c r="I6" i="29"/>
  <c r="H36" i="29"/>
  <c r="I36" i="29" s="1"/>
  <c r="H35" i="29"/>
  <c r="I35" i="29" s="1"/>
  <c r="E31" i="29"/>
  <c r="H30" i="29"/>
  <c r="I30" i="29" s="1"/>
  <c r="A30" i="29"/>
  <c r="I29" i="29"/>
  <c r="A28" i="29"/>
  <c r="I27" i="29"/>
  <c r="A27" i="29"/>
  <c r="A26" i="29"/>
  <c r="A25" i="29"/>
  <c r="A22" i="29"/>
  <c r="A21" i="29"/>
  <c r="A20" i="29"/>
  <c r="A19" i="29"/>
  <c r="A18" i="29"/>
  <c r="A17" i="29"/>
  <c r="A16" i="29"/>
  <c r="A15" i="29"/>
  <c r="A14" i="29"/>
  <c r="A13" i="29"/>
  <c r="A12" i="29"/>
  <c r="A10" i="29"/>
  <c r="A9" i="29"/>
  <c r="I8" i="29"/>
  <c r="A8" i="29"/>
  <c r="A7" i="29"/>
  <c r="A6" i="29"/>
  <c r="A5" i="29"/>
  <c r="G4" i="29"/>
  <c r="H4" i="29" s="1"/>
  <c r="I4" i="29" s="1"/>
  <c r="A4" i="29"/>
  <c r="F31" i="29" l="1"/>
  <c r="F33" i="29" s="1"/>
  <c r="G31" i="29"/>
  <c r="G33" i="29" s="1"/>
  <c r="H31" i="29" l="1"/>
  <c r="I31" i="29" s="1"/>
  <c r="H33" i="29" l="1"/>
  <c r="I37" i="28" l="1"/>
  <c r="I36" i="28"/>
  <c r="G37" i="28"/>
  <c r="G36" i="28"/>
  <c r="F11" i="28" l="1"/>
  <c r="G17" i="28" l="1"/>
  <c r="H17" i="28" s="1"/>
  <c r="I17" i="28" s="1"/>
  <c r="A17" i="28"/>
  <c r="F22" i="28" l="1"/>
  <c r="I36" i="27" l="1"/>
  <c r="I35" i="27"/>
  <c r="G36" i="27" l="1"/>
  <c r="F36" i="27"/>
  <c r="G35" i="27"/>
  <c r="F35" i="27"/>
  <c r="I10" i="28" l="1"/>
  <c r="I19" i="28"/>
  <c r="I26" i="28"/>
  <c r="I30" i="28"/>
  <c r="I31" i="28"/>
  <c r="H37" i="28"/>
  <c r="H36" i="28"/>
  <c r="E32" i="28"/>
  <c r="H31" i="28"/>
  <c r="A31" i="28"/>
  <c r="G29" i="28"/>
  <c r="H29" i="28" s="1"/>
  <c r="I29" i="28" s="1"/>
  <c r="A29" i="28"/>
  <c r="G28" i="28"/>
  <c r="H28" i="28" s="1"/>
  <c r="I28" i="28" s="1"/>
  <c r="A28" i="28"/>
  <c r="G27" i="28"/>
  <c r="H27" i="28" s="1"/>
  <c r="I27" i="28" s="1"/>
  <c r="A27" i="28"/>
  <c r="G26" i="28"/>
  <c r="H26" i="28" s="1"/>
  <c r="A26" i="28"/>
  <c r="G25" i="28"/>
  <c r="H25" i="28" s="1"/>
  <c r="I25" i="28" s="1"/>
  <c r="A25" i="28"/>
  <c r="G24" i="28"/>
  <c r="H24" i="28" s="1"/>
  <c r="I24" i="28" s="1"/>
  <c r="A24" i="28"/>
  <c r="G23" i="28"/>
  <c r="H23" i="28" s="1"/>
  <c r="I23" i="28" s="1"/>
  <c r="A23" i="28"/>
  <c r="A22" i="28"/>
  <c r="G21" i="28"/>
  <c r="H21" i="28" s="1"/>
  <c r="I21" i="28" s="1"/>
  <c r="A21" i="28"/>
  <c r="G20" i="28"/>
  <c r="H20" i="28" s="1"/>
  <c r="I20" i="28" s="1"/>
  <c r="A20" i="28"/>
  <c r="G19" i="28"/>
  <c r="H19" i="28" s="1"/>
  <c r="A19" i="28"/>
  <c r="G18" i="28"/>
  <c r="H18" i="28" s="1"/>
  <c r="I18" i="28" s="1"/>
  <c r="A18" i="28"/>
  <c r="G16" i="28"/>
  <c r="H16" i="28" s="1"/>
  <c r="I16" i="28" s="1"/>
  <c r="F32" i="28"/>
  <c r="F34" i="28" s="1"/>
  <c r="A16" i="28"/>
  <c r="G15" i="28"/>
  <c r="H15" i="28" s="1"/>
  <c r="I15" i="28" s="1"/>
  <c r="A15" i="28"/>
  <c r="G14" i="28"/>
  <c r="H14" i="28" s="1"/>
  <c r="I14" i="28" s="1"/>
  <c r="A14" i="28"/>
  <c r="G13" i="28"/>
  <c r="H13" i="28" s="1"/>
  <c r="I13" i="28" s="1"/>
  <c r="A13" i="28"/>
  <c r="G12" i="28"/>
  <c r="H12" i="28" s="1"/>
  <c r="I12" i="28" s="1"/>
  <c r="A12" i="28"/>
  <c r="G11" i="28"/>
  <c r="H11" i="28" s="1"/>
  <c r="I11" i="28" s="1"/>
  <c r="A11" i="28"/>
  <c r="G10" i="28"/>
  <c r="H10" i="28" s="1"/>
  <c r="A10" i="28"/>
  <c r="G9" i="28"/>
  <c r="H9" i="28" s="1"/>
  <c r="I9" i="28" s="1"/>
  <c r="A9" i="28"/>
  <c r="H8" i="28"/>
  <c r="I8" i="28" s="1"/>
  <c r="A8" i="28"/>
  <c r="G7" i="28"/>
  <c r="H7" i="28" s="1"/>
  <c r="I7" i="28" s="1"/>
  <c r="A7" i="28"/>
  <c r="G6" i="28"/>
  <c r="H6" i="28" s="1"/>
  <c r="I6" i="28" s="1"/>
  <c r="A6" i="28"/>
  <c r="G5" i="28"/>
  <c r="H5" i="28" s="1"/>
  <c r="I5" i="29" s="1"/>
  <c r="A5" i="28"/>
  <c r="G4" i="28"/>
  <c r="A4" i="28"/>
  <c r="G22" i="28" l="1"/>
  <c r="H22" i="28" s="1"/>
  <c r="I22" i="28" s="1"/>
  <c r="H4" i="28"/>
  <c r="I4" i="28" s="1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7" i="27"/>
  <c r="I8" i="27"/>
  <c r="I4" i="27"/>
  <c r="H32" i="28" l="1"/>
  <c r="G32" i="28"/>
  <c r="G34" i="28" s="1"/>
  <c r="F16" i="27"/>
  <c r="I28" i="29" l="1"/>
  <c r="I32" i="28"/>
  <c r="H34" i="28"/>
  <c r="F21" i="27"/>
  <c r="G36" i="26" l="1"/>
  <c r="G35" i="26"/>
  <c r="H36" i="27" l="1"/>
  <c r="H35" i="27"/>
  <c r="F31" i="27"/>
  <c r="F33" i="27" s="1"/>
  <c r="E31" i="27"/>
  <c r="H30" i="27"/>
  <c r="I30" i="27" s="1"/>
  <c r="A30" i="27"/>
  <c r="I29" i="27"/>
  <c r="H28" i="27"/>
  <c r="G28" i="27"/>
  <c r="A28" i="27"/>
  <c r="G27" i="27"/>
  <c r="H27" i="27" s="1"/>
  <c r="A27" i="27"/>
  <c r="G26" i="27"/>
  <c r="H26" i="27" s="1"/>
  <c r="A26" i="27"/>
  <c r="G25" i="27"/>
  <c r="H25" i="27" s="1"/>
  <c r="A25" i="27"/>
  <c r="H24" i="27"/>
  <c r="G24" i="27"/>
  <c r="A24" i="27"/>
  <c r="G23" i="27"/>
  <c r="H23" i="27" s="1"/>
  <c r="A23" i="27"/>
  <c r="G22" i="27"/>
  <c r="H22" i="27" s="1"/>
  <c r="A22" i="27"/>
  <c r="G21" i="27"/>
  <c r="H21" i="27" s="1"/>
  <c r="A21" i="27"/>
  <c r="G20" i="27"/>
  <c r="H20" i="27" s="1"/>
  <c r="A20" i="27"/>
  <c r="G19" i="27"/>
  <c r="H19" i="27" s="1"/>
  <c r="A19" i="27"/>
  <c r="G18" i="27"/>
  <c r="H18" i="27" s="1"/>
  <c r="A18" i="27"/>
  <c r="G17" i="27"/>
  <c r="H17" i="27" s="1"/>
  <c r="A17" i="27"/>
  <c r="G16" i="27"/>
  <c r="H16" i="27" s="1"/>
  <c r="A16" i="27"/>
  <c r="G15" i="27"/>
  <c r="H15" i="27" s="1"/>
  <c r="A15" i="27"/>
  <c r="G14" i="27"/>
  <c r="H14" i="27" s="1"/>
  <c r="A14" i="27"/>
  <c r="G13" i="27"/>
  <c r="H13" i="27" s="1"/>
  <c r="A13" i="27"/>
  <c r="G12" i="27"/>
  <c r="H12" i="27" s="1"/>
  <c r="A12" i="27"/>
  <c r="G11" i="27"/>
  <c r="H11" i="27" s="1"/>
  <c r="A11" i="27"/>
  <c r="G10" i="27"/>
  <c r="H10" i="27" s="1"/>
  <c r="I10" i="27" s="1"/>
  <c r="A10" i="27"/>
  <c r="G9" i="27"/>
  <c r="H9" i="27" s="1"/>
  <c r="I9" i="27" s="1"/>
  <c r="A9" i="27"/>
  <c r="H8" i="27"/>
  <c r="A8" i="27"/>
  <c r="G7" i="27"/>
  <c r="H7" i="27" s="1"/>
  <c r="A7" i="27"/>
  <c r="G6" i="27"/>
  <c r="H6" i="27" s="1"/>
  <c r="I6" i="27" s="1"/>
  <c r="A6" i="27"/>
  <c r="H5" i="27"/>
  <c r="G5" i="27"/>
  <c r="A5" i="27"/>
  <c r="G4" i="27"/>
  <c r="A4" i="27"/>
  <c r="I5" i="28" l="1"/>
  <c r="I5" i="27"/>
  <c r="G31" i="27"/>
  <c r="G33" i="27" s="1"/>
  <c r="H4" i="27"/>
  <c r="H31" i="27" l="1"/>
  <c r="H33" i="27" l="1"/>
  <c r="G36" i="25" l="1"/>
  <c r="F36" i="25"/>
  <c r="H36" i="26" l="1"/>
  <c r="I36" i="26" s="1"/>
  <c r="H35" i="26"/>
  <c r="I35" i="26" s="1"/>
  <c r="E31" i="26"/>
  <c r="H30" i="26"/>
  <c r="I30" i="26" s="1"/>
  <c r="A30" i="26"/>
  <c r="I29" i="26"/>
  <c r="H28" i="26"/>
  <c r="I28" i="26" s="1"/>
  <c r="G28" i="26"/>
  <c r="A28" i="26"/>
  <c r="G27" i="26"/>
  <c r="H27" i="26" s="1"/>
  <c r="I27" i="26" s="1"/>
  <c r="A27" i="26"/>
  <c r="G26" i="26"/>
  <c r="H26" i="26" s="1"/>
  <c r="I26" i="26" s="1"/>
  <c r="A26" i="26"/>
  <c r="G25" i="26"/>
  <c r="H25" i="26" s="1"/>
  <c r="I25" i="26" s="1"/>
  <c r="A25" i="26"/>
  <c r="G24" i="26"/>
  <c r="H24" i="26" s="1"/>
  <c r="I24" i="26" s="1"/>
  <c r="A24" i="26"/>
  <c r="G23" i="26"/>
  <c r="H23" i="26" s="1"/>
  <c r="I23" i="26" s="1"/>
  <c r="A23" i="26"/>
  <c r="G22" i="26"/>
  <c r="H22" i="26" s="1"/>
  <c r="I22" i="26" s="1"/>
  <c r="A22" i="26"/>
  <c r="G21" i="26"/>
  <c r="H21" i="26" s="1"/>
  <c r="I21" i="26" s="1"/>
  <c r="A21" i="26"/>
  <c r="G20" i="26"/>
  <c r="H20" i="26" s="1"/>
  <c r="I20" i="26" s="1"/>
  <c r="A20" i="26"/>
  <c r="G19" i="26"/>
  <c r="H19" i="26" s="1"/>
  <c r="I19" i="26" s="1"/>
  <c r="A19" i="26"/>
  <c r="G18" i="26"/>
  <c r="H18" i="26" s="1"/>
  <c r="I18" i="26" s="1"/>
  <c r="A18" i="26"/>
  <c r="G17" i="26"/>
  <c r="H17" i="26" s="1"/>
  <c r="I17" i="26" s="1"/>
  <c r="A17" i="26"/>
  <c r="G16" i="26"/>
  <c r="H16" i="26" s="1"/>
  <c r="I16" i="26" s="1"/>
  <c r="A16" i="26"/>
  <c r="G15" i="26"/>
  <c r="H15" i="26" s="1"/>
  <c r="I15" i="26" s="1"/>
  <c r="A15" i="26"/>
  <c r="G14" i="26"/>
  <c r="H14" i="26" s="1"/>
  <c r="I14" i="26" s="1"/>
  <c r="A14" i="26"/>
  <c r="G13" i="26"/>
  <c r="H13" i="26" s="1"/>
  <c r="I13" i="26" s="1"/>
  <c r="A13" i="26"/>
  <c r="H12" i="26"/>
  <c r="I12" i="26" s="1"/>
  <c r="G12" i="26"/>
  <c r="A12" i="26"/>
  <c r="G11" i="26"/>
  <c r="H11" i="26" s="1"/>
  <c r="I11" i="26" s="1"/>
  <c r="A11" i="26"/>
  <c r="G10" i="26"/>
  <c r="H10" i="26" s="1"/>
  <c r="A10" i="26"/>
  <c r="G9" i="26"/>
  <c r="H9" i="26" s="1"/>
  <c r="I9" i="26" s="1"/>
  <c r="A9" i="26"/>
  <c r="I8" i="26"/>
  <c r="H8" i="26"/>
  <c r="A8" i="26"/>
  <c r="G7" i="26"/>
  <c r="H7" i="26" s="1"/>
  <c r="I7" i="26" s="1"/>
  <c r="A7" i="26"/>
  <c r="G6" i="26"/>
  <c r="H6" i="26" s="1"/>
  <c r="I6" i="26" s="1"/>
  <c r="A6" i="26"/>
  <c r="G5" i="26"/>
  <c r="H5" i="26" s="1"/>
  <c r="I5" i="26" s="1"/>
  <c r="A5" i="26"/>
  <c r="H4" i="26"/>
  <c r="G4" i="26"/>
  <c r="F31" i="26"/>
  <c r="F33" i="26" s="1"/>
  <c r="A4" i="26"/>
  <c r="G31" i="26" l="1"/>
  <c r="G33" i="26" s="1"/>
  <c r="H31" i="26"/>
  <c r="I4" i="26"/>
  <c r="G25" i="25"/>
  <c r="H25" i="25" s="1"/>
  <c r="I25" i="25" s="1"/>
  <c r="A25" i="25"/>
  <c r="I31" i="26" l="1"/>
  <c r="H33" i="26"/>
  <c r="G22" i="25"/>
  <c r="H22" i="25" s="1"/>
  <c r="I22" i="25" s="1"/>
  <c r="A22" i="25"/>
  <c r="G24" i="25" l="1"/>
  <c r="H24" i="25" s="1"/>
  <c r="I24" i="25" s="1"/>
  <c r="A24" i="25"/>
  <c r="G20" i="25" l="1"/>
  <c r="H20" i="25" s="1"/>
  <c r="I20" i="25" s="1"/>
  <c r="A20" i="25"/>
  <c r="E21" i="14" l="1"/>
  <c r="A21" i="14"/>
  <c r="F21" i="14" l="1"/>
  <c r="G21" i="14" s="1"/>
  <c r="G33" i="24"/>
  <c r="H33" i="24" s="1"/>
  <c r="G32" i="24"/>
  <c r="H32" i="24" s="1"/>
  <c r="G7" i="24" l="1"/>
  <c r="H7" i="24" s="1"/>
  <c r="I7" i="24" s="1"/>
  <c r="A7" i="24"/>
  <c r="H36" i="25" l="1"/>
  <c r="I36" i="25" s="1"/>
  <c r="H35" i="25"/>
  <c r="I35" i="25" s="1"/>
  <c r="E31" i="25"/>
  <c r="H30" i="25"/>
  <c r="I30" i="25" s="1"/>
  <c r="A30" i="25"/>
  <c r="I29" i="25"/>
  <c r="G28" i="25"/>
  <c r="H28" i="25" s="1"/>
  <c r="I28" i="25" s="1"/>
  <c r="A28" i="25"/>
  <c r="G27" i="25"/>
  <c r="H27" i="25" s="1"/>
  <c r="I27" i="25" s="1"/>
  <c r="A27" i="25"/>
  <c r="G26" i="25"/>
  <c r="H26" i="25" s="1"/>
  <c r="I26" i="25" s="1"/>
  <c r="A26" i="25"/>
  <c r="A23" i="25"/>
  <c r="G21" i="25"/>
  <c r="H21" i="25" s="1"/>
  <c r="I21" i="25" s="1"/>
  <c r="A21" i="25"/>
  <c r="G19" i="25"/>
  <c r="H19" i="25" s="1"/>
  <c r="I19" i="25" s="1"/>
  <c r="A19" i="25"/>
  <c r="G18" i="25"/>
  <c r="H18" i="25" s="1"/>
  <c r="I18" i="25" s="1"/>
  <c r="A18" i="25"/>
  <c r="G17" i="25"/>
  <c r="H17" i="25" s="1"/>
  <c r="I17" i="25" s="1"/>
  <c r="A17" i="25"/>
  <c r="G16" i="25"/>
  <c r="H16" i="25" s="1"/>
  <c r="I16" i="25" s="1"/>
  <c r="A16" i="25"/>
  <c r="G15" i="25"/>
  <c r="H15" i="25" s="1"/>
  <c r="I15" i="25" s="1"/>
  <c r="A15" i="25"/>
  <c r="G14" i="25"/>
  <c r="H14" i="25" s="1"/>
  <c r="I14" i="25" s="1"/>
  <c r="A14" i="25"/>
  <c r="G13" i="25"/>
  <c r="H13" i="25" s="1"/>
  <c r="I13" i="25" s="1"/>
  <c r="A13" i="25"/>
  <c r="H12" i="25"/>
  <c r="I12" i="25" s="1"/>
  <c r="G12" i="25"/>
  <c r="A12" i="25"/>
  <c r="G11" i="25"/>
  <c r="H11" i="25" s="1"/>
  <c r="I11" i="25" s="1"/>
  <c r="A11" i="25"/>
  <c r="G10" i="25"/>
  <c r="H10" i="25" s="1"/>
  <c r="A10" i="25"/>
  <c r="G9" i="25"/>
  <c r="H9" i="25" s="1"/>
  <c r="I9" i="25" s="1"/>
  <c r="A9" i="25"/>
  <c r="H8" i="25"/>
  <c r="I8" i="25" s="1"/>
  <c r="A8" i="25"/>
  <c r="G7" i="25"/>
  <c r="H7" i="25" s="1"/>
  <c r="I7" i="25" s="1"/>
  <c r="A7" i="25"/>
  <c r="G6" i="25"/>
  <c r="H6" i="25" s="1"/>
  <c r="I6" i="25" s="1"/>
  <c r="A6" i="25"/>
  <c r="G5" i="25"/>
  <c r="H5" i="25" s="1"/>
  <c r="I5" i="25" s="1"/>
  <c r="A5" i="25"/>
  <c r="F4" i="25"/>
  <c r="G4" i="25" s="1"/>
  <c r="A4" i="25"/>
  <c r="H4" i="25" l="1"/>
  <c r="G23" i="25"/>
  <c r="H23" i="25" s="1"/>
  <c r="I23" i="25" s="1"/>
  <c r="F31" i="25"/>
  <c r="F33" i="25" s="1"/>
  <c r="G19" i="24"/>
  <c r="H19" i="24" s="1"/>
  <c r="I19" i="24" s="1"/>
  <c r="A19" i="24"/>
  <c r="H31" i="25" l="1"/>
  <c r="I4" i="25"/>
  <c r="G31" i="25"/>
  <c r="G33" i="25" s="1"/>
  <c r="G18" i="24"/>
  <c r="H18" i="24" s="1"/>
  <c r="I18" i="24" s="1"/>
  <c r="A18" i="24"/>
  <c r="H33" i="25" l="1"/>
  <c r="I31" i="25"/>
  <c r="G15" i="24"/>
  <c r="H15" i="24" s="1"/>
  <c r="I15" i="24" s="1"/>
  <c r="A15" i="24"/>
  <c r="F22" i="24" l="1"/>
  <c r="E15" i="14" l="1"/>
  <c r="A15" i="14"/>
  <c r="F15" i="14" l="1"/>
  <c r="G15" i="14" s="1"/>
  <c r="E22" i="21" l="1"/>
  <c r="G24" i="22"/>
  <c r="F24" i="22"/>
  <c r="E24" i="22"/>
  <c r="H19" i="22"/>
  <c r="H17" i="21"/>
  <c r="H28" i="23"/>
  <c r="H21" i="23"/>
  <c r="H20" i="23"/>
  <c r="H19" i="23"/>
  <c r="H18" i="23"/>
  <c r="H17" i="23"/>
  <c r="H16" i="23"/>
  <c r="H15" i="23"/>
  <c r="H14" i="23"/>
  <c r="H13" i="23"/>
  <c r="H12" i="23"/>
  <c r="H11" i="23"/>
  <c r="H10" i="23"/>
  <c r="H9" i="23"/>
  <c r="H8" i="23"/>
  <c r="H7" i="23"/>
  <c r="H6" i="23"/>
  <c r="H4" i="23"/>
  <c r="E24" i="23"/>
  <c r="E26" i="23" s="1"/>
  <c r="D24" i="23"/>
  <c r="F29" i="23"/>
  <c r="F28" i="23"/>
  <c r="I33" i="24" l="1"/>
  <c r="I32" i="24"/>
  <c r="E28" i="24"/>
  <c r="H27" i="24"/>
  <c r="I27" i="24" s="1"/>
  <c r="A27" i="24"/>
  <c r="I26" i="24"/>
  <c r="H25" i="24"/>
  <c r="I25" i="24" s="1"/>
  <c r="G25" i="24"/>
  <c r="A25" i="24"/>
  <c r="G24" i="24"/>
  <c r="H24" i="24" s="1"/>
  <c r="I24" i="24" s="1"/>
  <c r="A24" i="24"/>
  <c r="G23" i="24"/>
  <c r="H23" i="24" s="1"/>
  <c r="I23" i="24" s="1"/>
  <c r="A23" i="24"/>
  <c r="A22" i="24"/>
  <c r="G21" i="24"/>
  <c r="H21" i="24" s="1"/>
  <c r="I21" i="24" s="1"/>
  <c r="A21" i="24"/>
  <c r="G20" i="24"/>
  <c r="H20" i="24" s="1"/>
  <c r="I20" i="24" s="1"/>
  <c r="A20" i="24"/>
  <c r="G16" i="24"/>
  <c r="H16" i="24" s="1"/>
  <c r="I16" i="24" s="1"/>
  <c r="A16" i="24"/>
  <c r="G17" i="24"/>
  <c r="H17" i="24" s="1"/>
  <c r="I17" i="24" s="1"/>
  <c r="A17" i="24"/>
  <c r="G14" i="24"/>
  <c r="H14" i="24" s="1"/>
  <c r="I14" i="24" s="1"/>
  <c r="A14" i="24"/>
  <c r="G13" i="24"/>
  <c r="H13" i="24" s="1"/>
  <c r="I13" i="24" s="1"/>
  <c r="A13" i="24"/>
  <c r="G12" i="24"/>
  <c r="H12" i="24" s="1"/>
  <c r="I12" i="24" s="1"/>
  <c r="A12" i="24"/>
  <c r="G11" i="24"/>
  <c r="H11" i="24" s="1"/>
  <c r="A11" i="24"/>
  <c r="G10" i="24"/>
  <c r="H10" i="24" s="1"/>
  <c r="I10" i="24" s="1"/>
  <c r="A10" i="24"/>
  <c r="H9" i="24"/>
  <c r="I9" i="24" s="1"/>
  <c r="A9" i="24"/>
  <c r="G8" i="24"/>
  <c r="H8" i="24" s="1"/>
  <c r="I8" i="24" s="1"/>
  <c r="A8" i="24"/>
  <c r="G6" i="24"/>
  <c r="H6" i="24" s="1"/>
  <c r="I6" i="24" s="1"/>
  <c r="A6" i="24"/>
  <c r="G5" i="24"/>
  <c r="H5" i="24" s="1"/>
  <c r="I5" i="24" s="1"/>
  <c r="A5" i="24"/>
  <c r="F4" i="24"/>
  <c r="F28" i="24" s="1"/>
  <c r="F30" i="24" s="1"/>
  <c r="A4" i="24"/>
  <c r="G4" i="24" l="1"/>
  <c r="H4" i="24" s="1"/>
  <c r="G22" i="24"/>
  <c r="H22" i="24" s="1"/>
  <c r="I22" i="24" s="1"/>
  <c r="G7" i="23"/>
  <c r="I4" i="24" l="1"/>
  <c r="H28" i="24"/>
  <c r="G28" i="24"/>
  <c r="G30" i="24" s="1"/>
  <c r="E19" i="23"/>
  <c r="F19" i="23" s="1"/>
  <c r="G19" i="23" s="1"/>
  <c r="A19" i="23"/>
  <c r="H30" i="24" l="1"/>
  <c r="I28" i="24"/>
  <c r="E18" i="23"/>
  <c r="E17" i="23"/>
  <c r="F18" i="23"/>
  <c r="A18" i="23"/>
  <c r="G18" i="23" l="1"/>
  <c r="A15" i="23" l="1"/>
  <c r="E14" i="23"/>
  <c r="F15" i="23" l="1"/>
  <c r="G15" i="23" s="1"/>
  <c r="E15" i="22"/>
  <c r="F15" i="22" s="1"/>
  <c r="G15" i="22" s="1"/>
  <c r="H15" i="22" s="1"/>
  <c r="H14" i="22"/>
  <c r="A15" i="22"/>
  <c r="G29" i="23" l="1"/>
  <c r="H29" i="23" s="1"/>
  <c r="G28" i="23"/>
  <c r="G23" i="23"/>
  <c r="H23" i="23" s="1"/>
  <c r="A23" i="23"/>
  <c r="H22" i="23"/>
  <c r="F21" i="23"/>
  <c r="G21" i="23" s="1"/>
  <c r="A21" i="23"/>
  <c r="F20" i="23"/>
  <c r="G20" i="23" s="1"/>
  <c r="A20" i="23"/>
  <c r="F17" i="23"/>
  <c r="G17" i="23" s="1"/>
  <c r="A17" i="23"/>
  <c r="A16" i="23"/>
  <c r="A14" i="23"/>
  <c r="F13" i="23"/>
  <c r="G13" i="23" s="1"/>
  <c r="A13" i="23"/>
  <c r="F12" i="23"/>
  <c r="G12" i="23" s="1"/>
  <c r="A12" i="23"/>
  <c r="F11" i="23"/>
  <c r="G11" i="23" s="1"/>
  <c r="A11" i="23"/>
  <c r="F10" i="23"/>
  <c r="G10" i="23" s="1"/>
  <c r="A10" i="23"/>
  <c r="F9" i="23"/>
  <c r="G9" i="23" s="1"/>
  <c r="A9" i="23"/>
  <c r="G8" i="23"/>
  <c r="A8" i="23"/>
  <c r="F7" i="23"/>
  <c r="A7" i="23"/>
  <c r="F6" i="23"/>
  <c r="G6" i="23" s="1"/>
  <c r="A6" i="23"/>
  <c r="F5" i="23"/>
  <c r="G5" i="23" s="1"/>
  <c r="H5" i="23" s="1"/>
  <c r="A5" i="23"/>
  <c r="E4" i="23"/>
  <c r="A4" i="23"/>
  <c r="F16" i="23" l="1"/>
  <c r="G16" i="23" s="1"/>
  <c r="F14" i="23"/>
  <c r="G14" i="23" s="1"/>
  <c r="F4" i="23"/>
  <c r="F10" i="22"/>
  <c r="G10" i="22"/>
  <c r="F9" i="22"/>
  <c r="A10" i="22"/>
  <c r="F24" i="23" l="1"/>
  <c r="F26" i="23" s="1"/>
  <c r="G4" i="23"/>
  <c r="H27" i="22"/>
  <c r="H26" i="22"/>
  <c r="G24" i="23" l="1"/>
  <c r="D7" i="22"/>
  <c r="H24" i="23" l="1"/>
  <c r="G26" i="23"/>
  <c r="G26" i="22"/>
  <c r="H5" i="20"/>
  <c r="H14" i="21"/>
  <c r="H15" i="21"/>
  <c r="H16" i="21"/>
  <c r="F17" i="22" l="1"/>
  <c r="G17" i="22" s="1"/>
  <c r="H17" i="22" s="1"/>
  <c r="G27" i="22"/>
  <c r="G21" i="22"/>
  <c r="H21" i="22" s="1"/>
  <c r="A21" i="22"/>
  <c r="H20" i="22"/>
  <c r="F19" i="22"/>
  <c r="G19" i="22" s="1"/>
  <c r="A19" i="22"/>
  <c r="F18" i="22"/>
  <c r="G18" i="22" s="1"/>
  <c r="H18" i="22" s="1"/>
  <c r="A18" i="22"/>
  <c r="A17" i="22"/>
  <c r="E16" i="22"/>
  <c r="F16" i="22" s="1"/>
  <c r="G16" i="22" s="1"/>
  <c r="H16" i="22" s="1"/>
  <c r="A16" i="22"/>
  <c r="A14" i="22"/>
  <c r="F13" i="22"/>
  <c r="G13" i="22" s="1"/>
  <c r="H13" i="22" s="1"/>
  <c r="A13" i="22"/>
  <c r="A12" i="22"/>
  <c r="F11" i="22"/>
  <c r="G11" i="22" s="1"/>
  <c r="H11" i="22" s="1"/>
  <c r="D22" i="22"/>
  <c r="A11" i="22"/>
  <c r="G9" i="22"/>
  <c r="H9" i="22" s="1"/>
  <c r="A9" i="22"/>
  <c r="G8" i="22"/>
  <c r="H8" i="22" s="1"/>
  <c r="A8" i="22"/>
  <c r="F7" i="22"/>
  <c r="G7" i="22" s="1"/>
  <c r="H7" i="22" s="1"/>
  <c r="A7" i="22"/>
  <c r="F6" i="22"/>
  <c r="G6" i="22" s="1"/>
  <c r="H6" i="22" s="1"/>
  <c r="A6" i="22"/>
  <c r="F5" i="22"/>
  <c r="G5" i="22" s="1"/>
  <c r="H5" i="22" s="1"/>
  <c r="A5" i="22"/>
  <c r="E4" i="22"/>
  <c r="A4" i="22"/>
  <c r="E22" i="22" l="1"/>
  <c r="F12" i="22"/>
  <c r="G12" i="22" s="1"/>
  <c r="H12" i="22" s="1"/>
  <c r="F14" i="22"/>
  <c r="G14" i="22" s="1"/>
  <c r="F4" i="22"/>
  <c r="E10" i="21"/>
  <c r="D10" i="21"/>
  <c r="G4" i="22" l="1"/>
  <c r="H4" i="22" s="1"/>
  <c r="F22" i="22"/>
  <c r="E11" i="21"/>
  <c r="D11" i="21"/>
  <c r="G22" i="22" l="1"/>
  <c r="H22" i="22" s="1"/>
  <c r="H20" i="20"/>
  <c r="H9" i="21"/>
  <c r="H6" i="21"/>
  <c r="H4" i="21"/>
  <c r="H4" i="20"/>
  <c r="H4" i="8"/>
  <c r="H6" i="9"/>
  <c r="H5" i="9"/>
  <c r="H4" i="9"/>
  <c r="H17" i="18" l="1"/>
  <c r="H16" i="18"/>
  <c r="H15" i="18"/>
  <c r="H14" i="18"/>
  <c r="H13" i="18"/>
  <c r="H12" i="18"/>
  <c r="H11" i="18"/>
  <c r="H10" i="18"/>
  <c r="H9" i="18"/>
  <c r="H8" i="18"/>
  <c r="H7" i="18"/>
  <c r="H6" i="18"/>
  <c r="H5" i="18"/>
  <c r="H4" i="18"/>
  <c r="H17" i="19"/>
  <c r="H16" i="19"/>
  <c r="H15" i="19"/>
  <c r="H14" i="19"/>
  <c r="H13" i="19"/>
  <c r="H12" i="19"/>
  <c r="H11" i="19"/>
  <c r="H10" i="19"/>
  <c r="H9" i="19"/>
  <c r="H8" i="19"/>
  <c r="H7" i="19"/>
  <c r="H6" i="19"/>
  <c r="H5" i="19"/>
  <c r="H4" i="19"/>
  <c r="H17" i="20"/>
  <c r="H16" i="20"/>
  <c r="H15" i="20"/>
  <c r="H14" i="20"/>
  <c r="H13" i="20"/>
  <c r="H12" i="20"/>
  <c r="H11" i="20"/>
  <c r="H10" i="20"/>
  <c r="H9" i="20"/>
  <c r="H8" i="20"/>
  <c r="H7" i="20"/>
  <c r="H6" i="20"/>
  <c r="H13" i="21"/>
  <c r="H12" i="21"/>
  <c r="H8" i="21"/>
  <c r="E20" i="21"/>
  <c r="E14" i="21"/>
  <c r="E12" i="18"/>
  <c r="F12" i="18"/>
  <c r="E12" i="19"/>
  <c r="F12" i="19"/>
  <c r="E12" i="20"/>
  <c r="F12" i="20"/>
  <c r="G12" i="20" s="1"/>
  <c r="E13" i="21"/>
  <c r="F15" i="21"/>
  <c r="E15" i="21"/>
  <c r="G15" i="21" s="1"/>
  <c r="D15" i="21"/>
  <c r="E4" i="21"/>
  <c r="G25" i="21" l="1"/>
  <c r="G24" i="21"/>
  <c r="G19" i="21"/>
  <c r="H19" i="21" s="1"/>
  <c r="A19" i="21"/>
  <c r="H18" i="21"/>
  <c r="F17" i="21"/>
  <c r="G17" i="21" s="1"/>
  <c r="A17" i="21"/>
  <c r="F16" i="21"/>
  <c r="G16" i="21" s="1"/>
  <c r="A16" i="21"/>
  <c r="A15" i="21"/>
  <c r="F14" i="21"/>
  <c r="G14" i="21" s="1"/>
  <c r="A14" i="21"/>
  <c r="F13" i="21"/>
  <c r="G13" i="21" s="1"/>
  <c r="A13" i="21"/>
  <c r="F12" i="21"/>
  <c r="G12" i="21" s="1"/>
  <c r="A12" i="21"/>
  <c r="A11" i="21"/>
  <c r="F10" i="21"/>
  <c r="G10" i="21" s="1"/>
  <c r="H10" i="21" s="1"/>
  <c r="A10" i="21"/>
  <c r="G9" i="21"/>
  <c r="A9" i="21"/>
  <c r="G8" i="21"/>
  <c r="A8" i="21"/>
  <c r="F7" i="21"/>
  <c r="D20" i="21"/>
  <c r="A7" i="21"/>
  <c r="F6" i="21"/>
  <c r="G6" i="21" s="1"/>
  <c r="A6" i="21"/>
  <c r="F5" i="21"/>
  <c r="G5" i="21" s="1"/>
  <c r="H5" i="21" s="1"/>
  <c r="A5" i="21"/>
  <c r="F4" i="21"/>
  <c r="A4" i="21"/>
  <c r="G7" i="21" l="1"/>
  <c r="H7" i="21" s="1"/>
  <c r="G4" i="21"/>
  <c r="F11" i="21"/>
  <c r="F20" i="21" s="1"/>
  <c r="F22" i="21" s="1"/>
  <c r="D7" i="20"/>
  <c r="G11" i="21" l="1"/>
  <c r="H11" i="21" s="1"/>
  <c r="H22" i="16"/>
  <c r="G20" i="21" l="1"/>
  <c r="E11" i="20"/>
  <c r="H20" i="21" l="1"/>
  <c r="G22" i="21"/>
  <c r="E15" i="20"/>
  <c r="D15" i="20"/>
  <c r="E13" i="20" l="1"/>
  <c r="E20" i="20" s="1"/>
  <c r="E10" i="19" l="1"/>
  <c r="F25" i="20" l="1"/>
  <c r="G25" i="20" s="1"/>
  <c r="F24" i="20"/>
  <c r="G24" i="20" s="1"/>
  <c r="G19" i="20"/>
  <c r="H19" i="20" s="1"/>
  <c r="A19" i="20"/>
  <c r="H18" i="20"/>
  <c r="F17" i="20"/>
  <c r="G17" i="20" s="1"/>
  <c r="A17" i="20"/>
  <c r="F16" i="20"/>
  <c r="A16" i="20"/>
  <c r="F15" i="20"/>
  <c r="G15" i="20" s="1"/>
  <c r="D20" i="20"/>
  <c r="A15" i="20"/>
  <c r="F14" i="20"/>
  <c r="G14" i="20" s="1"/>
  <c r="A14" i="20"/>
  <c r="F13" i="20"/>
  <c r="A13" i="20"/>
  <c r="A12" i="20"/>
  <c r="F11" i="20"/>
  <c r="G11" i="20" s="1"/>
  <c r="A11" i="20"/>
  <c r="F10" i="20"/>
  <c r="G10" i="20" s="1"/>
  <c r="A10" i="20"/>
  <c r="G9" i="20"/>
  <c r="A9" i="20"/>
  <c r="A8" i="20"/>
  <c r="F7" i="20"/>
  <c r="G7" i="20" s="1"/>
  <c r="A7" i="20"/>
  <c r="F6" i="20"/>
  <c r="G6" i="20" s="1"/>
  <c r="A6" i="20"/>
  <c r="F5" i="20"/>
  <c r="G5" i="20" s="1"/>
  <c r="A5" i="20"/>
  <c r="F4" i="20"/>
  <c r="A4" i="20"/>
  <c r="F20" i="20" l="1"/>
  <c r="G8" i="20"/>
  <c r="G13" i="20"/>
  <c r="G16" i="20"/>
  <c r="G4" i="20"/>
  <c r="E13" i="19"/>
  <c r="G20" i="20" l="1"/>
  <c r="E14" i="19"/>
  <c r="E15" i="19" l="1"/>
  <c r="D15" i="19"/>
  <c r="D20" i="19" s="1"/>
  <c r="F5" i="19" l="1"/>
  <c r="F6" i="19"/>
  <c r="G6" i="19" s="1"/>
  <c r="F7" i="19"/>
  <c r="G7" i="19" s="1"/>
  <c r="F10" i="19"/>
  <c r="G10" i="19" s="1"/>
  <c r="F11" i="19"/>
  <c r="G12" i="19"/>
  <c r="F13" i="19"/>
  <c r="G13" i="19" s="1"/>
  <c r="F14" i="19"/>
  <c r="G14" i="19" s="1"/>
  <c r="F15" i="19"/>
  <c r="G15" i="19" s="1"/>
  <c r="E16" i="19"/>
  <c r="F16" i="19" s="1"/>
  <c r="G16" i="19" s="1"/>
  <c r="F17" i="19"/>
  <c r="G17" i="19" s="1"/>
  <c r="H19" i="19"/>
  <c r="G19" i="19"/>
  <c r="A19" i="19"/>
  <c r="H18" i="19"/>
  <c r="A17" i="19"/>
  <c r="A16" i="19"/>
  <c r="A15" i="19"/>
  <c r="A14" i="19"/>
  <c r="A13" i="19"/>
  <c r="A12" i="19"/>
  <c r="A11" i="19"/>
  <c r="A10" i="19"/>
  <c r="E9" i="19"/>
  <c r="G9" i="19" s="1"/>
  <c r="A9" i="19"/>
  <c r="E8" i="19"/>
  <c r="A8" i="19"/>
  <c r="A7" i="19"/>
  <c r="A6" i="19"/>
  <c r="A5" i="19"/>
  <c r="F4" i="19"/>
  <c r="G4" i="19" s="1"/>
  <c r="A4" i="19"/>
  <c r="E20" i="19" l="1"/>
  <c r="G5" i="19"/>
  <c r="F20" i="19"/>
  <c r="G11" i="19"/>
  <c r="G8" i="19"/>
  <c r="F25" i="18"/>
  <c r="G25" i="18"/>
  <c r="H25" i="19" s="1"/>
  <c r="F24" i="18"/>
  <c r="G24" i="18" s="1"/>
  <c r="H24" i="19" s="1"/>
  <c r="E22" i="20" l="1"/>
  <c r="F22" i="20"/>
  <c r="G20" i="19"/>
  <c r="E11" i="18"/>
  <c r="G22" i="20" l="1"/>
  <c r="E9" i="18"/>
  <c r="E8" i="18"/>
  <c r="E16" i="14" l="1"/>
  <c r="E17" i="14"/>
  <c r="E18" i="14"/>
  <c r="E19" i="14"/>
  <c r="E20" i="14"/>
  <c r="E5" i="14"/>
  <c r="E6" i="14"/>
  <c r="E7" i="14"/>
  <c r="E8" i="14"/>
  <c r="E13" i="14"/>
  <c r="E4" i="14"/>
  <c r="E15" i="18"/>
  <c r="D15" i="18"/>
  <c r="F20" i="14" l="1"/>
  <c r="G20" i="14" s="1"/>
  <c r="F19" i="14"/>
  <c r="G19" i="14" s="1"/>
  <c r="G9" i="18"/>
  <c r="E24" i="16" l="1"/>
  <c r="H8" i="16"/>
  <c r="H7" i="16"/>
  <c r="H5" i="16"/>
  <c r="G24" i="16"/>
  <c r="H15" i="16"/>
  <c r="D25" i="14"/>
  <c r="D20" i="18"/>
  <c r="G19" i="18"/>
  <c r="H19" i="18" s="1"/>
  <c r="A19" i="18"/>
  <c r="H18" i="18"/>
  <c r="F17" i="18"/>
  <c r="G17" i="18" s="1"/>
  <c r="A17" i="18"/>
  <c r="E16" i="18"/>
  <c r="A16" i="18"/>
  <c r="F15" i="18"/>
  <c r="G15" i="18" s="1"/>
  <c r="A15" i="18"/>
  <c r="F14" i="18"/>
  <c r="G14" i="18" s="1"/>
  <c r="A14" i="18"/>
  <c r="E13" i="18"/>
  <c r="A13" i="18"/>
  <c r="G12" i="18"/>
  <c r="A12" i="18"/>
  <c r="F11" i="18"/>
  <c r="G11" i="18" s="1"/>
  <c r="A11" i="18"/>
  <c r="F10" i="18"/>
  <c r="G10" i="18" s="1"/>
  <c r="A10" i="18"/>
  <c r="A9" i="18"/>
  <c r="G8" i="18"/>
  <c r="A8" i="18"/>
  <c r="F7" i="18"/>
  <c r="G7" i="18" s="1"/>
  <c r="A7" i="18"/>
  <c r="F6" i="18"/>
  <c r="G6" i="18" s="1"/>
  <c r="A6" i="18"/>
  <c r="F5" i="18"/>
  <c r="G5" i="18" s="1"/>
  <c r="A5" i="18"/>
  <c r="F4" i="18"/>
  <c r="A4" i="18"/>
  <c r="H5" i="15"/>
  <c r="H6" i="15"/>
  <c r="H7" i="15"/>
  <c r="H8" i="15"/>
  <c r="H9" i="15"/>
  <c r="H10" i="15"/>
  <c r="H11" i="15"/>
  <c r="H12" i="15"/>
  <c r="H13" i="15"/>
  <c r="H14" i="15"/>
  <c r="H15" i="15"/>
  <c r="H4" i="15"/>
  <c r="H6" i="16"/>
  <c r="H9" i="16"/>
  <c r="H10" i="16"/>
  <c r="H11" i="16"/>
  <c r="H12" i="16"/>
  <c r="H13" i="16"/>
  <c r="H14" i="16"/>
  <c r="H16" i="16"/>
  <c r="H17" i="16"/>
  <c r="H18" i="16"/>
  <c r="H19" i="16"/>
  <c r="H4" i="16"/>
  <c r="F24" i="16"/>
  <c r="F18" i="14"/>
  <c r="G18" i="14" s="1"/>
  <c r="A18" i="14"/>
  <c r="F16" i="14"/>
  <c r="G16" i="14" s="1"/>
  <c r="G8" i="14"/>
  <c r="G22" i="16"/>
  <c r="D9" i="16"/>
  <c r="F13" i="18" l="1"/>
  <c r="G13" i="18" s="1"/>
  <c r="F16" i="18"/>
  <c r="G16" i="18" s="1"/>
  <c r="E20" i="18"/>
  <c r="G4" i="18"/>
  <c r="F7" i="14"/>
  <c r="G7" i="14" s="1"/>
  <c r="F6" i="14"/>
  <c r="G6" i="14" s="1"/>
  <c r="F5" i="16"/>
  <c r="G5" i="16" s="1"/>
  <c r="F17" i="14"/>
  <c r="G17" i="14" s="1"/>
  <c r="E14" i="14"/>
  <c r="A14" i="14"/>
  <c r="E22" i="18" l="1"/>
  <c r="E22" i="19"/>
  <c r="F20" i="18"/>
  <c r="G20" i="18"/>
  <c r="F14" i="14"/>
  <c r="G14" i="14" s="1"/>
  <c r="E13" i="16"/>
  <c r="A13" i="16"/>
  <c r="H20" i="18" l="1"/>
  <c r="G22" i="18"/>
  <c r="G22" i="19"/>
  <c r="H20" i="19"/>
  <c r="F22" i="18"/>
  <c r="F22" i="19"/>
  <c r="F13" i="16"/>
  <c r="G13" i="16" s="1"/>
  <c r="F15" i="16" l="1"/>
  <c r="G15" i="16" s="1"/>
  <c r="A15" i="16"/>
  <c r="E12" i="16" l="1"/>
  <c r="A20" i="14" l="1"/>
  <c r="F17" i="16"/>
  <c r="G17" i="16" s="1"/>
  <c r="A17" i="16"/>
  <c r="F16" i="16" l="1"/>
  <c r="G16" i="16" s="1"/>
  <c r="A16" i="16"/>
  <c r="G21" i="16"/>
  <c r="H21" i="16" s="1"/>
  <c r="A21" i="16"/>
  <c r="H20" i="16"/>
  <c r="G19" i="16"/>
  <c r="F19" i="16"/>
  <c r="A19" i="16"/>
  <c r="E18" i="16"/>
  <c r="A18" i="16"/>
  <c r="F14" i="16"/>
  <c r="G14" i="16" s="1"/>
  <c r="A14" i="16"/>
  <c r="A12" i="16"/>
  <c r="E11" i="16"/>
  <c r="F11" i="16" s="1"/>
  <c r="A11" i="16"/>
  <c r="F10" i="16"/>
  <c r="A10" i="16"/>
  <c r="G9" i="16"/>
  <c r="A9" i="16"/>
  <c r="F8" i="16"/>
  <c r="G8" i="16" s="1"/>
  <c r="A8" i="16"/>
  <c r="F7" i="16"/>
  <c r="G7" i="16" s="1"/>
  <c r="A7" i="16"/>
  <c r="F6" i="16"/>
  <c r="G6" i="16" s="1"/>
  <c r="A6" i="16"/>
  <c r="A5" i="16"/>
  <c r="F4" i="16"/>
  <c r="A4" i="16"/>
  <c r="G10" i="16" l="1"/>
  <c r="F18" i="16"/>
  <c r="G18" i="16" s="1"/>
  <c r="D22" i="16"/>
  <c r="G4" i="16"/>
  <c r="G11" i="16"/>
  <c r="F12" i="16"/>
  <c r="G12" i="16" s="1"/>
  <c r="E22" i="16"/>
  <c r="F22" i="16" l="1"/>
  <c r="A17" i="14"/>
  <c r="A16" i="14" l="1"/>
  <c r="E13" i="15" l="1"/>
  <c r="F13" i="15" s="1"/>
  <c r="G13" i="15" s="1"/>
  <c r="D13" i="15"/>
  <c r="E12" i="15"/>
  <c r="A13" i="15"/>
  <c r="E25" i="14" l="1"/>
  <c r="E11" i="15"/>
  <c r="D14" i="15" l="1"/>
  <c r="H9" i="13" l="1"/>
  <c r="E14" i="15" l="1"/>
  <c r="E18" i="15" s="1"/>
  <c r="E20" i="15" s="1"/>
  <c r="G17" i="15" l="1"/>
  <c r="H17" i="15" s="1"/>
  <c r="A17" i="15"/>
  <c r="H16" i="15"/>
  <c r="F15" i="15"/>
  <c r="G15" i="15" s="1"/>
  <c r="A15" i="15"/>
  <c r="D18" i="15"/>
  <c r="A14" i="15"/>
  <c r="F12" i="15"/>
  <c r="G12" i="15" s="1"/>
  <c r="A12" i="15"/>
  <c r="F11" i="15"/>
  <c r="G11" i="15" s="1"/>
  <c r="A11" i="15"/>
  <c r="F10" i="15"/>
  <c r="G10" i="15" s="1"/>
  <c r="A10" i="15"/>
  <c r="G9" i="15"/>
  <c r="A9" i="15"/>
  <c r="F8" i="15"/>
  <c r="G8" i="15" s="1"/>
  <c r="A8" i="15"/>
  <c r="F7" i="15"/>
  <c r="G7" i="15" s="1"/>
  <c r="A7" i="15"/>
  <c r="F6" i="15"/>
  <c r="G6" i="15" s="1"/>
  <c r="A6" i="15"/>
  <c r="F5" i="15"/>
  <c r="G5" i="15" s="1"/>
  <c r="A5" i="15"/>
  <c r="F4" i="15"/>
  <c r="A4" i="15"/>
  <c r="F14" i="15" l="1"/>
  <c r="G14" i="15" s="1"/>
  <c r="G4" i="15"/>
  <c r="G24" i="14"/>
  <c r="I24" i="14" s="1"/>
  <c r="A24" i="14"/>
  <c r="I23" i="14"/>
  <c r="F22" i="14"/>
  <c r="G22" i="14" s="1"/>
  <c r="A22" i="14"/>
  <c r="A19" i="14"/>
  <c r="F13" i="14"/>
  <c r="G13" i="14" s="1"/>
  <c r="A13" i="14"/>
  <c r="A8" i="14"/>
  <c r="A7" i="14"/>
  <c r="A6" i="14"/>
  <c r="F5" i="14"/>
  <c r="G5" i="14" s="1"/>
  <c r="A5" i="14"/>
  <c r="F4" i="14"/>
  <c r="A4" i="14"/>
  <c r="G4" i="14" l="1"/>
  <c r="G25" i="14" s="1"/>
  <c r="F25" i="14"/>
  <c r="F18" i="15"/>
  <c r="F20" i="15" s="1"/>
  <c r="G18" i="15"/>
  <c r="G20" i="15" s="1"/>
  <c r="E14" i="13"/>
  <c r="H18" i="15" l="1"/>
  <c r="H18" i="13"/>
  <c r="E16" i="13"/>
  <c r="D16" i="13"/>
  <c r="G10" i="13" l="1"/>
  <c r="A10" i="13"/>
  <c r="D20" i="13" l="1"/>
  <c r="G19" i="13"/>
  <c r="H19" i="13" s="1"/>
  <c r="A19" i="13"/>
  <c r="F17" i="13"/>
  <c r="G17" i="13" s="1"/>
  <c r="A17" i="13"/>
  <c r="F16" i="13"/>
  <c r="G16" i="13" s="1"/>
  <c r="A16" i="13"/>
  <c r="F15" i="13"/>
  <c r="G15" i="13" s="1"/>
  <c r="A15" i="13"/>
  <c r="F14" i="13"/>
  <c r="G14" i="13" s="1"/>
  <c r="A14" i="13"/>
  <c r="F13" i="13"/>
  <c r="G13" i="13" s="1"/>
  <c r="A13" i="13"/>
  <c r="F12" i="13"/>
  <c r="G12" i="13" s="1"/>
  <c r="A12" i="13"/>
  <c r="F11" i="13"/>
  <c r="G11" i="13" s="1"/>
  <c r="H11" i="13" s="1"/>
  <c r="A11" i="13"/>
  <c r="G9" i="13"/>
  <c r="A9" i="13"/>
  <c r="F8" i="13"/>
  <c r="G8" i="13" s="1"/>
  <c r="A8" i="13"/>
  <c r="F7" i="13"/>
  <c r="G7" i="13" s="1"/>
  <c r="A7" i="13"/>
  <c r="F6" i="13"/>
  <c r="G6" i="13" s="1"/>
  <c r="A6" i="13"/>
  <c r="F5" i="13"/>
  <c r="G5" i="13" s="1"/>
  <c r="A5" i="13"/>
  <c r="F4" i="13"/>
  <c r="G4" i="13" s="1"/>
  <c r="A4" i="13"/>
  <c r="E20" i="13" l="1"/>
  <c r="E22" i="13" s="1"/>
  <c r="G20" i="13"/>
  <c r="H20" i="13" s="1"/>
  <c r="F20" i="13"/>
  <c r="E21" i="12" l="1"/>
  <c r="F21" i="12" s="1"/>
  <c r="G21" i="12" s="1"/>
  <c r="H21" i="12" s="1"/>
  <c r="A21" i="12"/>
  <c r="F22" i="11"/>
  <c r="G22" i="11" s="1"/>
  <c r="F23" i="12"/>
  <c r="G23" i="12" s="1"/>
  <c r="D26" i="12"/>
  <c r="G25" i="12"/>
  <c r="A25" i="12"/>
  <c r="G24" i="12"/>
  <c r="A24" i="12"/>
  <c r="A23" i="12"/>
  <c r="E22" i="12"/>
  <c r="G22" i="12" s="1"/>
  <c r="H22" i="12" s="1"/>
  <c r="A22" i="12"/>
  <c r="F20" i="12"/>
  <c r="G20" i="12" s="1"/>
  <c r="H20" i="12" s="1"/>
  <c r="A20" i="12"/>
  <c r="F19" i="12"/>
  <c r="G19" i="12" s="1"/>
  <c r="H19" i="12" s="1"/>
  <c r="A19" i="12"/>
  <c r="F18" i="12"/>
  <c r="G18" i="12" s="1"/>
  <c r="A18" i="12"/>
  <c r="F17" i="12"/>
  <c r="G17" i="12" s="1"/>
  <c r="A17" i="12"/>
  <c r="F16" i="12"/>
  <c r="G16" i="12" s="1"/>
  <c r="A16" i="12"/>
  <c r="F15" i="12"/>
  <c r="G15" i="12" s="1"/>
  <c r="A15" i="12"/>
  <c r="F14" i="12"/>
  <c r="G14" i="12" s="1"/>
  <c r="A14" i="12"/>
  <c r="F13" i="12"/>
  <c r="G13" i="12" s="1"/>
  <c r="A13" i="12"/>
  <c r="F12" i="12"/>
  <c r="G12" i="12" s="1"/>
  <c r="A12" i="12"/>
  <c r="F11" i="12"/>
  <c r="G11" i="12" s="1"/>
  <c r="A11" i="12"/>
  <c r="G10" i="12"/>
  <c r="A10" i="12"/>
  <c r="F9" i="12"/>
  <c r="G9" i="12" s="1"/>
  <c r="A9" i="12"/>
  <c r="G8" i="12"/>
  <c r="F8" i="12"/>
  <c r="A8" i="12"/>
  <c r="F7" i="12"/>
  <c r="G7" i="12" s="1"/>
  <c r="A7" i="12"/>
  <c r="F6" i="12"/>
  <c r="G6" i="12" s="1"/>
  <c r="A6" i="12"/>
  <c r="F5" i="12"/>
  <c r="G5" i="12" s="1"/>
  <c r="A5" i="12"/>
  <c r="F4" i="12"/>
  <c r="G4" i="12" s="1"/>
  <c r="G26" i="12" s="1"/>
  <c r="A4" i="12"/>
  <c r="F19" i="11"/>
  <c r="G19" i="11" s="1"/>
  <c r="A19" i="11"/>
  <c r="D25" i="11"/>
  <c r="A22" i="11"/>
  <c r="E21" i="11"/>
  <c r="G21" i="11" s="1"/>
  <c r="H21" i="11" s="1"/>
  <c r="A21" i="11"/>
  <c r="F20" i="11"/>
  <c r="G20" i="11" s="1"/>
  <c r="A20" i="11"/>
  <c r="F18" i="11"/>
  <c r="G18" i="11" s="1"/>
  <c r="A18" i="11"/>
  <c r="F17" i="11"/>
  <c r="G17" i="11" s="1"/>
  <c r="A17" i="11"/>
  <c r="F16" i="11"/>
  <c r="G16" i="11" s="1"/>
  <c r="A16" i="11"/>
  <c r="F15" i="11"/>
  <c r="G15" i="11" s="1"/>
  <c r="A15" i="11"/>
  <c r="F14" i="11"/>
  <c r="G14" i="11" s="1"/>
  <c r="A14" i="11"/>
  <c r="F13" i="11"/>
  <c r="G13" i="11" s="1"/>
  <c r="A13" i="11"/>
  <c r="F12" i="11"/>
  <c r="G12" i="11" s="1"/>
  <c r="A12" i="11"/>
  <c r="F11" i="11"/>
  <c r="G11" i="11" s="1"/>
  <c r="A11" i="11"/>
  <c r="G10" i="11"/>
  <c r="A10" i="11"/>
  <c r="F9" i="11"/>
  <c r="G9" i="11" s="1"/>
  <c r="A9" i="11"/>
  <c r="F8" i="11"/>
  <c r="G8" i="11" s="1"/>
  <c r="A8" i="11"/>
  <c r="F7" i="11"/>
  <c r="G7" i="11" s="1"/>
  <c r="A7" i="11"/>
  <c r="F6" i="11"/>
  <c r="G6" i="11" s="1"/>
  <c r="A6" i="11"/>
  <c r="F5" i="11"/>
  <c r="G5" i="11" s="1"/>
  <c r="A5" i="11"/>
  <c r="F4" i="11"/>
  <c r="G4" i="11" s="1"/>
  <c r="A4" i="11"/>
  <c r="F15" i="10"/>
  <c r="G15" i="10" s="1"/>
  <c r="A15" i="10"/>
  <c r="F14" i="10"/>
  <c r="G14" i="10" s="1"/>
  <c r="A14" i="10"/>
  <c r="H4" i="13" l="1"/>
  <c r="H6" i="13"/>
  <c r="H12" i="13"/>
  <c r="H14" i="13"/>
  <c r="H19" i="11"/>
  <c r="H16" i="13"/>
  <c r="E26" i="12"/>
  <c r="E28" i="12" s="1"/>
  <c r="H17" i="13"/>
  <c r="F26" i="12"/>
  <c r="H5" i="13"/>
  <c r="H7" i="13"/>
  <c r="H8" i="13"/>
  <c r="H13" i="13"/>
  <c r="H15" i="13"/>
  <c r="F28" i="12"/>
  <c r="H4" i="12"/>
  <c r="E25" i="11"/>
  <c r="E27" i="11" s="1"/>
  <c r="G25" i="11"/>
  <c r="H25" i="11" s="1"/>
  <c r="F25" i="11"/>
  <c r="F27" i="11" s="1"/>
  <c r="F22" i="13" s="1"/>
  <c r="H4" i="11"/>
  <c r="E21" i="10"/>
  <c r="E25" i="10" s="1"/>
  <c r="E27" i="10" s="1"/>
  <c r="A21" i="10"/>
  <c r="G24" i="10"/>
  <c r="A24" i="10"/>
  <c r="G23" i="10"/>
  <c r="A23" i="10"/>
  <c r="F22" i="10"/>
  <c r="G22" i="10" s="1"/>
  <c r="A22" i="10"/>
  <c r="F20" i="10"/>
  <c r="G20" i="10" s="1"/>
  <c r="A20" i="10"/>
  <c r="F19" i="10"/>
  <c r="G19" i="10" s="1"/>
  <c r="A19" i="10"/>
  <c r="F18" i="10"/>
  <c r="G18" i="10" s="1"/>
  <c r="A18" i="10"/>
  <c r="F17" i="10"/>
  <c r="G17" i="10" s="1"/>
  <c r="A17" i="10"/>
  <c r="F16" i="10"/>
  <c r="G16" i="10" s="1"/>
  <c r="A16" i="10"/>
  <c r="F13" i="10"/>
  <c r="G13" i="10" s="1"/>
  <c r="A13" i="10"/>
  <c r="F12" i="10"/>
  <c r="G12" i="10" s="1"/>
  <c r="A12" i="10"/>
  <c r="F11" i="10"/>
  <c r="A11" i="10"/>
  <c r="G10" i="10"/>
  <c r="A10" i="10"/>
  <c r="F9" i="10"/>
  <c r="G9" i="10" s="1"/>
  <c r="A9" i="10"/>
  <c r="F8" i="10"/>
  <c r="G8" i="10" s="1"/>
  <c r="A8" i="10"/>
  <c r="F7" i="10"/>
  <c r="G7" i="10" s="1"/>
  <c r="A7" i="10"/>
  <c r="F6" i="10"/>
  <c r="G6" i="10" s="1"/>
  <c r="A6" i="10"/>
  <c r="F5" i="10"/>
  <c r="G5" i="10" s="1"/>
  <c r="A5" i="10"/>
  <c r="F4" i="10"/>
  <c r="G4" i="10" s="1"/>
  <c r="A4" i="10"/>
  <c r="E22" i="9"/>
  <c r="E24" i="9" s="1"/>
  <c r="G21" i="9"/>
  <c r="A21" i="9"/>
  <c r="G20" i="9"/>
  <c r="A20" i="9"/>
  <c r="F19" i="9"/>
  <c r="G19" i="9" s="1"/>
  <c r="A19" i="9"/>
  <c r="F18" i="9"/>
  <c r="G18" i="9" s="1"/>
  <c r="A18" i="9"/>
  <c r="F17" i="9"/>
  <c r="G17" i="9" s="1"/>
  <c r="A17" i="9"/>
  <c r="D22" i="9"/>
  <c r="A16" i="9"/>
  <c r="F15" i="9"/>
  <c r="G15" i="9" s="1"/>
  <c r="A15" i="9"/>
  <c r="F14" i="9"/>
  <c r="G14" i="9" s="1"/>
  <c r="A14" i="9"/>
  <c r="F13" i="9"/>
  <c r="G13" i="9" s="1"/>
  <c r="A13" i="9"/>
  <c r="F12" i="9"/>
  <c r="G12" i="9" s="1"/>
  <c r="A12" i="9"/>
  <c r="F11" i="9"/>
  <c r="G11" i="9" s="1"/>
  <c r="A11" i="9"/>
  <c r="G10" i="9"/>
  <c r="A10" i="9"/>
  <c r="F9" i="9"/>
  <c r="G9" i="9" s="1"/>
  <c r="A9" i="9"/>
  <c r="F8" i="9"/>
  <c r="G8" i="9" s="1"/>
  <c r="A8" i="9"/>
  <c r="F7" i="9"/>
  <c r="G7" i="9" s="1"/>
  <c r="A7" i="9"/>
  <c r="F6" i="9"/>
  <c r="G6" i="9" s="1"/>
  <c r="A6" i="9"/>
  <c r="F5" i="9"/>
  <c r="G5" i="9" s="1"/>
  <c r="A5" i="9"/>
  <c r="F4" i="9"/>
  <c r="G4" i="9" s="1"/>
  <c r="A4" i="9"/>
  <c r="E16" i="8"/>
  <c r="E22" i="8" s="1"/>
  <c r="D16" i="8"/>
  <c r="H26" i="12" l="1"/>
  <c r="F25" i="10"/>
  <c r="F27" i="10" s="1"/>
  <c r="G11" i="10"/>
  <c r="G21" i="10"/>
  <c r="H21" i="10" s="1"/>
  <c r="D25" i="10"/>
  <c r="H4" i="10"/>
  <c r="F16" i="9"/>
  <c r="G16" i="9" s="1"/>
  <c r="F18" i="8"/>
  <c r="G18" i="8" s="1"/>
  <c r="F19" i="8"/>
  <c r="G19" i="8" s="1"/>
  <c r="F4" i="8"/>
  <c r="G4" i="8" s="1"/>
  <c r="F5" i="8"/>
  <c r="G5" i="8" s="1"/>
  <c r="F6" i="8"/>
  <c r="G6" i="8" s="1"/>
  <c r="F7" i="8"/>
  <c r="G7" i="8" s="1"/>
  <c r="F16" i="7"/>
  <c r="F17" i="7"/>
  <c r="F18" i="7"/>
  <c r="F19" i="7"/>
  <c r="G25" i="10" l="1"/>
  <c r="H25" i="10"/>
  <c r="F22" i="9"/>
  <c r="F24" i="9" s="1"/>
  <c r="G22" i="9"/>
  <c r="D11" i="7"/>
  <c r="G18" i="7"/>
  <c r="H20" i="11" s="1"/>
  <c r="G19" i="7"/>
  <c r="G17" i="7"/>
  <c r="G16" i="7"/>
  <c r="H17" i="12" s="1"/>
  <c r="F9" i="7"/>
  <c r="G9" i="7" s="1"/>
  <c r="H18" i="11" l="1"/>
  <c r="H18" i="12"/>
  <c r="H22" i="11"/>
  <c r="H23" i="12"/>
  <c r="H9" i="11"/>
  <c r="H9" i="12"/>
  <c r="H16" i="9"/>
  <c r="H17" i="11"/>
  <c r="H17" i="9"/>
  <c r="H19" i="10"/>
  <c r="H19" i="9"/>
  <c r="H22" i="10"/>
  <c r="H9" i="9"/>
  <c r="H9" i="10"/>
  <c r="H18" i="9"/>
  <c r="H20" i="10"/>
  <c r="H18" i="8"/>
  <c r="H19" i="8"/>
  <c r="H22" i="9"/>
  <c r="F16" i="8"/>
  <c r="G16" i="8" s="1"/>
  <c r="H16" i="8" s="1"/>
  <c r="F17" i="8"/>
  <c r="G17" i="8" s="1"/>
  <c r="H17" i="8" s="1"/>
  <c r="G21" i="8"/>
  <c r="A21" i="8"/>
  <c r="G20" i="8"/>
  <c r="A20" i="8"/>
  <c r="A19" i="8"/>
  <c r="A18" i="8"/>
  <c r="A17" i="8"/>
  <c r="A16" i="8"/>
  <c r="F15" i="8"/>
  <c r="G15" i="8" s="1"/>
  <c r="A15" i="8"/>
  <c r="F14" i="8"/>
  <c r="G14" i="8" s="1"/>
  <c r="A14" i="8"/>
  <c r="F13" i="8"/>
  <c r="A13" i="8"/>
  <c r="F12" i="8"/>
  <c r="G12" i="8" s="1"/>
  <c r="A12" i="8"/>
  <c r="F11" i="8"/>
  <c r="G11" i="8" s="1"/>
  <c r="A11" i="8"/>
  <c r="G10" i="8"/>
  <c r="A10" i="8"/>
  <c r="F9" i="8"/>
  <c r="G9" i="8" s="1"/>
  <c r="H9" i="8" s="1"/>
  <c r="A9" i="8"/>
  <c r="F8" i="8"/>
  <c r="G8" i="8" s="1"/>
  <c r="A8" i="8"/>
  <c r="D22" i="8"/>
  <c r="A7" i="8"/>
  <c r="A6" i="8"/>
  <c r="A5" i="8"/>
  <c r="A4" i="8"/>
  <c r="G13" i="8" l="1"/>
  <c r="F22" i="8"/>
  <c r="E24" i="8"/>
  <c r="G22" i="8" l="1"/>
  <c r="F24" i="8"/>
  <c r="H22" i="8" l="1"/>
  <c r="F8" i="7" l="1"/>
  <c r="G8" i="7" s="1"/>
  <c r="H8" i="12" s="1"/>
  <c r="F10" i="7"/>
  <c r="G10" i="7" s="1"/>
  <c r="H10" i="12" s="1"/>
  <c r="F11" i="7"/>
  <c r="G11" i="7" s="1"/>
  <c r="H11" i="12" s="1"/>
  <c r="F12" i="7"/>
  <c r="G12" i="7" s="1"/>
  <c r="H12" i="12" s="1"/>
  <c r="F13" i="7"/>
  <c r="G13" i="7" s="1"/>
  <c r="F14" i="7"/>
  <c r="G14" i="7" s="1"/>
  <c r="H15" i="12" s="1"/>
  <c r="F15" i="7"/>
  <c r="G15" i="7" s="1"/>
  <c r="H16" i="11" l="1"/>
  <c r="H16" i="12"/>
  <c r="H14" i="12"/>
  <c r="H13" i="12"/>
  <c r="H10" i="10"/>
  <c r="H10" i="11"/>
  <c r="H12" i="10"/>
  <c r="H12" i="11"/>
  <c r="H11" i="10"/>
  <c r="H11" i="11"/>
  <c r="H16" i="10"/>
  <c r="H15" i="11"/>
  <c r="H14" i="11"/>
  <c r="H13" i="11"/>
  <c r="H8" i="10"/>
  <c r="H8" i="11"/>
  <c r="H18" i="10"/>
  <c r="H17" i="10"/>
  <c r="H14" i="10"/>
  <c r="H15" i="10"/>
  <c r="H13" i="10"/>
  <c r="H15" i="9"/>
  <c r="H15" i="8"/>
  <c r="H10" i="9"/>
  <c r="H10" i="8"/>
  <c r="H12" i="9"/>
  <c r="H12" i="8"/>
  <c r="H11" i="9"/>
  <c r="H11" i="8"/>
  <c r="H14" i="9"/>
  <c r="H14" i="8"/>
  <c r="H13" i="9"/>
  <c r="H13" i="8"/>
  <c r="H8" i="9"/>
  <c r="H8" i="8"/>
  <c r="H16" i="7"/>
  <c r="D7" i="7"/>
  <c r="D22" i="7" s="1"/>
  <c r="A15" i="7"/>
  <c r="A16" i="7"/>
  <c r="F6" i="7"/>
  <c r="G6" i="7" s="1"/>
  <c r="H6" i="12" s="1"/>
  <c r="F5" i="7"/>
  <c r="G5" i="7" s="1"/>
  <c r="H5" i="12" s="1"/>
  <c r="G21" i="7"/>
  <c r="H25" i="12" s="1"/>
  <c r="A21" i="7"/>
  <c r="G20" i="7"/>
  <c r="H24" i="12" s="1"/>
  <c r="A20" i="7"/>
  <c r="H15" i="7"/>
  <c r="A19" i="7"/>
  <c r="A18" i="7"/>
  <c r="A17" i="7"/>
  <c r="A14" i="7"/>
  <c r="A13" i="7"/>
  <c r="A12" i="7"/>
  <c r="A11" i="7"/>
  <c r="A10" i="7"/>
  <c r="A9" i="7"/>
  <c r="A8" i="7"/>
  <c r="A7" i="7"/>
  <c r="A6" i="7"/>
  <c r="A5" i="7"/>
  <c r="A4" i="7"/>
  <c r="F13" i="6"/>
  <c r="H23" i="10" l="1"/>
  <c r="H23" i="11"/>
  <c r="H6" i="10"/>
  <c r="H6" i="11"/>
  <c r="H24" i="10"/>
  <c r="H24" i="11"/>
  <c r="H5" i="10"/>
  <c r="H5" i="11"/>
  <c r="H20" i="9"/>
  <c r="H20" i="8"/>
  <c r="H6" i="8"/>
  <c r="H5" i="8"/>
  <c r="H21" i="9"/>
  <c r="H21" i="8"/>
  <c r="E7" i="7"/>
  <c r="F17" i="6"/>
  <c r="G17" i="6" s="1"/>
  <c r="F12" i="6"/>
  <c r="G12" i="6" s="1"/>
  <c r="F11" i="6"/>
  <c r="G11" i="6" s="1"/>
  <c r="F9" i="6"/>
  <c r="G9" i="6" s="1"/>
  <c r="D22" i="6"/>
  <c r="G21" i="6"/>
  <c r="A21" i="6"/>
  <c r="G20" i="6"/>
  <c r="H20" i="7" s="1"/>
  <c r="A20" i="6"/>
  <c r="G19" i="6"/>
  <c r="A19" i="6"/>
  <c r="F18" i="6"/>
  <c r="G18" i="6" s="1"/>
  <c r="H18" i="6" s="1"/>
  <c r="A18" i="6"/>
  <c r="A17" i="6"/>
  <c r="A16" i="6"/>
  <c r="G15" i="6"/>
  <c r="A15" i="6"/>
  <c r="F14" i="6"/>
  <c r="G14" i="6" s="1"/>
  <c r="A14" i="6"/>
  <c r="G13" i="6"/>
  <c r="A13" i="6"/>
  <c r="A12" i="6"/>
  <c r="A11" i="6"/>
  <c r="G10" i="6"/>
  <c r="A10" i="6"/>
  <c r="A9" i="6"/>
  <c r="F8" i="6"/>
  <c r="G8" i="6" s="1"/>
  <c r="A8" i="6"/>
  <c r="F7" i="6"/>
  <c r="G7" i="6" s="1"/>
  <c r="A7" i="6"/>
  <c r="F6" i="6"/>
  <c r="G6" i="6" s="1"/>
  <c r="A6" i="6"/>
  <c r="F5" i="6"/>
  <c r="A5" i="6"/>
  <c r="G4" i="6"/>
  <c r="A4" i="6"/>
  <c r="F8" i="5"/>
  <c r="H6" i="7" l="1"/>
  <c r="H10" i="7"/>
  <c r="H13" i="7"/>
  <c r="H17" i="7"/>
  <c r="H9" i="7"/>
  <c r="H8" i="7"/>
  <c r="H11" i="7"/>
  <c r="H19" i="7"/>
  <c r="H4" i="7"/>
  <c r="H14" i="7"/>
  <c r="H12" i="7"/>
  <c r="E22" i="7"/>
  <c r="E24" i="7" s="1"/>
  <c r="F7" i="7"/>
  <c r="H21" i="7"/>
  <c r="F16" i="6"/>
  <c r="F22" i="6" s="1"/>
  <c r="F24" i="6" s="1"/>
  <c r="E22" i="6"/>
  <c r="E24" i="6" s="1"/>
  <c r="G5" i="6"/>
  <c r="F7" i="5"/>
  <c r="F18" i="5"/>
  <c r="G7" i="7" l="1"/>
  <c r="H7" i="12" s="1"/>
  <c r="F22" i="7"/>
  <c r="F24" i="7" s="1"/>
  <c r="H5" i="7"/>
  <c r="G16" i="6"/>
  <c r="G22" i="6" s="1"/>
  <c r="E16" i="5"/>
  <c r="F16" i="5" s="1"/>
  <c r="G16" i="5" s="1"/>
  <c r="H16" i="5" s="1"/>
  <c r="A16" i="5"/>
  <c r="F14" i="5"/>
  <c r="H7" i="10" l="1"/>
  <c r="H7" i="11"/>
  <c r="H7" i="9"/>
  <c r="H7" i="8"/>
  <c r="H16" i="6"/>
  <c r="H18" i="7"/>
  <c r="H7" i="7"/>
  <c r="G22" i="7"/>
  <c r="H22" i="6"/>
  <c r="F13" i="5"/>
  <c r="H22" i="7" l="1"/>
  <c r="F6" i="5"/>
  <c r="G6" i="5" s="1"/>
  <c r="F5" i="5" l="1"/>
  <c r="G5" i="5" s="1"/>
  <c r="G18" i="5"/>
  <c r="H18" i="5" s="1"/>
  <c r="A18" i="5"/>
  <c r="E22" i="5"/>
  <c r="E24" i="5" s="1"/>
  <c r="G21" i="5"/>
  <c r="A21" i="5"/>
  <c r="G20" i="5"/>
  <c r="A20" i="5"/>
  <c r="G19" i="5"/>
  <c r="A19" i="5"/>
  <c r="G17" i="5"/>
  <c r="A17" i="5"/>
  <c r="G15" i="5"/>
  <c r="A15" i="5"/>
  <c r="G14" i="5"/>
  <c r="A14" i="5"/>
  <c r="G13" i="5"/>
  <c r="A13" i="5"/>
  <c r="G12" i="5"/>
  <c r="A12" i="5"/>
  <c r="G11" i="5"/>
  <c r="A11" i="5"/>
  <c r="G10" i="5"/>
  <c r="A10" i="5"/>
  <c r="G9" i="5"/>
  <c r="A9" i="5"/>
  <c r="F22" i="5"/>
  <c r="F24" i="5" s="1"/>
  <c r="A8" i="5"/>
  <c r="G7" i="5"/>
  <c r="D22" i="5"/>
  <c r="A7" i="5"/>
  <c r="A6" i="5"/>
  <c r="A5" i="5"/>
  <c r="G4" i="5"/>
  <c r="A4" i="5"/>
  <c r="G14" i="4"/>
  <c r="A14" i="4"/>
  <c r="A6" i="4"/>
  <c r="A13" i="4"/>
  <c r="A19" i="4"/>
  <c r="A18" i="4"/>
  <c r="A9" i="4"/>
  <c r="A8" i="4"/>
  <c r="A12" i="4"/>
  <c r="A17" i="4"/>
  <c r="A5" i="4"/>
  <c r="A15" i="4"/>
  <c r="A16" i="4"/>
  <c r="A11" i="4"/>
  <c r="A7" i="4"/>
  <c r="A10" i="4"/>
  <c r="A4" i="4"/>
  <c r="G15" i="4"/>
  <c r="F11" i="4"/>
  <c r="H14" i="5" l="1"/>
  <c r="H14" i="4"/>
  <c r="H14" i="6"/>
  <c r="H15" i="4"/>
  <c r="H15" i="6"/>
  <c r="H15" i="5"/>
  <c r="G8" i="5"/>
  <c r="F13" i="4"/>
  <c r="G22" i="5" l="1"/>
  <c r="F9" i="4"/>
  <c r="H22" i="5" l="1"/>
  <c r="F8" i="4"/>
  <c r="F12" i="4" l="1"/>
  <c r="D7" i="4" l="1"/>
  <c r="D20" i="4" s="1"/>
  <c r="E20" i="4"/>
  <c r="G6" i="4"/>
  <c r="H6" i="6" s="1"/>
  <c r="G13" i="4"/>
  <c r="H13" i="6" s="1"/>
  <c r="G19" i="4"/>
  <c r="H21" i="6" s="1"/>
  <c r="G18" i="4"/>
  <c r="H20" i="6" s="1"/>
  <c r="G9" i="4"/>
  <c r="H9" i="6" s="1"/>
  <c r="G8" i="4"/>
  <c r="H8" i="6" s="1"/>
  <c r="G12" i="4"/>
  <c r="H12" i="6" s="1"/>
  <c r="G17" i="4"/>
  <c r="G28" i="12" s="1"/>
  <c r="G5" i="4"/>
  <c r="H5" i="6" s="1"/>
  <c r="G16" i="4"/>
  <c r="H17" i="6" s="1"/>
  <c r="G11" i="4"/>
  <c r="H11" i="6" s="1"/>
  <c r="G7" i="4"/>
  <c r="H7" i="6" s="1"/>
  <c r="G10" i="4"/>
  <c r="H10" i="6" s="1"/>
  <c r="G4" i="4"/>
  <c r="H4" i="6" s="1"/>
  <c r="F8" i="3"/>
  <c r="G27" i="11" l="1"/>
  <c r="H28" i="12"/>
  <c r="G24" i="9"/>
  <c r="H24" i="9" s="1"/>
  <c r="G27" i="10"/>
  <c r="H27" i="10" s="1"/>
  <c r="G24" i="8"/>
  <c r="H24" i="8" s="1"/>
  <c r="G24" i="7"/>
  <c r="H24" i="7" s="1"/>
  <c r="H19" i="6"/>
  <c r="G24" i="6"/>
  <c r="H24" i="6" s="1"/>
  <c r="H4" i="5"/>
  <c r="H8" i="5"/>
  <c r="H10" i="5"/>
  <c r="H5" i="5"/>
  <c r="H9" i="5"/>
  <c r="H6" i="5"/>
  <c r="H13" i="5"/>
  <c r="H7" i="5"/>
  <c r="H19" i="5"/>
  <c r="G24" i="5"/>
  <c r="H24" i="5" s="1"/>
  <c r="H20" i="5"/>
  <c r="H17" i="5"/>
  <c r="H11" i="5"/>
  <c r="H12" i="5"/>
  <c r="H21" i="5"/>
  <c r="G20" i="4"/>
  <c r="F20" i="4"/>
  <c r="F16" i="3"/>
  <c r="F15" i="3"/>
  <c r="G14" i="3"/>
  <c r="H19" i="4" s="1"/>
  <c r="F12" i="3"/>
  <c r="F10" i="3"/>
  <c r="F2" i="3"/>
  <c r="H27" i="11" l="1"/>
  <c r="G22" i="13"/>
  <c r="G15" i="3"/>
  <c r="H13" i="4" s="1"/>
  <c r="A15" i="3"/>
  <c r="A14" i="3"/>
  <c r="E17" i="3" l="1"/>
  <c r="D17" i="3"/>
  <c r="G16" i="3"/>
  <c r="H6" i="4" s="1"/>
  <c r="A16" i="3"/>
  <c r="G13" i="3"/>
  <c r="H18" i="4" s="1"/>
  <c r="A13" i="3"/>
  <c r="G12" i="3"/>
  <c r="H9" i="4" s="1"/>
  <c r="A12" i="3"/>
  <c r="G11" i="3"/>
  <c r="H8" i="4" s="1"/>
  <c r="A11" i="3"/>
  <c r="G10" i="3"/>
  <c r="H12" i="4" s="1"/>
  <c r="A10" i="3"/>
  <c r="G9" i="3"/>
  <c r="H17" i="4" s="1"/>
  <c r="A9" i="3"/>
  <c r="G8" i="3"/>
  <c r="H5" i="4" s="1"/>
  <c r="A8" i="3"/>
  <c r="F6" i="3"/>
  <c r="G6" i="3" s="1"/>
  <c r="H16" i="4" s="1"/>
  <c r="A6" i="3"/>
  <c r="G5" i="3"/>
  <c r="H11" i="4" s="1"/>
  <c r="A5" i="3"/>
  <c r="G4" i="3"/>
  <c r="H7" i="4" s="1"/>
  <c r="A4" i="3"/>
  <c r="G3" i="3"/>
  <c r="H10" i="4" s="1"/>
  <c r="A3" i="3"/>
  <c r="G2" i="3"/>
  <c r="H4" i="4" s="1"/>
  <c r="A2" i="3"/>
  <c r="D9" i="2"/>
  <c r="E9" i="2"/>
  <c r="F17" i="3" l="1"/>
  <c r="F19" i="3" s="1"/>
  <c r="F22" i="4"/>
  <c r="E19" i="3"/>
  <c r="E22" i="4"/>
  <c r="G17" i="3"/>
  <c r="F11" i="2"/>
  <c r="F10" i="2"/>
  <c r="F9" i="2"/>
  <c r="F6" i="2"/>
  <c r="F5" i="2"/>
  <c r="F4" i="2"/>
  <c r="F2" i="2"/>
  <c r="G19" i="3" l="1"/>
  <c r="G22" i="4"/>
  <c r="H20" i="4"/>
  <c r="E3" i="2"/>
  <c r="H22" i="4" l="1"/>
  <c r="G13" i="2"/>
  <c r="G12" i="2"/>
  <c r="G11" i="2"/>
  <c r="G10" i="2"/>
  <c r="G9" i="2"/>
  <c r="G8" i="2"/>
  <c r="G7" i="2"/>
  <c r="G6" i="2"/>
  <c r="G5" i="2"/>
  <c r="G4" i="2"/>
  <c r="G3" i="2"/>
  <c r="G2" i="2"/>
  <c r="E14" i="2"/>
  <c r="F14" i="2"/>
  <c r="D14" i="2"/>
  <c r="A13" i="2"/>
  <c r="A12" i="2"/>
  <c r="A11" i="2"/>
  <c r="A10" i="2"/>
  <c r="A9" i="2"/>
  <c r="A8" i="2"/>
  <c r="A7" i="2"/>
  <c r="A6" i="2"/>
  <c r="A5" i="2"/>
  <c r="A4" i="2"/>
  <c r="A3" i="2"/>
  <c r="A2" i="2"/>
  <c r="G14" i="2" l="1"/>
</calcChain>
</file>

<file path=xl/sharedStrings.xml><?xml version="1.0" encoding="utf-8"?>
<sst xmlns="http://schemas.openxmlformats.org/spreadsheetml/2006/main" count="3221" uniqueCount="357">
  <si>
    <t>업체명</t>
  </si>
  <si>
    <t>공병자원</t>
  </si>
  <si>
    <t>동행상사</t>
  </si>
  <si>
    <t>무등자원</t>
  </si>
  <si>
    <t>미래환경</t>
  </si>
  <si>
    <t>수정자원</t>
  </si>
  <si>
    <t>신동영상사</t>
  </si>
  <si>
    <t>신현수지</t>
  </si>
  <si>
    <t>신흥페이퍼</t>
  </si>
  <si>
    <t>영신자원</t>
  </si>
  <si>
    <t>이강자원</t>
  </si>
  <si>
    <t>이수페이퍼</t>
  </si>
  <si>
    <t>순번</t>
    <phoneticPr fontId="1" type="noConversion"/>
  </si>
  <si>
    <t>거보자원</t>
  </si>
  <si>
    <t>알캔만 세금계산서 발행</t>
    <phoneticPr fontId="1" type="noConversion"/>
  </si>
  <si>
    <t>6월분+7월분 -&gt; 7월말로세금계산서 발행</t>
    <phoneticPr fontId="1" type="noConversion"/>
  </si>
  <si>
    <t>군산에서 세금계산서 발행함</t>
    <phoneticPr fontId="1" type="noConversion"/>
  </si>
  <si>
    <t>세금계산서 발행안함</t>
    <phoneticPr fontId="1" type="noConversion"/>
  </si>
  <si>
    <t>합계</t>
    <phoneticPr fontId="1" type="noConversion"/>
  </si>
  <si>
    <t>수량</t>
    <phoneticPr fontId="1" type="noConversion"/>
  </si>
  <si>
    <t>공급가</t>
    <phoneticPr fontId="1" type="noConversion"/>
  </si>
  <si>
    <t>세액</t>
    <phoneticPr fontId="1" type="noConversion"/>
  </si>
  <si>
    <t>총액</t>
    <phoneticPr fontId="1" type="noConversion"/>
  </si>
  <si>
    <t>비고</t>
    <phoneticPr fontId="1" type="noConversion"/>
  </si>
  <si>
    <t>7/25일자로 입력할 것, 재활용품 지원금</t>
    <phoneticPr fontId="1" type="noConversion"/>
  </si>
  <si>
    <t>6월분, 7월분 마감내역 확인할 것</t>
    <phoneticPr fontId="1" type="noConversion"/>
  </si>
  <si>
    <t>품목</t>
    <phoneticPr fontId="1" type="noConversion"/>
  </si>
  <si>
    <t>종이팩</t>
    <phoneticPr fontId="1" type="noConversion"/>
  </si>
  <si>
    <t>파지</t>
    <phoneticPr fontId="1" type="noConversion"/>
  </si>
  <si>
    <t>알루미늄캔</t>
    <phoneticPr fontId="1" type="noConversion"/>
  </si>
  <si>
    <t>재활용품지원금</t>
    <phoneticPr fontId="1" type="noConversion"/>
  </si>
  <si>
    <t>파지</t>
    <phoneticPr fontId="1" type="noConversion"/>
  </si>
  <si>
    <t>플라스틱</t>
    <phoneticPr fontId="1" type="noConversion"/>
  </si>
  <si>
    <t>파지</t>
    <phoneticPr fontId="1" type="noConversion"/>
  </si>
  <si>
    <t>파지외</t>
    <phoneticPr fontId="1" type="noConversion"/>
  </si>
  <si>
    <t>사랑나누기</t>
    <phoneticPr fontId="1" type="noConversion"/>
  </si>
  <si>
    <t>헌옷</t>
    <phoneticPr fontId="1" type="noConversion"/>
  </si>
  <si>
    <t>이수종합상사</t>
    <phoneticPr fontId="1" type="noConversion"/>
  </si>
  <si>
    <t>우리물류</t>
    <phoneticPr fontId="1" type="noConversion"/>
  </si>
  <si>
    <t>양은</t>
    <phoneticPr fontId="1" type="noConversion"/>
  </si>
  <si>
    <t>제이원중고매매. 세금계산서 발행 완료</t>
    <phoneticPr fontId="1" type="noConversion"/>
  </si>
  <si>
    <t>양은외</t>
    <phoneticPr fontId="1" type="noConversion"/>
  </si>
  <si>
    <t>고철(경량)</t>
    <phoneticPr fontId="1" type="noConversion"/>
  </si>
  <si>
    <t>09/01 계산서 발행완료</t>
    <phoneticPr fontId="1" type="noConversion"/>
  </si>
  <si>
    <t>08/30 계산서 발행 완료</t>
    <phoneticPr fontId="1" type="noConversion"/>
  </si>
  <si>
    <t>알캔만 세금계산서 발행 / 철캔은 군산에서</t>
    <phoneticPr fontId="1" type="noConversion"/>
  </si>
  <si>
    <t>알캔</t>
    <phoneticPr fontId="1" type="noConversion"/>
  </si>
  <si>
    <t>작업철 신주</t>
    <phoneticPr fontId="1" type="noConversion"/>
  </si>
  <si>
    <t>9/29일까지 출고분 9/30일자로 발행</t>
    <phoneticPr fontId="1" type="noConversion"/>
  </si>
  <si>
    <t>공병외</t>
    <phoneticPr fontId="1" type="noConversion"/>
  </si>
  <si>
    <t>전월대비</t>
    <phoneticPr fontId="1" type="noConversion"/>
  </si>
  <si>
    <t>수정&amp;이수는 9/29일분까지만 반영됨!</t>
    <phoneticPr fontId="1" type="noConversion"/>
  </si>
  <si>
    <t>2021년 09월 매출 가결산 내역</t>
    <phoneticPr fontId="1" type="noConversion"/>
  </si>
  <si>
    <t>2021년 10월 01일 기준</t>
    <phoneticPr fontId="1" type="noConversion"/>
  </si>
  <si>
    <t>세금계산서 발행 완료</t>
    <phoneticPr fontId="1" type="noConversion"/>
  </si>
  <si>
    <t>아연 외</t>
    <phoneticPr fontId="1" type="noConversion"/>
  </si>
  <si>
    <t>주식회사 호남플라텍</t>
  </si>
  <si>
    <t>소형가전</t>
    <phoneticPr fontId="1" type="noConversion"/>
  </si>
  <si>
    <t>2021년 10월 매출 가결산 내역</t>
    <phoneticPr fontId="1" type="noConversion"/>
  </si>
  <si>
    <t>2021년 11월 01일 기준</t>
    <phoneticPr fontId="1" type="noConversion"/>
  </si>
  <si>
    <t>9/30~10/30일까지 출고분 10/31일자로 발행</t>
    <phoneticPr fontId="1" type="noConversion"/>
  </si>
  <si>
    <t>전주자원</t>
    <phoneticPr fontId="1" type="noConversion"/>
  </si>
  <si>
    <t>제이원중고매매</t>
    <phoneticPr fontId="1" type="noConversion"/>
  </si>
  <si>
    <t>우리산업이엔에스</t>
    <phoneticPr fontId="1" type="noConversion"/>
  </si>
  <si>
    <t>수정&amp;이수는 10/30일분까지만 반영됨!</t>
    <phoneticPr fontId="1" type="noConversion"/>
  </si>
  <si>
    <t>세금계산서 발행안함, 송대표 농협계좌로 송금</t>
    <phoneticPr fontId="1" type="noConversion"/>
  </si>
  <si>
    <t>2021년 12월 01일 기준</t>
    <phoneticPr fontId="1" type="noConversion"/>
  </si>
  <si>
    <t>10/31~11/29일까지 출고분 11/30일자로 발행</t>
    <phoneticPr fontId="1" type="noConversion"/>
  </si>
  <si>
    <t>2021년 11월 매출 결산 내역</t>
    <phoneticPr fontId="1" type="noConversion"/>
  </si>
  <si>
    <t>무등자원</t>
    <phoneticPr fontId="1" type="noConversion"/>
  </si>
  <si>
    <t>수량7000 단가상이함</t>
    <phoneticPr fontId="1" type="noConversion"/>
  </si>
  <si>
    <t>2021년 12월 매출 결산 내역</t>
    <phoneticPr fontId="1" type="noConversion"/>
  </si>
  <si>
    <t>2021년 12월 31일 기준</t>
    <phoneticPr fontId="1" type="noConversion"/>
  </si>
  <si>
    <t>11/30~12/30일까지 출고분 12/31일자로 발행</t>
    <phoneticPr fontId="1" type="noConversion"/>
  </si>
  <si>
    <t>리텍</t>
    <phoneticPr fontId="1" type="noConversion"/>
  </si>
  <si>
    <t>세종메이저</t>
    <phoneticPr fontId="1" type="noConversion"/>
  </si>
  <si>
    <t>2022년 01월 매출 결산 내역</t>
    <phoneticPr fontId="1" type="noConversion"/>
  </si>
  <si>
    <t>12/31~22.1/28일까지 출고분 1/29일자로 발행</t>
    <phoneticPr fontId="1" type="noConversion"/>
  </si>
  <si>
    <t>12/31~22.01/30일까지 출고분 1/31일자로 발행</t>
    <phoneticPr fontId="1" type="noConversion"/>
  </si>
  <si>
    <t>2022년 01월 31일 기준</t>
    <phoneticPr fontId="1" type="noConversion"/>
  </si>
  <si>
    <t>제이원 1/14 363,500 1/26 6,455,750(양은) 1,531.500</t>
    <phoneticPr fontId="1" type="noConversion"/>
  </si>
  <si>
    <t>2022년 02월 매출 결산 내역</t>
    <phoneticPr fontId="1" type="noConversion"/>
  </si>
  <si>
    <t>2022년 02월 28일 기준</t>
    <phoneticPr fontId="1" type="noConversion"/>
  </si>
  <si>
    <t xml:space="preserve">1/29~2/28일까지 출고분 </t>
    <phoneticPr fontId="1" type="noConversion"/>
  </si>
  <si>
    <t>반디무역</t>
    <phoneticPr fontId="1" type="noConversion"/>
  </si>
  <si>
    <t>2022년 03월 매출 결산 내역</t>
    <phoneticPr fontId="1" type="noConversion"/>
  </si>
  <si>
    <t>2022년 03월 31일 기준</t>
    <phoneticPr fontId="1" type="noConversion"/>
  </si>
  <si>
    <t xml:space="preserve">2/29~3/30일까지 출고분 </t>
    <phoneticPr fontId="1" type="noConversion"/>
  </si>
  <si>
    <r>
      <rPr>
        <b/>
        <sz val="11"/>
        <color theme="4"/>
        <rFont val="맑은 고딕"/>
        <family val="3"/>
        <charset val="129"/>
        <scheme val="minor"/>
      </rPr>
      <t>알캔만 세금계산서 발행</t>
    </r>
    <r>
      <rPr>
        <sz val="11"/>
        <color theme="1"/>
        <rFont val="맑은 고딕"/>
        <family val="2"/>
        <scheme val="minor"/>
      </rPr>
      <t xml:space="preserve"> / 철캔은 군산에서</t>
    </r>
    <phoneticPr fontId="1" type="noConversion"/>
  </si>
  <si>
    <t>2022년 04월 매출 결산 내역</t>
    <phoneticPr fontId="1" type="noConversion"/>
  </si>
  <si>
    <t>2022년 04월 30일 기준</t>
    <phoneticPr fontId="1" type="noConversion"/>
  </si>
  <si>
    <t>아시아산업</t>
    <phoneticPr fontId="1" type="noConversion"/>
  </si>
  <si>
    <t>소형가전외</t>
    <phoneticPr fontId="1" type="noConversion"/>
  </si>
  <si>
    <t>세종메이저</t>
    <phoneticPr fontId="1" type="noConversion"/>
  </si>
  <si>
    <t xml:space="preserve">03/31~05/01일까지 출고분 </t>
    <phoneticPr fontId="1" type="noConversion"/>
  </si>
  <si>
    <t xml:space="preserve">03/31~04/29일까지 출고분 </t>
    <phoneticPr fontId="1" type="noConversion"/>
  </si>
  <si>
    <t>2022년 05월 매출 결산 내역</t>
    <phoneticPr fontId="1" type="noConversion"/>
  </si>
  <si>
    <t>2022년 05월 31일 기준</t>
    <phoneticPr fontId="1" type="noConversion"/>
  </si>
  <si>
    <t xml:space="preserve">04/30~05/30일까지 출고분 </t>
    <phoneticPr fontId="1" type="noConversion"/>
  </si>
  <si>
    <r>
      <rPr>
        <b/>
        <sz val="11"/>
        <color theme="8"/>
        <rFont val="맑은 고딕"/>
        <family val="3"/>
        <charset val="129"/>
        <scheme val="minor"/>
      </rPr>
      <t>알캔만 세금계산서 발행</t>
    </r>
    <r>
      <rPr>
        <sz val="11"/>
        <color theme="1"/>
        <rFont val="맑은 고딕"/>
        <family val="2"/>
        <scheme val="minor"/>
      </rPr>
      <t xml:space="preserve"> / 철캔은 군산에서</t>
    </r>
    <phoneticPr fontId="1" type="noConversion"/>
  </si>
  <si>
    <t>5/6</t>
    <phoneticPr fontId="1" type="noConversion"/>
  </si>
  <si>
    <t>5/17</t>
    <phoneticPr fontId="1" type="noConversion"/>
  </si>
  <si>
    <t>5/31</t>
    <phoneticPr fontId="1" type="noConversion"/>
  </si>
  <si>
    <t>05/02~06/02일까지 출고분</t>
    <phoneticPr fontId="1" type="noConversion"/>
  </si>
  <si>
    <t>잡병</t>
    <phoneticPr fontId="1" type="noConversion"/>
  </si>
  <si>
    <t>010-2034-9900</t>
    <phoneticPr fontId="1" type="noConversion"/>
  </si>
  <si>
    <t>세금계산서발행일</t>
    <phoneticPr fontId="1" type="noConversion"/>
  </si>
  <si>
    <t>파지</t>
    <phoneticPr fontId="1" type="noConversion"/>
  </si>
  <si>
    <t>062-953-7752</t>
    <phoneticPr fontId="1" type="noConversion"/>
  </si>
  <si>
    <t>말일</t>
    <phoneticPr fontId="1" type="noConversion"/>
  </si>
  <si>
    <t>매출상시</t>
    <phoneticPr fontId="1" type="noConversion"/>
  </si>
  <si>
    <t>말일</t>
    <phoneticPr fontId="1" type="noConversion"/>
  </si>
  <si>
    <t>010-3674-5632</t>
    <phoneticPr fontId="1" type="noConversion"/>
  </si>
  <si>
    <t>수제산업  매출  업체 내역</t>
    <phoneticPr fontId="1" type="noConversion"/>
  </si>
  <si>
    <t>062-531-1212</t>
  </si>
  <si>
    <t>010-9660-1872</t>
  </si>
  <si>
    <t>010-3680-4435</t>
    <phoneticPr fontId="1" type="noConversion"/>
  </si>
  <si>
    <t>063-442-4452</t>
    <phoneticPr fontId="1" type="noConversion"/>
  </si>
  <si>
    <t>041-333-9585</t>
  </si>
  <si>
    <t>no.</t>
    <phoneticPr fontId="1" type="noConversion"/>
  </si>
  <si>
    <t>담당연락처</t>
    <phoneticPr fontId="1" type="noConversion"/>
  </si>
  <si>
    <t>2022년 06월 매출 결산 내역</t>
    <phoneticPr fontId="1" type="noConversion"/>
  </si>
  <si>
    <t>2022년 06월 30일 기준</t>
    <phoneticPr fontId="1" type="noConversion"/>
  </si>
  <si>
    <t xml:space="preserve">05/31~06/29일까지 출고분 </t>
    <phoneticPr fontId="1" type="noConversion"/>
  </si>
  <si>
    <t>010-8711-6267</t>
    <phoneticPr fontId="1" type="noConversion"/>
  </si>
  <si>
    <t>양은</t>
    <phoneticPr fontId="1" type="noConversion"/>
  </si>
  <si>
    <t>06/03~07/02일까지 출고분</t>
    <phoneticPr fontId="1" type="noConversion"/>
  </si>
  <si>
    <t>2022년 07월 매출 결산 내역</t>
    <phoneticPr fontId="1" type="noConversion"/>
  </si>
  <si>
    <t>2022년 07월 31일 기준</t>
    <phoneticPr fontId="1" type="noConversion"/>
  </si>
  <si>
    <t xml:space="preserve">06/30~07/30일까지 출고분 </t>
    <phoneticPr fontId="1" type="noConversion"/>
  </si>
  <si>
    <t>리텍</t>
    <phoneticPr fontId="1" type="noConversion"/>
  </si>
  <si>
    <t>소형가전</t>
    <phoneticPr fontId="1" type="noConversion"/>
  </si>
  <si>
    <t>7월5일</t>
    <phoneticPr fontId="1" type="noConversion"/>
  </si>
  <si>
    <t>헌옷명가</t>
    <phoneticPr fontId="1" type="noConversion"/>
  </si>
  <si>
    <t>헌옷</t>
    <phoneticPr fontId="1" type="noConversion"/>
  </si>
  <si>
    <t>헌옷명가</t>
    <phoneticPr fontId="1" type="noConversion"/>
  </si>
  <si>
    <t>010-4994-3247</t>
    <phoneticPr fontId="1" type="noConversion"/>
  </si>
  <si>
    <t>7월12일</t>
    <phoneticPr fontId="1" type="noConversion"/>
  </si>
  <si>
    <t>헌옷</t>
    <phoneticPr fontId="1" type="noConversion"/>
  </si>
  <si>
    <t>7월29일</t>
    <phoneticPr fontId="1" type="noConversion"/>
  </si>
  <si>
    <t>07/03~07/30일까지 출고분</t>
    <phoneticPr fontId="1" type="noConversion"/>
  </si>
  <si>
    <t>2022년 08월 매출 결산 내역</t>
    <phoneticPr fontId="1" type="noConversion"/>
  </si>
  <si>
    <t>2022년 08월 31일 기준</t>
    <phoneticPr fontId="1" type="noConversion"/>
  </si>
  <si>
    <t xml:space="preserve">07/31~08/30일까지 출고분 </t>
    <phoneticPr fontId="1" type="noConversion"/>
  </si>
  <si>
    <t>거래종료</t>
    <phoneticPr fontId="1" type="noConversion"/>
  </si>
  <si>
    <t>08월26일</t>
    <phoneticPr fontId="1" type="noConversion"/>
  </si>
  <si>
    <t>08월12일</t>
    <phoneticPr fontId="1" type="noConversion"/>
  </si>
  <si>
    <t>08월22일</t>
    <phoneticPr fontId="1" type="noConversion"/>
  </si>
  <si>
    <t>기타</t>
    <phoneticPr fontId="1" type="noConversion"/>
  </si>
  <si>
    <t>사람과환경</t>
    <phoneticPr fontId="1" type="noConversion"/>
  </si>
  <si>
    <t>호남R.C</t>
    <phoneticPr fontId="1" type="noConversion"/>
  </si>
  <si>
    <t>톤백</t>
    <phoneticPr fontId="1" type="noConversion"/>
  </si>
  <si>
    <t>톤백</t>
    <phoneticPr fontId="1" type="noConversion"/>
  </si>
  <si>
    <t>8월31일</t>
    <phoneticPr fontId="1" type="noConversion"/>
  </si>
  <si>
    <t>08/01~09/02일까지 출고분</t>
    <phoneticPr fontId="1" type="noConversion"/>
  </si>
  <si>
    <t>2022년 09월 매출 결산 내역</t>
    <phoneticPr fontId="1" type="noConversion"/>
  </si>
  <si>
    <t>9월29일</t>
    <phoneticPr fontId="1" type="noConversion"/>
  </si>
  <si>
    <t>8/31~9/29까지 출고분</t>
    <phoneticPr fontId="1" type="noConversion"/>
  </si>
  <si>
    <t>9월30일</t>
    <phoneticPr fontId="1" type="noConversion"/>
  </si>
  <si>
    <t>2022년 10월 매출 결산 내역</t>
    <phoneticPr fontId="1" type="noConversion"/>
  </si>
  <si>
    <t>9월30일</t>
    <phoneticPr fontId="1" type="noConversion"/>
  </si>
  <si>
    <t>9월21일</t>
    <phoneticPr fontId="1" type="noConversion"/>
  </si>
  <si>
    <t>2022년 10월 01일 기준</t>
    <phoneticPr fontId="1" type="noConversion"/>
  </si>
  <si>
    <t>9/3~10/10까지 출고분</t>
    <phoneticPr fontId="1" type="noConversion"/>
  </si>
  <si>
    <t>2022년 10월 31일 기준</t>
    <phoneticPr fontId="1" type="noConversion"/>
  </si>
  <si>
    <t>10월31일</t>
    <phoneticPr fontId="1" type="noConversion"/>
  </si>
  <si>
    <t>9/30~10/29까지 출고분</t>
    <phoneticPr fontId="1" type="noConversion"/>
  </si>
  <si>
    <t>2022년 11월 매출 결산 내역</t>
    <phoneticPr fontId="1" type="noConversion"/>
  </si>
  <si>
    <t>2022년 11월 30일 기준</t>
    <phoneticPr fontId="1" type="noConversion"/>
  </si>
  <si>
    <t>10/11~11/7까지 출고분</t>
    <phoneticPr fontId="1" type="noConversion"/>
  </si>
  <si>
    <t>10/31~11/29까지 출고분</t>
    <phoneticPr fontId="1" type="noConversion"/>
  </si>
  <si>
    <t>11월16일/11월21일</t>
    <phoneticPr fontId="1" type="noConversion"/>
  </si>
  <si>
    <t>양은</t>
    <phoneticPr fontId="1" type="noConversion"/>
  </si>
  <si>
    <t>11월28일</t>
    <phoneticPr fontId="1" type="noConversion"/>
  </si>
  <si>
    <t>11월21일</t>
    <phoneticPr fontId="1" type="noConversion"/>
  </si>
  <si>
    <t>수제환경</t>
    <phoneticPr fontId="1" type="noConversion"/>
  </si>
  <si>
    <t>수제환경</t>
    <phoneticPr fontId="1" type="noConversion"/>
  </si>
  <si>
    <t>수제환경</t>
    <phoneticPr fontId="1" type="noConversion"/>
  </si>
  <si>
    <t>수제환경</t>
    <phoneticPr fontId="1" type="noConversion"/>
  </si>
  <si>
    <t>발급</t>
    <phoneticPr fontId="1" type="noConversion"/>
  </si>
  <si>
    <t>10월19일  10월28일</t>
    <phoneticPr fontId="1" type="noConversion"/>
  </si>
  <si>
    <t>9월26일 9월29일</t>
    <phoneticPr fontId="1" type="noConversion"/>
  </si>
  <si>
    <t>08월09일  08월24일 08월26일</t>
    <phoneticPr fontId="1" type="noConversion"/>
  </si>
  <si>
    <t>수제산업</t>
    <phoneticPr fontId="1" type="noConversion"/>
  </si>
  <si>
    <t>11월7일</t>
    <phoneticPr fontId="1" type="noConversion"/>
  </si>
  <si>
    <t>11/1~11/30일</t>
    <phoneticPr fontId="1" type="noConversion"/>
  </si>
  <si>
    <t>수제산업,수제환경</t>
    <phoneticPr fontId="1" type="noConversion"/>
  </si>
  <si>
    <t>11/8~11/30일까지 출고분</t>
    <phoneticPr fontId="1" type="noConversion"/>
  </si>
  <si>
    <t>거래종료</t>
    <phoneticPr fontId="1" type="noConversion"/>
  </si>
  <si>
    <t>수제산업     수제환경</t>
    <phoneticPr fontId="1" type="noConversion"/>
  </si>
  <si>
    <t>11월30일</t>
    <phoneticPr fontId="1" type="noConversion"/>
  </si>
  <si>
    <t>2022년 12월 매출 결산 내역</t>
    <phoneticPr fontId="1" type="noConversion"/>
  </si>
  <si>
    <t>2022년 12월 31일 기준</t>
    <phoneticPr fontId="1" type="noConversion"/>
  </si>
  <si>
    <t>수제환경</t>
    <phoneticPr fontId="1" type="noConversion"/>
  </si>
  <si>
    <t>12월1일~12월30일까지 출고분</t>
    <phoneticPr fontId="1" type="noConversion"/>
  </si>
  <si>
    <t>12월1일~12월31일까지 출고분</t>
    <phoneticPr fontId="1" type="noConversion"/>
  </si>
  <si>
    <t>12월31일</t>
    <phoneticPr fontId="1" type="noConversion"/>
  </si>
  <si>
    <t>신평화자원</t>
    <phoneticPr fontId="1" type="noConversion"/>
  </si>
  <si>
    <t>잡병</t>
    <phoneticPr fontId="1" type="noConversion"/>
  </si>
  <si>
    <t>2023년 01월 매출 결산 내역</t>
    <phoneticPr fontId="1" type="noConversion"/>
  </si>
  <si>
    <t>2023년 01월 31일 기준</t>
    <phoneticPr fontId="1" type="noConversion"/>
  </si>
  <si>
    <t>유한회사 해온</t>
    <phoneticPr fontId="1" type="noConversion"/>
  </si>
  <si>
    <t>생활폐기물</t>
    <phoneticPr fontId="1" type="noConversion"/>
  </si>
  <si>
    <t>12월19일</t>
    <phoneticPr fontId="1" type="noConversion"/>
  </si>
  <si>
    <t>비철외</t>
    <phoneticPr fontId="1" type="noConversion"/>
  </si>
  <si>
    <t>12월30일</t>
    <phoneticPr fontId="1" type="noConversion"/>
  </si>
  <si>
    <t>유한회사 해온</t>
    <phoneticPr fontId="1" type="noConversion"/>
  </si>
  <si>
    <t>01월09일</t>
    <phoneticPr fontId="1" type="noConversion"/>
  </si>
  <si>
    <t>생활폐기물(소형가전외)</t>
    <phoneticPr fontId="1" type="noConversion"/>
  </si>
  <si>
    <t>유한회사 해온 으로 발행됨</t>
    <phoneticPr fontId="1" type="noConversion"/>
  </si>
  <si>
    <t>유한회사 해온 으로 발행됨</t>
    <phoneticPr fontId="1" type="noConversion"/>
  </si>
  <si>
    <t>01월19일</t>
    <phoneticPr fontId="1" type="noConversion"/>
  </si>
  <si>
    <t>01월30일</t>
    <phoneticPr fontId="1" type="noConversion"/>
  </si>
  <si>
    <t>1월13일</t>
    <phoneticPr fontId="1" type="noConversion"/>
  </si>
  <si>
    <t>1월19일</t>
    <phoneticPr fontId="1" type="noConversion"/>
  </si>
  <si>
    <t>2023년 02월 매출 결산 내역</t>
    <phoneticPr fontId="1" type="noConversion"/>
  </si>
  <si>
    <t>2023년 02월 28일 기준</t>
    <phoneticPr fontId="1" type="noConversion"/>
  </si>
  <si>
    <t>01월31일</t>
    <phoneticPr fontId="1" type="noConversion"/>
  </si>
  <si>
    <t>01월31일</t>
    <phoneticPr fontId="1" type="noConversion"/>
  </si>
  <si>
    <t>1월1일~2월4일</t>
    <phoneticPr fontId="1" type="noConversion"/>
  </si>
  <si>
    <t>생활폐기물(소형가전외)</t>
  </si>
  <si>
    <t>양은</t>
  </si>
  <si>
    <t>생활폐기물수집운반비</t>
    <phoneticPr fontId="1" type="noConversion"/>
  </si>
  <si>
    <t>품목명(세금계산서)</t>
    <phoneticPr fontId="1" type="noConversion"/>
  </si>
  <si>
    <t>공병 외</t>
    <phoneticPr fontId="1" type="noConversion"/>
  </si>
  <si>
    <t>플라스틱</t>
    <phoneticPr fontId="1" type="noConversion"/>
  </si>
  <si>
    <t>헌옷</t>
    <phoneticPr fontId="1" type="noConversion"/>
  </si>
  <si>
    <t>헌옷</t>
    <phoneticPr fontId="1" type="noConversion"/>
  </si>
  <si>
    <t>헌옷</t>
    <phoneticPr fontId="1" type="noConversion"/>
  </si>
  <si>
    <t>재활용품지원금</t>
    <phoneticPr fontId="1" type="noConversion"/>
  </si>
  <si>
    <t>소형가전외</t>
    <phoneticPr fontId="1" type="noConversion"/>
  </si>
  <si>
    <t>품목(비고란)</t>
    <phoneticPr fontId="1" type="noConversion"/>
  </si>
  <si>
    <t>비철외</t>
    <phoneticPr fontId="1" type="noConversion"/>
  </si>
  <si>
    <t>양은</t>
    <phoneticPr fontId="1" type="noConversion"/>
  </si>
  <si>
    <t>파지외</t>
    <phoneticPr fontId="1" type="noConversion"/>
  </si>
  <si>
    <t>2023년 03월 매출 결산 내역</t>
    <phoneticPr fontId="1" type="noConversion"/>
  </si>
  <si>
    <t>수제산업</t>
    <phoneticPr fontId="1" type="noConversion"/>
  </si>
  <si>
    <t>파지</t>
    <phoneticPr fontId="1" type="noConversion"/>
  </si>
  <si>
    <t>파지</t>
    <phoneticPr fontId="1" type="noConversion"/>
  </si>
  <si>
    <t>2월5일~3월5일까지</t>
    <phoneticPr fontId="1" type="noConversion"/>
  </si>
  <si>
    <t>거보자원</t>
    <phoneticPr fontId="1" type="noConversion"/>
  </si>
  <si>
    <t>종이팩</t>
    <phoneticPr fontId="1" type="noConversion"/>
  </si>
  <si>
    <t>생활폐기물(우유팩)수집운반비</t>
    <phoneticPr fontId="1" type="noConversion"/>
  </si>
  <si>
    <t>양은</t>
    <phoneticPr fontId="1" type="noConversion"/>
  </si>
  <si>
    <t>양은</t>
    <phoneticPr fontId="1" type="noConversion"/>
  </si>
  <si>
    <t>비철외</t>
    <phoneticPr fontId="1" type="noConversion"/>
  </si>
  <si>
    <t>2023년 03월 31일 기준</t>
    <phoneticPr fontId="1" type="noConversion"/>
  </si>
  <si>
    <t>03월06~04월06일</t>
    <phoneticPr fontId="1" type="noConversion"/>
  </si>
  <si>
    <t>2023년 04월 매출 결산 내역</t>
    <phoneticPr fontId="1" type="noConversion"/>
  </si>
  <si>
    <t>2023년 04월 30일 기준</t>
    <phoneticPr fontId="1" type="noConversion"/>
  </si>
  <si>
    <t>2023년 05월 31일 기준</t>
    <phoneticPr fontId="1" type="noConversion"/>
  </si>
  <si>
    <t>2023년 05월 매출 결산 내역</t>
    <phoneticPr fontId="1" type="noConversion"/>
  </si>
  <si>
    <t>04월07일~05월08일까지</t>
    <phoneticPr fontId="1" type="noConversion"/>
  </si>
  <si>
    <t>2023년 06월 매출 결산 내역</t>
    <phoneticPr fontId="1" type="noConversion"/>
  </si>
  <si>
    <t>생활폐기물수집운반비(세금계산서X)</t>
    <phoneticPr fontId="1" type="noConversion"/>
  </si>
  <si>
    <t>2023-05-08 세금계산서X ,단가 400원</t>
    <phoneticPr fontId="1" type="noConversion"/>
  </si>
  <si>
    <t>헌옷(단가400원)</t>
    <phoneticPr fontId="1" type="noConversion"/>
  </si>
  <si>
    <t>5월9일~6월6일까지</t>
    <phoneticPr fontId="1" type="noConversion"/>
  </si>
  <si>
    <t>2023-05-23 정산완료</t>
    <phoneticPr fontId="1" type="noConversion"/>
  </si>
  <si>
    <t>2023-04-07 정산완료</t>
    <phoneticPr fontId="1" type="noConversion"/>
  </si>
  <si>
    <t>2023-04-26 정산안됨</t>
    <phoneticPr fontId="1" type="noConversion"/>
  </si>
  <si>
    <t>2023-03-16 정산완료</t>
    <phoneticPr fontId="1" type="noConversion"/>
  </si>
  <si>
    <t>2023년 06월 30일 기준</t>
    <phoneticPr fontId="1" type="noConversion"/>
  </si>
  <si>
    <t>2023년 07월 매출 결산 내역</t>
    <phoneticPr fontId="1" type="noConversion"/>
  </si>
  <si>
    <t>2023년 07월 31일 기준</t>
    <phoneticPr fontId="1" type="noConversion"/>
  </si>
  <si>
    <t>철캔</t>
    <phoneticPr fontId="1" type="noConversion"/>
  </si>
  <si>
    <t>철캔</t>
    <phoneticPr fontId="1" type="noConversion"/>
  </si>
  <si>
    <t>이강자원</t>
    <phoneticPr fontId="1" type="noConversion"/>
  </si>
  <si>
    <t>신동영상사</t>
    <phoneticPr fontId="1" type="noConversion"/>
  </si>
  <si>
    <t>고철</t>
    <phoneticPr fontId="1" type="noConversion"/>
  </si>
  <si>
    <t>신동영상사</t>
    <phoneticPr fontId="1" type="noConversion"/>
  </si>
  <si>
    <t>고철</t>
    <phoneticPr fontId="1" type="noConversion"/>
  </si>
  <si>
    <t>이강자원</t>
    <phoneticPr fontId="1" type="noConversion"/>
  </si>
  <si>
    <t>2023.07월부터 전주에서</t>
    <phoneticPr fontId="1" type="noConversion"/>
  </si>
  <si>
    <t>2023.07월부터 전주에서</t>
    <phoneticPr fontId="1" type="noConversion"/>
  </si>
  <si>
    <t>철캔 2023.08월부터 전주에서</t>
    <phoneticPr fontId="1" type="noConversion"/>
  </si>
  <si>
    <t>매출상시</t>
    <phoneticPr fontId="1" type="noConversion"/>
  </si>
  <si>
    <t>매출상시</t>
    <phoneticPr fontId="1" type="noConversion"/>
  </si>
  <si>
    <t>말일</t>
    <phoneticPr fontId="1" type="noConversion"/>
  </si>
  <si>
    <t>말일</t>
    <phoneticPr fontId="1" type="noConversion"/>
  </si>
  <si>
    <t>말일</t>
    <phoneticPr fontId="1" type="noConversion"/>
  </si>
  <si>
    <t>말일</t>
    <phoneticPr fontId="1" type="noConversion"/>
  </si>
  <si>
    <t>말일</t>
    <phoneticPr fontId="1" type="noConversion"/>
  </si>
  <si>
    <t>매출상시</t>
    <phoneticPr fontId="1" type="noConversion"/>
  </si>
  <si>
    <t>6월7일~7월6일까지</t>
    <phoneticPr fontId="1" type="noConversion"/>
  </si>
  <si>
    <t>말일</t>
    <phoneticPr fontId="1" type="noConversion"/>
  </si>
  <si>
    <t>거래 있을때마다 입금됨</t>
    <phoneticPr fontId="1" type="noConversion"/>
  </si>
  <si>
    <t>수제산업</t>
    <phoneticPr fontId="1" type="noConversion"/>
  </si>
  <si>
    <t>세금때문에 7월부터 수제산업으로 끊기</t>
    <phoneticPr fontId="1" type="noConversion"/>
  </si>
  <si>
    <t>7월부터 거래 안함</t>
    <phoneticPr fontId="1" type="noConversion"/>
  </si>
  <si>
    <t>세금계산서날짜</t>
    <phoneticPr fontId="1" type="noConversion"/>
  </si>
  <si>
    <t>구분</t>
    <phoneticPr fontId="1" type="noConversion"/>
  </si>
  <si>
    <t>소형가전외</t>
    <phoneticPr fontId="1" type="noConversion"/>
  </si>
  <si>
    <t>수제환경</t>
    <phoneticPr fontId="1" type="noConversion"/>
  </si>
  <si>
    <t>삼우</t>
    <phoneticPr fontId="1" type="noConversion"/>
  </si>
  <si>
    <t>매출상시</t>
    <phoneticPr fontId="1" type="noConversion"/>
  </si>
  <si>
    <t>비철외</t>
    <phoneticPr fontId="1" type="noConversion"/>
  </si>
  <si>
    <t>2023년7월부터( 세금계산서 끊을때 스크랩통장계좌)</t>
    <phoneticPr fontId="1" type="noConversion"/>
  </si>
  <si>
    <t>2023년7월부터/입금도 말일에 됨(스크랩통장)</t>
    <phoneticPr fontId="1" type="noConversion"/>
  </si>
  <si>
    <t>2023년7월부터/입금은 출고 다음날 해주심(스크랩통장)</t>
    <phoneticPr fontId="1" type="noConversion"/>
  </si>
  <si>
    <t>수제산업 매출때문에 7월부터 세금계산서 산업으로</t>
    <phoneticPr fontId="1" type="noConversion"/>
  </si>
  <si>
    <t>7월부터 수제산업</t>
    <phoneticPr fontId="1" type="noConversion"/>
  </si>
  <si>
    <t>7월부터 수제산업</t>
    <phoneticPr fontId="1" type="noConversion"/>
  </si>
  <si>
    <t>기타</t>
  </si>
  <si>
    <t>톤백</t>
  </si>
  <si>
    <t>수제산업</t>
  </si>
  <si>
    <t>매출상시</t>
  </si>
  <si>
    <t>우진환경</t>
    <phoneticPr fontId="1" type="noConversion"/>
  </si>
  <si>
    <t>24종</t>
    <phoneticPr fontId="1" type="noConversion"/>
  </si>
  <si>
    <t>27종</t>
    <phoneticPr fontId="1" type="noConversion"/>
  </si>
  <si>
    <t>샷시</t>
    <phoneticPr fontId="1" type="noConversion"/>
  </si>
  <si>
    <t>2023년7월부터( 일반통장으로 받기)</t>
    <phoneticPr fontId="1" type="noConversion"/>
  </si>
  <si>
    <t>2023년 08월 매출 결산 내역</t>
    <phoneticPr fontId="1" type="noConversion"/>
  </si>
  <si>
    <t>2023년 08월 31일 기준</t>
    <phoneticPr fontId="1" type="noConversion"/>
  </si>
  <si>
    <t>더마음</t>
    <phoneticPr fontId="1" type="noConversion"/>
  </si>
  <si>
    <t>서희산업</t>
    <phoneticPr fontId="1" type="noConversion"/>
  </si>
  <si>
    <t>24종</t>
    <phoneticPr fontId="1" type="noConversion"/>
  </si>
  <si>
    <t>익산한화포레나</t>
    <phoneticPr fontId="1" type="noConversion"/>
  </si>
  <si>
    <t>모아미래도2차</t>
    <phoneticPr fontId="1" type="noConversion"/>
  </si>
  <si>
    <t>2023년 09월 매출 결산 내역</t>
    <phoneticPr fontId="1" type="noConversion"/>
  </si>
  <si>
    <t>2023년 09월 30일 기준</t>
    <phoneticPr fontId="1" type="noConversion"/>
  </si>
  <si>
    <t>전주오페라하우스</t>
    <phoneticPr fontId="1" type="noConversion"/>
  </si>
  <si>
    <t>군산포함(8월부터 군산에서도 수정으로 나감)</t>
    <phoneticPr fontId="1" type="noConversion"/>
  </si>
  <si>
    <t>모아미래도센트럴3차</t>
    <phoneticPr fontId="1" type="noConversion"/>
  </si>
  <si>
    <t>완주삼봉LH비엘로스</t>
    <phoneticPr fontId="1" type="noConversion"/>
  </si>
  <si>
    <t>서곡대림아파트</t>
    <phoneticPr fontId="1" type="noConversion"/>
  </si>
  <si>
    <t>서곡청솔아파트</t>
    <phoneticPr fontId="1" type="noConversion"/>
  </si>
  <si>
    <t>삼천이안아파트</t>
    <phoneticPr fontId="1" type="noConversion"/>
  </si>
  <si>
    <t>케이팝</t>
    <phoneticPr fontId="1" type="noConversion"/>
  </si>
  <si>
    <t>생활폐기물수집운반비</t>
    <phoneticPr fontId="1" type="noConversion"/>
  </si>
  <si>
    <t>헌옷(단가600원)</t>
    <phoneticPr fontId="1" type="noConversion"/>
  </si>
  <si>
    <t>2023년9월부터시작</t>
    <phoneticPr fontId="1" type="noConversion"/>
  </si>
  <si>
    <t>대성리싸이클링</t>
    <phoneticPr fontId="1" type="noConversion"/>
  </si>
  <si>
    <t>2023년 10월 31일 기준</t>
    <phoneticPr fontId="1" type="noConversion"/>
  </si>
  <si>
    <t>2023년 10월 매출 결산 내역</t>
    <phoneticPr fontId="1" type="noConversion"/>
  </si>
  <si>
    <t>생활스텐</t>
    <phoneticPr fontId="1" type="noConversion"/>
  </si>
  <si>
    <t>24종</t>
    <phoneticPr fontId="1" type="noConversion"/>
  </si>
  <si>
    <t>새시</t>
    <phoneticPr fontId="1" type="noConversion"/>
  </si>
  <si>
    <t>2023년 11월 매출 결산 내역</t>
    <phoneticPr fontId="1" type="noConversion"/>
  </si>
  <si>
    <t>2023년 11월 30일 기준</t>
    <phoneticPr fontId="1" type="noConversion"/>
  </si>
  <si>
    <t>헌옷</t>
    <phoneticPr fontId="1" type="noConversion"/>
  </si>
  <si>
    <t>탑제작비</t>
    <phoneticPr fontId="1" type="noConversion"/>
  </si>
  <si>
    <t>케이팝</t>
    <phoneticPr fontId="1" type="noConversion"/>
  </si>
  <si>
    <t>케이팝</t>
    <phoneticPr fontId="1" type="noConversion"/>
  </si>
  <si>
    <t>헌옷</t>
    <phoneticPr fontId="1" type="noConversion"/>
  </si>
  <si>
    <t>11월,12월 수제산업으로 세금계산서 발행</t>
    <phoneticPr fontId="1" type="noConversion"/>
  </si>
  <si>
    <t>2023년 12월 매출 결산 내역</t>
    <phoneticPr fontId="1" type="noConversion"/>
  </si>
  <si>
    <t>2023년 12월 31일 기준</t>
    <phoneticPr fontId="1" type="noConversion"/>
  </si>
  <si>
    <t>2023년12월은 수제산업으로 발행</t>
    <phoneticPr fontId="1" type="noConversion"/>
  </si>
  <si>
    <t>수제산업</t>
    <phoneticPr fontId="1" type="noConversion"/>
  </si>
  <si>
    <t>계약아파트헌옷대금</t>
    <phoneticPr fontId="1" type="noConversion"/>
  </si>
  <si>
    <t>혼합비철</t>
    <phoneticPr fontId="1" type="noConversion"/>
  </si>
  <si>
    <t>푸른무역</t>
    <phoneticPr fontId="1" type="noConversion"/>
  </si>
  <si>
    <t>평화3차골드클래스</t>
    <phoneticPr fontId="1" type="noConversion"/>
  </si>
  <si>
    <t>전주평화4단지</t>
    <phoneticPr fontId="1" type="noConversion"/>
  </si>
  <si>
    <t>2024년 01월 매출 결산 내역</t>
    <phoneticPr fontId="1" type="noConversion"/>
  </si>
  <si>
    <t>2024년 01월 31일 기준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</si>
</sst>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-* #,##0_-;\-* #,##0_-;_-* &quot;-&quot;_-;_-@_-"/>
    <numFmt numFmtId="176" formatCode="#,##0_ "/>
    <numFmt numFmtId="177" formatCode="mm&quot;월&quot;\ dd&quot;일&quot;"/>
    <numFmt numFmtId="178" formatCode="m&quot;월&quot;\ d&quot;일&quot;"/>
    <numFmt numFmtId="179" formatCode="m&quot;월&quot;\ dd&quot;일&quot;"/>
    <numFmt numFmtId="180" formatCode="_-* #,##0_-;\-* #,##0_-;_-* &quot;-&quot;??_-;_-@_-"/>
    <numFmt numFmtId="181" formatCode="m&quot;월&quot;\ d&quot;일&quot;;@"/>
  </numFmts>
  <fonts count="2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 tint="-0.249977111117893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1"/>
      <color theme="3" tint="0.79998168889431442"/>
      <name val="맑은 고딕"/>
      <family val="3"/>
      <charset val="129"/>
      <scheme val="minor"/>
    </font>
    <font>
      <sz val="11"/>
      <color theme="3" tint="0.79998168889431442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4"/>
      <name val="맑은 고딕"/>
      <family val="2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>
      <alignment vertical="center"/>
    </xf>
  </cellStyleXfs>
  <cellXfs count="36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5" fillId="3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6" fillId="0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41" fontId="0" fillId="4" borderId="1" xfId="1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41" fontId="8" fillId="4" borderId="1" xfId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1" fontId="8" fillId="0" borderId="1" xfId="1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41" fontId="0" fillId="0" borderId="0" xfId="0" applyNumberFormat="1" applyAlignment="1">
      <alignment horizontal="center" vertical="center"/>
    </xf>
    <xf numFmtId="41" fontId="2" fillId="0" borderId="1" xfId="1" applyFont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41" fontId="8" fillId="5" borderId="1" xfId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41" fontId="0" fillId="5" borderId="1" xfId="1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41" fontId="3" fillId="5" borderId="1" xfId="1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2" fillId="0" borderId="3" xfId="0" applyFont="1" applyBorder="1" applyAlignment="1">
      <alignment horizontal="center" vertical="center"/>
    </xf>
    <xf numFmtId="41" fontId="0" fillId="0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41" fontId="0" fillId="0" borderId="0" xfId="0" applyNumberFormat="1"/>
    <xf numFmtId="41" fontId="2" fillId="0" borderId="0" xfId="0" applyNumberFormat="1" applyFont="1" applyAlignment="1">
      <alignment horizontal="center" vertical="center"/>
    </xf>
    <xf numFmtId="41" fontId="0" fillId="0" borderId="0" xfId="0" applyNumberFormat="1" applyFill="1" applyAlignment="1">
      <alignment vertical="center"/>
    </xf>
    <xf numFmtId="0" fontId="0" fillId="0" borderId="0" xfId="0" applyAlignment="1">
      <alignment horizontal="right"/>
    </xf>
    <xf numFmtId="0" fontId="2" fillId="0" borderId="0" xfId="0" applyFont="1"/>
    <xf numFmtId="0" fontId="0" fillId="6" borderId="0" xfId="0" applyFill="1"/>
    <xf numFmtId="0" fontId="2" fillId="6" borderId="1" xfId="0" applyFont="1" applyFill="1" applyBorder="1" applyAlignment="1">
      <alignment vertical="center"/>
    </xf>
    <xf numFmtId="41" fontId="0" fillId="6" borderId="1" xfId="1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41" fontId="2" fillId="6" borderId="1" xfId="1" applyFont="1" applyFill="1" applyBorder="1" applyAlignment="1">
      <alignment horizontal="center" vertical="center"/>
    </xf>
    <xf numFmtId="41" fontId="3" fillId="6" borderId="1" xfId="1" applyFont="1" applyFill="1" applyBorder="1" applyAlignment="1">
      <alignment horizontal="center" vertical="center"/>
    </xf>
    <xf numFmtId="41" fontId="8" fillId="6" borderId="1" xfId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176" fontId="10" fillId="6" borderId="1" xfId="0" applyNumberFormat="1" applyFont="1" applyFill="1" applyBorder="1" applyAlignment="1">
      <alignment vertical="center"/>
    </xf>
    <xf numFmtId="176" fontId="10" fillId="6" borderId="4" xfId="0" applyNumberFormat="1" applyFont="1" applyFill="1" applyBorder="1" applyAlignment="1">
      <alignment vertical="center"/>
    </xf>
    <xf numFmtId="3" fontId="0" fillId="0" borderId="1" xfId="1" applyNumberFormat="1" applyFont="1" applyFill="1" applyBorder="1" applyAlignment="1">
      <alignment vertical="center"/>
    </xf>
    <xf numFmtId="3" fontId="0" fillId="6" borderId="1" xfId="1" applyNumberFormat="1" applyFont="1" applyFill="1" applyBorder="1" applyAlignment="1">
      <alignment vertical="center"/>
    </xf>
    <xf numFmtId="3" fontId="0" fillId="4" borderId="1" xfId="1" applyNumberFormat="1" applyFont="1" applyFill="1" applyBorder="1" applyAlignment="1">
      <alignment vertical="center"/>
    </xf>
    <xf numFmtId="3" fontId="8" fillId="6" borderId="1" xfId="1" applyNumberFormat="1" applyFont="1" applyFill="1" applyBorder="1" applyAlignment="1">
      <alignment vertical="center"/>
    </xf>
    <xf numFmtId="3" fontId="5" fillId="3" borderId="1" xfId="1" applyNumberFormat="1" applyFont="1" applyFill="1" applyBorder="1" applyAlignment="1">
      <alignment vertical="center"/>
    </xf>
    <xf numFmtId="3" fontId="2" fillId="0" borderId="1" xfId="1" applyNumberFormat="1" applyFont="1" applyBorder="1" applyAlignment="1">
      <alignment vertical="center"/>
    </xf>
    <xf numFmtId="3" fontId="8" fillId="5" borderId="1" xfId="1" applyNumberFormat="1" applyFont="1" applyFill="1" applyBorder="1" applyAlignment="1">
      <alignment vertical="center"/>
    </xf>
    <xf numFmtId="3" fontId="0" fillId="5" borderId="1" xfId="1" applyNumberFormat="1" applyFont="1" applyFill="1" applyBorder="1" applyAlignment="1">
      <alignment vertical="center"/>
    </xf>
    <xf numFmtId="41" fontId="10" fillId="5" borderId="1" xfId="1" applyFont="1" applyFill="1" applyBorder="1" applyAlignment="1">
      <alignment horizontal="center" vertical="center"/>
    </xf>
    <xf numFmtId="176" fontId="10" fillId="5" borderId="1" xfId="0" applyNumberFormat="1" applyFont="1" applyFill="1" applyBorder="1" applyAlignment="1">
      <alignment vertical="center"/>
    </xf>
    <xf numFmtId="176" fontId="10" fillId="5" borderId="4" xfId="0" applyNumberFormat="1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8" fillId="4" borderId="1" xfId="0" applyFont="1" applyFill="1" applyBorder="1" applyAlignment="1">
      <alignment vertical="center" shrinkToFit="1"/>
    </xf>
    <xf numFmtId="41" fontId="10" fillId="6" borderId="1" xfId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vertical="center"/>
    </xf>
    <xf numFmtId="41" fontId="5" fillId="7" borderId="1" xfId="1" applyFont="1" applyFill="1" applyBorder="1" applyAlignment="1">
      <alignment horizontal="center" vertical="center"/>
    </xf>
    <xf numFmtId="3" fontId="5" fillId="7" borderId="1" xfId="1" applyNumberFormat="1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41" fontId="0" fillId="8" borderId="1" xfId="1" applyFont="1" applyFill="1" applyBorder="1" applyAlignment="1">
      <alignment horizontal="center" vertical="center"/>
    </xf>
    <xf numFmtId="41" fontId="8" fillId="8" borderId="1" xfId="1" applyFont="1" applyFill="1" applyBorder="1" applyAlignment="1">
      <alignment horizontal="center" vertical="center"/>
    </xf>
    <xf numFmtId="3" fontId="0" fillId="8" borderId="1" xfId="1" applyNumberFormat="1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41" fontId="5" fillId="8" borderId="1" xfId="1" applyFont="1" applyFill="1" applyBorder="1" applyAlignment="1">
      <alignment horizontal="center" vertical="center"/>
    </xf>
    <xf numFmtId="3" fontId="5" fillId="8" borderId="1" xfId="1" applyNumberFormat="1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41" fontId="10" fillId="8" borderId="1" xfId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vertical="center" shrinkToFit="1"/>
    </xf>
    <xf numFmtId="3" fontId="8" fillId="8" borderId="1" xfId="1" applyNumberFormat="1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11" fillId="8" borderId="1" xfId="0" applyFont="1" applyFill="1" applyBorder="1" applyAlignment="1">
      <alignment vertical="center"/>
    </xf>
    <xf numFmtId="41" fontId="12" fillId="8" borderId="1" xfId="1" applyFont="1" applyFill="1" applyBorder="1" applyAlignment="1">
      <alignment horizontal="center" vertical="center"/>
    </xf>
    <xf numFmtId="3" fontId="12" fillId="8" borderId="1" xfId="1" applyNumberFormat="1" applyFont="1" applyFill="1" applyBorder="1" applyAlignment="1">
      <alignment vertical="center"/>
    </xf>
    <xf numFmtId="0" fontId="12" fillId="8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8" borderId="0" xfId="0" applyFill="1" applyAlignment="1">
      <alignment vertical="center"/>
    </xf>
    <xf numFmtId="41" fontId="0" fillId="8" borderId="0" xfId="0" applyNumberFormat="1" applyFill="1" applyAlignment="1">
      <alignment vertical="center"/>
    </xf>
    <xf numFmtId="41" fontId="0" fillId="8" borderId="0" xfId="1" applyFont="1" applyFill="1" applyAlignment="1">
      <alignment vertical="center"/>
    </xf>
    <xf numFmtId="0" fontId="8" fillId="8" borderId="0" xfId="0" applyFont="1" applyFill="1" applyAlignment="1">
      <alignment vertical="center"/>
    </xf>
    <xf numFmtId="12" fontId="0" fillId="8" borderId="0" xfId="0" applyNumberFormat="1" applyFill="1" applyAlignment="1">
      <alignment vertical="center"/>
    </xf>
    <xf numFmtId="41" fontId="0" fillId="6" borderId="0" xfId="1" applyFont="1" applyFill="1" applyAlignment="1">
      <alignment vertical="center"/>
    </xf>
    <xf numFmtId="0" fontId="5" fillId="6" borderId="1" xfId="0" applyFont="1" applyFill="1" applyBorder="1" applyAlignment="1">
      <alignment vertical="center"/>
    </xf>
    <xf numFmtId="41" fontId="0" fillId="8" borderId="1" xfId="0" applyNumberForma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41" fontId="10" fillId="4" borderId="1" xfId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1" fontId="0" fillId="4" borderId="1" xfId="0" applyNumberFormat="1" applyFill="1" applyBorder="1" applyAlignment="1">
      <alignment vertical="center"/>
    </xf>
    <xf numFmtId="41" fontId="0" fillId="4" borderId="0" xfId="1" applyFont="1" applyFill="1" applyAlignment="1">
      <alignment vertical="center"/>
    </xf>
    <xf numFmtId="0" fontId="5" fillId="4" borderId="1" xfId="0" applyFont="1" applyFill="1" applyBorder="1" applyAlignment="1">
      <alignment vertical="center"/>
    </xf>
    <xf numFmtId="0" fontId="13" fillId="8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177" fontId="0" fillId="4" borderId="1" xfId="0" applyNumberForma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16" fillId="8" borderId="1" xfId="0" applyFont="1" applyFill="1" applyBorder="1" applyAlignment="1">
      <alignment vertical="center"/>
    </xf>
    <xf numFmtId="41" fontId="17" fillId="8" borderId="1" xfId="1" applyFont="1" applyFill="1" applyBorder="1" applyAlignment="1">
      <alignment horizontal="center" vertical="center"/>
    </xf>
    <xf numFmtId="3" fontId="17" fillId="8" borderId="1" xfId="1" applyNumberFormat="1" applyFont="1" applyFill="1" applyBorder="1" applyAlignment="1">
      <alignment vertical="center"/>
    </xf>
    <xf numFmtId="0" fontId="17" fillId="8" borderId="1" xfId="0" applyFont="1" applyFill="1" applyBorder="1" applyAlignment="1">
      <alignment vertical="center" shrinkToFit="1"/>
    </xf>
    <xf numFmtId="177" fontId="0" fillId="8" borderId="1" xfId="0" applyNumberFormat="1" applyFill="1" applyBorder="1" applyAlignment="1">
      <alignment horizontal="left" vertical="center"/>
    </xf>
    <xf numFmtId="41" fontId="2" fillId="4" borderId="1" xfId="1" applyFont="1" applyFill="1" applyBorder="1" applyAlignment="1">
      <alignment horizontal="center" vertical="center"/>
    </xf>
    <xf numFmtId="41" fontId="6" fillId="4" borderId="1" xfId="1" applyFont="1" applyFill="1" applyBorder="1" applyAlignment="1">
      <alignment horizontal="center" vertical="center"/>
    </xf>
    <xf numFmtId="3" fontId="2" fillId="4" borderId="1" xfId="1" applyNumberFormat="1" applyFont="1" applyFill="1" applyBorder="1" applyAlignment="1">
      <alignment vertical="center"/>
    </xf>
    <xf numFmtId="177" fontId="8" fillId="4" borderId="1" xfId="0" quotePrefix="1" applyNumberFormat="1" applyFont="1" applyFill="1" applyBorder="1" applyAlignment="1">
      <alignment vertical="center" shrinkToFit="1"/>
    </xf>
    <xf numFmtId="0" fontId="8" fillId="4" borderId="1" xfId="0" quotePrefix="1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41" fontId="5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41" fontId="10" fillId="0" borderId="1" xfId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41" fontId="0" fillId="0" borderId="1" xfId="0" applyNumberFormat="1" applyFill="1" applyBorder="1" applyAlignment="1">
      <alignment vertical="center"/>
    </xf>
    <xf numFmtId="177" fontId="0" fillId="0" borderId="1" xfId="0" applyNumberFormat="1" applyFill="1" applyBorder="1" applyAlignment="1">
      <alignment horizontal="left" vertical="center"/>
    </xf>
    <xf numFmtId="41" fontId="0" fillId="0" borderId="0" xfId="1" applyFont="1" applyFill="1" applyAlignment="1">
      <alignment vertical="center"/>
    </xf>
    <xf numFmtId="0" fontId="5" fillId="0" borderId="1" xfId="0" applyFont="1" applyFill="1" applyBorder="1" applyAlignment="1">
      <alignment vertical="center"/>
    </xf>
    <xf numFmtId="41" fontId="2" fillId="0" borderId="1" xfId="1" applyFont="1" applyFill="1" applyBorder="1" applyAlignment="1">
      <alignment horizontal="center" vertical="center"/>
    </xf>
    <xf numFmtId="41" fontId="6" fillId="0" borderId="1" xfId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/>
    </xf>
    <xf numFmtId="177" fontId="8" fillId="0" borderId="1" xfId="0" quotePrefix="1" applyNumberFormat="1" applyFont="1" applyFill="1" applyBorder="1" applyAlignment="1">
      <alignment vertical="center" shrinkToFit="1"/>
    </xf>
    <xf numFmtId="0" fontId="8" fillId="0" borderId="1" xfId="0" applyFont="1" applyFill="1" applyBorder="1" applyAlignment="1">
      <alignment vertical="center"/>
    </xf>
    <xf numFmtId="3" fontId="0" fillId="0" borderId="1" xfId="1" applyNumberFormat="1" applyFont="1" applyFill="1" applyBorder="1" applyAlignment="1">
      <alignment horizontal="right" vertical="center"/>
    </xf>
    <xf numFmtId="3" fontId="8" fillId="0" borderId="1" xfId="1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3" fontId="0" fillId="8" borderId="1" xfId="1" applyNumberFormat="1" applyFont="1" applyFill="1" applyBorder="1" applyAlignment="1">
      <alignment horizontal="center" vertical="center"/>
    </xf>
    <xf numFmtId="41" fontId="19" fillId="8" borderId="1" xfId="1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vertical="center"/>
    </xf>
    <xf numFmtId="177" fontId="8" fillId="8" borderId="1" xfId="0" quotePrefix="1" applyNumberFormat="1" applyFont="1" applyFill="1" applyBorder="1" applyAlignment="1">
      <alignment vertical="center" shrinkToFit="1"/>
    </xf>
    <xf numFmtId="41" fontId="2" fillId="8" borderId="1" xfId="1" applyFont="1" applyFill="1" applyBorder="1" applyAlignment="1">
      <alignment horizontal="center" vertical="center"/>
    </xf>
    <xf numFmtId="41" fontId="6" fillId="8" borderId="1" xfId="1" applyFont="1" applyFill="1" applyBorder="1" applyAlignment="1">
      <alignment horizontal="center" vertical="center"/>
    </xf>
    <xf numFmtId="177" fontId="0" fillId="8" borderId="1" xfId="0" quotePrefix="1" applyNumberForma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3" fontId="0" fillId="8" borderId="1" xfId="1" applyNumberFormat="1" applyFont="1" applyFill="1" applyBorder="1" applyAlignment="1">
      <alignment horizontal="right" vertical="center"/>
    </xf>
    <xf numFmtId="3" fontId="8" fillId="8" borderId="1" xfId="1" applyNumberFormat="1" applyFont="1" applyFill="1" applyBorder="1" applyAlignment="1">
      <alignment horizontal="right" vertical="center"/>
    </xf>
    <xf numFmtId="0" fontId="10" fillId="8" borderId="1" xfId="0" applyFont="1" applyFill="1" applyBorder="1" applyAlignment="1">
      <alignment vertical="center"/>
    </xf>
    <xf numFmtId="178" fontId="0" fillId="8" borderId="1" xfId="0" applyNumberFormat="1" applyFill="1" applyBorder="1" applyAlignment="1">
      <alignment horizontal="left" vertical="center"/>
    </xf>
    <xf numFmtId="179" fontId="8" fillId="8" borderId="1" xfId="0" quotePrefix="1" applyNumberFormat="1" applyFont="1" applyFill="1" applyBorder="1" applyAlignment="1">
      <alignment horizontal="left" vertical="center" shrinkToFit="1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right"/>
    </xf>
    <xf numFmtId="0" fontId="2" fillId="8" borderId="1" xfId="0" applyFont="1" applyFill="1" applyBorder="1" applyAlignment="1">
      <alignment horizontal="center" vertical="center"/>
    </xf>
    <xf numFmtId="0" fontId="2" fillId="8" borderId="0" xfId="0" applyFont="1" applyFill="1" applyAlignment="1">
      <alignment vertical="center"/>
    </xf>
    <xf numFmtId="0" fontId="2" fillId="8" borderId="3" xfId="0" applyFont="1" applyFill="1" applyBorder="1" applyAlignment="1">
      <alignment horizontal="center" vertical="center"/>
    </xf>
    <xf numFmtId="3" fontId="2" fillId="8" borderId="1" xfId="1" applyNumberFormat="1" applyFont="1" applyFill="1" applyBorder="1" applyAlignment="1">
      <alignment horizontal="center" vertical="center"/>
    </xf>
    <xf numFmtId="41" fontId="0" fillId="8" borderId="0" xfId="0" applyNumberFormat="1" applyFill="1" applyAlignment="1">
      <alignment horizontal="center" vertical="center"/>
    </xf>
    <xf numFmtId="3" fontId="2" fillId="8" borderId="1" xfId="1" applyNumberFormat="1" applyFont="1" applyFill="1" applyBorder="1" applyAlignment="1">
      <alignment vertical="center"/>
    </xf>
    <xf numFmtId="177" fontId="15" fillId="4" borderId="1" xfId="0" applyNumberFormat="1" applyFont="1" applyFill="1" applyBorder="1" applyAlignment="1">
      <alignment horizontal="left" vertical="center"/>
    </xf>
    <xf numFmtId="178" fontId="0" fillId="4" borderId="1" xfId="0" applyNumberFormat="1" applyFill="1" applyBorder="1" applyAlignment="1">
      <alignment horizontal="left" vertical="center"/>
    </xf>
    <xf numFmtId="179" fontId="8" fillId="4" borderId="1" xfId="0" quotePrefix="1" applyNumberFormat="1" applyFont="1" applyFill="1" applyBorder="1" applyAlignment="1">
      <alignment horizontal="left" vertical="center" shrinkToFi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80" fontId="0" fillId="0" borderId="1" xfId="0" applyNumberFormat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41" fontId="0" fillId="4" borderId="1" xfId="0" applyNumberFormat="1" applyFill="1" applyBorder="1" applyAlignment="1">
      <alignment horizontal="center" vertical="center"/>
    </xf>
    <xf numFmtId="180" fontId="0" fillId="4" borderId="1" xfId="0" applyNumberForma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1" fontId="0" fillId="4" borderId="1" xfId="1" applyFont="1" applyFill="1" applyBorder="1" applyAlignment="1">
      <alignment horizontal="right" vertical="center"/>
    </xf>
    <xf numFmtId="177" fontId="15" fillId="8" borderId="1" xfId="0" applyNumberFormat="1" applyFont="1" applyFill="1" applyBorder="1" applyAlignment="1">
      <alignment horizontal="left" vertical="center"/>
    </xf>
    <xf numFmtId="0" fontId="2" fillId="8" borderId="0" xfId="0" applyFont="1" applyFill="1"/>
    <xf numFmtId="41" fontId="2" fillId="8" borderId="0" xfId="0" applyNumberFormat="1" applyFont="1" applyFill="1" applyAlignment="1">
      <alignment horizontal="center" vertical="center"/>
    </xf>
    <xf numFmtId="41" fontId="0" fillId="8" borderId="0" xfId="0" applyNumberFormat="1" applyFill="1"/>
    <xf numFmtId="177" fontId="0" fillId="8" borderId="1" xfId="0" applyNumberFormat="1" applyFill="1" applyBorder="1" applyAlignment="1">
      <alignment vertical="center"/>
    </xf>
    <xf numFmtId="3" fontId="0" fillId="4" borderId="1" xfId="1" applyNumberFormat="1" applyFont="1" applyFill="1" applyBorder="1" applyAlignment="1">
      <alignment horizontal="center" vertical="center" shrinkToFit="1"/>
    </xf>
    <xf numFmtId="3" fontId="0" fillId="4" borderId="1" xfId="1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>
      <alignment horizontal="left" vertical="center"/>
    </xf>
    <xf numFmtId="3" fontId="20" fillId="4" borderId="1" xfId="1" applyNumberFormat="1" applyFont="1" applyFill="1" applyBorder="1" applyAlignment="1">
      <alignment horizontal="center" vertical="center" wrapText="1"/>
    </xf>
    <xf numFmtId="41" fontId="0" fillId="4" borderId="5" xfId="1" applyFont="1" applyFill="1" applyBorder="1" applyAlignment="1"/>
    <xf numFmtId="41" fontId="0" fillId="4" borderId="1" xfId="0" applyNumberFormat="1" applyFill="1" applyBorder="1" applyAlignment="1">
      <alignment horizontal="left" vertical="center"/>
    </xf>
    <xf numFmtId="3" fontId="0" fillId="0" borderId="1" xfId="1" applyNumberFormat="1" applyFont="1" applyFill="1" applyBorder="1" applyAlignment="1">
      <alignment horizontal="center" vertical="center"/>
    </xf>
    <xf numFmtId="178" fontId="0" fillId="0" borderId="1" xfId="0" applyNumberFormat="1" applyFill="1" applyBorder="1" applyAlignment="1">
      <alignment horizontal="left" vertical="center"/>
    </xf>
    <xf numFmtId="177" fontId="15" fillId="0" borderId="1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3" fontId="2" fillId="0" borderId="1" xfId="1" applyNumberFormat="1" applyFont="1" applyFill="1" applyBorder="1" applyAlignment="1">
      <alignment vertical="center"/>
    </xf>
    <xf numFmtId="3" fontId="2" fillId="0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/>
    <xf numFmtId="41" fontId="2" fillId="0" borderId="0" xfId="0" applyNumberFormat="1" applyFont="1" applyFill="1" applyAlignment="1">
      <alignment horizontal="center" vertical="center"/>
    </xf>
    <xf numFmtId="41" fontId="0" fillId="0" borderId="0" xfId="0" applyNumberFormat="1" applyFill="1"/>
    <xf numFmtId="0" fontId="2" fillId="0" borderId="3" xfId="0" applyFont="1" applyFill="1" applyBorder="1" applyAlignment="1">
      <alignment horizontal="center" vertical="center"/>
    </xf>
    <xf numFmtId="176" fontId="0" fillId="0" borderId="1" xfId="1" applyNumberFormat="1" applyFont="1" applyFill="1" applyBorder="1" applyAlignment="1">
      <alignment horizontal="right" vertical="center"/>
    </xf>
    <xf numFmtId="176" fontId="8" fillId="0" borderId="1" xfId="1" applyNumberFormat="1" applyFont="1" applyFill="1" applyBorder="1" applyAlignment="1">
      <alignment horizontal="right" vertical="center"/>
    </xf>
    <xf numFmtId="3" fontId="0" fillId="4" borderId="1" xfId="1" applyNumberFormat="1" applyFont="1" applyFill="1" applyBorder="1" applyAlignment="1">
      <alignment horizontal="right" vertical="center"/>
    </xf>
    <xf numFmtId="0" fontId="13" fillId="4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41" fontId="0" fillId="0" borderId="1" xfId="1" applyFont="1" applyFill="1" applyBorder="1" applyAlignment="1">
      <alignment horizontal="right" vertical="center"/>
    </xf>
    <xf numFmtId="41" fontId="0" fillId="0" borderId="5" xfId="1" applyFont="1" applyFill="1" applyBorder="1" applyAlignment="1"/>
    <xf numFmtId="41" fontId="0" fillId="0" borderId="1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/>
    </xf>
    <xf numFmtId="3" fontId="22" fillId="0" borderId="1" xfId="1" applyNumberFormat="1" applyFont="1" applyFill="1" applyBorder="1" applyAlignment="1">
      <alignment horizontal="right" vertical="center"/>
    </xf>
    <xf numFmtId="176" fontId="22" fillId="0" borderId="1" xfId="1" applyNumberFormat="1" applyFont="1" applyFill="1" applyBorder="1" applyAlignment="1">
      <alignment horizontal="right" vertical="center"/>
    </xf>
    <xf numFmtId="3" fontId="22" fillId="0" borderId="1" xfId="1" applyNumberFormat="1" applyFont="1" applyFill="1" applyBorder="1" applyAlignment="1">
      <alignment vertical="center"/>
    </xf>
    <xf numFmtId="181" fontId="0" fillId="4" borderId="1" xfId="0" applyNumberFormat="1" applyFill="1" applyBorder="1" applyAlignment="1">
      <alignment horizontal="left" vertical="center"/>
    </xf>
    <xf numFmtId="177" fontId="10" fillId="4" borderId="1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177" fontId="13" fillId="0" borderId="1" xfId="0" applyNumberFormat="1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179" fontId="8" fillId="0" borderId="1" xfId="0" quotePrefix="1" applyNumberFormat="1" applyFont="1" applyFill="1" applyBorder="1" applyAlignment="1">
      <alignment horizontal="left" vertical="center" shrinkToFit="1"/>
    </xf>
    <xf numFmtId="3" fontId="14" fillId="0" borderId="1" xfId="1" applyNumberFormat="1" applyFont="1" applyFill="1" applyBorder="1" applyAlignment="1">
      <alignment horizontal="right" vertical="center"/>
    </xf>
    <xf numFmtId="176" fontId="14" fillId="0" borderId="1" xfId="1" applyNumberFormat="1" applyFont="1" applyFill="1" applyBorder="1" applyAlignment="1">
      <alignment horizontal="right" vertical="center"/>
    </xf>
    <xf numFmtId="3" fontId="14" fillId="0" borderId="1" xfId="1" applyNumberFormat="1" applyFont="1" applyFill="1" applyBorder="1" applyAlignment="1">
      <alignment vertical="center"/>
    </xf>
    <xf numFmtId="3" fontId="14" fillId="0" borderId="1" xfId="1" applyNumberFormat="1" applyFont="1" applyFill="1" applyBorder="1" applyAlignment="1">
      <alignment horizontal="center" vertical="center"/>
    </xf>
    <xf numFmtId="177" fontId="14" fillId="0" borderId="1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177" fontId="8" fillId="4" borderId="1" xfId="0" quotePrefix="1" applyNumberFormat="1" applyFont="1" applyFill="1" applyBorder="1" applyAlignment="1">
      <alignment horizontal="left" vertical="center" shrinkToFit="1"/>
    </xf>
    <xf numFmtId="0" fontId="2" fillId="0" borderId="3" xfId="0" applyFont="1" applyFill="1" applyBorder="1" applyAlignment="1">
      <alignment horizontal="center" vertical="center"/>
    </xf>
    <xf numFmtId="177" fontId="0" fillId="4" borderId="1" xfId="0" applyNumberForma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3" fontId="0" fillId="9" borderId="1" xfId="1" applyNumberFormat="1" applyFont="1" applyFill="1" applyBorder="1" applyAlignment="1">
      <alignment horizontal="center" vertical="center"/>
    </xf>
    <xf numFmtId="13" fontId="0" fillId="4" borderId="1" xfId="0" applyNumberFormat="1" applyFill="1" applyBorder="1" applyAlignment="1">
      <alignment horizontal="left" vertical="center"/>
    </xf>
    <xf numFmtId="177" fontId="2" fillId="0" borderId="1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3" fontId="5" fillId="3" borderId="1" xfId="1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vertical="center"/>
    </xf>
    <xf numFmtId="41" fontId="0" fillId="4" borderId="1" xfId="1" applyFont="1" applyFill="1" applyBorder="1" applyAlignment="1"/>
    <xf numFmtId="41" fontId="0" fillId="9" borderId="1" xfId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41" fontId="8" fillId="9" borderId="1" xfId="1" applyFont="1" applyFill="1" applyBorder="1" applyAlignment="1">
      <alignment horizontal="center" vertical="center"/>
    </xf>
    <xf numFmtId="3" fontId="0" fillId="9" borderId="1" xfId="1" applyNumberFormat="1" applyFont="1" applyFill="1" applyBorder="1" applyAlignment="1">
      <alignment vertical="center"/>
    </xf>
    <xf numFmtId="177" fontId="0" fillId="9" borderId="1" xfId="0" applyNumberFormat="1" applyFill="1" applyBorder="1" applyAlignment="1">
      <alignment horizontal="left" vertical="center"/>
    </xf>
    <xf numFmtId="178" fontId="0" fillId="4" borderId="1" xfId="0" applyNumberFormat="1" applyFill="1" applyBorder="1" applyAlignment="1">
      <alignment vertical="center"/>
    </xf>
    <xf numFmtId="41" fontId="7" fillId="3" borderId="1" xfId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shrinkToFit="1"/>
    </xf>
    <xf numFmtId="0" fontId="2" fillId="10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 shrinkToFit="1"/>
    </xf>
    <xf numFmtId="41" fontId="0" fillId="10" borderId="1" xfId="1" applyFont="1" applyFill="1" applyBorder="1" applyAlignment="1">
      <alignment horizontal="center" vertical="center"/>
    </xf>
    <xf numFmtId="41" fontId="8" fillId="10" borderId="1" xfId="1" applyFont="1" applyFill="1" applyBorder="1" applyAlignment="1">
      <alignment horizontal="center" vertical="center"/>
    </xf>
    <xf numFmtId="3" fontId="0" fillId="10" borderId="1" xfId="1" applyNumberFormat="1" applyFont="1" applyFill="1" applyBorder="1" applyAlignment="1">
      <alignment vertical="center"/>
    </xf>
    <xf numFmtId="3" fontId="0" fillId="10" borderId="1" xfId="1" applyNumberFormat="1" applyFont="1" applyFill="1" applyBorder="1" applyAlignment="1">
      <alignment horizontal="center" vertical="center"/>
    </xf>
    <xf numFmtId="177" fontId="0" fillId="10" borderId="1" xfId="0" applyNumberFormat="1" applyFill="1" applyBorder="1" applyAlignment="1">
      <alignment horizontal="left" vertical="center"/>
    </xf>
    <xf numFmtId="0" fontId="6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41" fontId="8" fillId="11" borderId="1" xfId="1" applyFont="1" applyFill="1" applyBorder="1" applyAlignment="1">
      <alignment horizontal="center" vertical="center"/>
    </xf>
    <xf numFmtId="41" fontId="10" fillId="11" borderId="1" xfId="1" applyFont="1" applyFill="1" applyBorder="1" applyAlignment="1">
      <alignment horizontal="center" vertical="center"/>
    </xf>
    <xf numFmtId="3" fontId="0" fillId="11" borderId="1" xfId="1" applyNumberFormat="1" applyFont="1" applyFill="1" applyBorder="1" applyAlignment="1">
      <alignment vertical="center"/>
    </xf>
    <xf numFmtId="3" fontId="0" fillId="11" borderId="1" xfId="1" applyNumberFormat="1" applyFont="1" applyFill="1" applyBorder="1" applyAlignment="1">
      <alignment horizontal="center" vertical="center"/>
    </xf>
    <xf numFmtId="177" fontId="8" fillId="11" borderId="1" xfId="0" quotePrefix="1" applyNumberFormat="1" applyFont="1" applyFill="1" applyBorder="1" applyAlignment="1">
      <alignment horizontal="left" vertical="center" shrinkToFit="1"/>
    </xf>
    <xf numFmtId="179" fontId="8" fillId="11" borderId="1" xfId="0" quotePrefix="1" applyNumberFormat="1" applyFont="1" applyFill="1" applyBorder="1" applyAlignment="1">
      <alignment horizontal="left" vertical="center" shrinkToFit="1"/>
    </xf>
    <xf numFmtId="3" fontId="2" fillId="4" borderId="1" xfId="1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77" fontId="8" fillId="0" borderId="1" xfId="0" quotePrefix="1" applyNumberFormat="1" applyFont="1" applyFill="1" applyBorder="1" applyAlignment="1">
      <alignment horizontal="left" vertical="center" shrinkToFit="1"/>
    </xf>
    <xf numFmtId="0" fontId="0" fillId="8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shrinkToFit="1"/>
    </xf>
    <xf numFmtId="0" fontId="5" fillId="3" borderId="0" xfId="0" applyFont="1" applyFill="1" applyAlignment="1">
      <alignment vertical="center"/>
    </xf>
    <xf numFmtId="177" fontId="0" fillId="4" borderId="1" xfId="1" applyNumberFormat="1" applyFont="1" applyFill="1" applyBorder="1" applyAlignment="1">
      <alignment horizontal="center" vertical="center"/>
    </xf>
    <xf numFmtId="177" fontId="0" fillId="0" borderId="1" xfId="1" applyNumberFormat="1" applyFont="1" applyFill="1" applyBorder="1" applyAlignment="1">
      <alignment horizontal="center" vertical="center"/>
    </xf>
    <xf numFmtId="177" fontId="5" fillId="3" borderId="1" xfId="1" applyNumberFormat="1" applyFont="1" applyFill="1" applyBorder="1" applyAlignment="1">
      <alignment horizontal="center" vertical="center"/>
    </xf>
    <xf numFmtId="177" fontId="2" fillId="0" borderId="1" xfId="1" applyNumberFormat="1" applyFont="1" applyFill="1" applyBorder="1" applyAlignment="1">
      <alignment horizontal="center" vertical="center"/>
    </xf>
    <xf numFmtId="179" fontId="0" fillId="0" borderId="1" xfId="1" applyNumberFormat="1" applyFont="1" applyFill="1" applyBorder="1" applyAlignment="1">
      <alignment horizontal="center" vertical="center"/>
    </xf>
    <xf numFmtId="177" fontId="5" fillId="8" borderId="1" xfId="0" applyNumberFormat="1" applyFont="1" applyFill="1" applyBorder="1" applyAlignment="1">
      <alignment horizontal="left" vertical="center"/>
    </xf>
    <xf numFmtId="177" fontId="23" fillId="0" borderId="1" xfId="0" applyNumberFormat="1" applyFont="1" applyFill="1" applyBorder="1" applyAlignment="1">
      <alignment horizontal="left" vertical="center"/>
    </xf>
    <xf numFmtId="177" fontId="7" fillId="12" borderId="1" xfId="0" applyNumberFormat="1" applyFont="1" applyFill="1" applyBorder="1" applyAlignment="1">
      <alignment horizontal="left" vertical="center"/>
    </xf>
    <xf numFmtId="3" fontId="2" fillId="13" borderId="1" xfId="1" applyNumberFormat="1" applyFont="1" applyFill="1" applyBorder="1" applyAlignment="1">
      <alignment horizontal="center" vertical="center"/>
    </xf>
    <xf numFmtId="3" fontId="10" fillId="4" borderId="1" xfId="1" applyNumberFormat="1" applyFont="1" applyFill="1" applyBorder="1" applyAlignment="1">
      <alignment horizontal="center" vertical="center"/>
    </xf>
    <xf numFmtId="177" fontId="10" fillId="4" borderId="1" xfId="1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3" fontId="2" fillId="14" borderId="1" xfId="1" applyNumberFormat="1" applyFont="1" applyFill="1" applyBorder="1" applyAlignment="1">
      <alignment horizontal="center" vertical="center"/>
    </xf>
    <xf numFmtId="177" fontId="5" fillId="4" borderId="1" xfId="0" applyNumberFormat="1" applyFont="1" applyFill="1" applyBorder="1" applyAlignment="1">
      <alignment horizontal="left" vertical="center"/>
    </xf>
    <xf numFmtId="177" fontId="13" fillId="4" borderId="1" xfId="0" applyNumberFormat="1" applyFont="1" applyFill="1" applyBorder="1" applyAlignment="1">
      <alignment horizontal="left" vertical="center"/>
    </xf>
    <xf numFmtId="3" fontId="10" fillId="4" borderId="1" xfId="1" applyNumberFormat="1" applyFont="1" applyFill="1" applyBorder="1" applyAlignment="1">
      <alignment vertical="center"/>
    </xf>
    <xf numFmtId="177" fontId="23" fillId="4" borderId="1" xfId="0" applyNumberFormat="1" applyFont="1" applyFill="1" applyBorder="1" applyAlignment="1">
      <alignment horizontal="left" vertical="center"/>
    </xf>
    <xf numFmtId="0" fontId="2" fillId="15" borderId="1" xfId="0" applyFont="1" applyFill="1" applyBorder="1" applyAlignment="1">
      <alignment vertical="center"/>
    </xf>
    <xf numFmtId="0" fontId="14" fillId="15" borderId="1" xfId="0" applyFont="1" applyFill="1" applyBorder="1" applyAlignment="1">
      <alignment vertical="center"/>
    </xf>
    <xf numFmtId="3" fontId="22" fillId="15" borderId="1" xfId="1" applyNumberFormat="1" applyFont="1" applyFill="1" applyBorder="1" applyAlignment="1">
      <alignment horizontal="right" vertical="center"/>
    </xf>
    <xf numFmtId="176" fontId="22" fillId="15" borderId="1" xfId="1" applyNumberFormat="1" applyFont="1" applyFill="1" applyBorder="1" applyAlignment="1">
      <alignment horizontal="right" vertical="center"/>
    </xf>
    <xf numFmtId="3" fontId="22" fillId="15" borderId="1" xfId="1" applyNumberFormat="1" applyFont="1" applyFill="1" applyBorder="1" applyAlignment="1">
      <alignment vertical="center"/>
    </xf>
    <xf numFmtId="3" fontId="0" fillId="15" borderId="1" xfId="1" applyNumberFormat="1" applyFont="1" applyFill="1" applyBorder="1" applyAlignment="1">
      <alignment horizontal="center" vertical="center"/>
    </xf>
    <xf numFmtId="177" fontId="0" fillId="15" borderId="1" xfId="1" applyNumberFormat="1" applyFont="1" applyFill="1" applyBorder="1" applyAlignment="1">
      <alignment horizontal="center" vertical="center"/>
    </xf>
    <xf numFmtId="177" fontId="13" fillId="15" borderId="1" xfId="0" applyNumberFormat="1" applyFont="1" applyFill="1" applyBorder="1" applyAlignment="1">
      <alignment vertical="center"/>
    </xf>
    <xf numFmtId="177" fontId="7" fillId="4" borderId="1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177" fontId="0" fillId="4" borderId="1" xfId="1" applyNumberFormat="1" applyFont="1" applyFill="1" applyBorder="1" applyAlignment="1">
      <alignment horizontal="center" vertical="center" shrinkToFit="1"/>
    </xf>
    <xf numFmtId="3" fontId="0" fillId="8" borderId="1" xfId="1" applyNumberFormat="1" applyFont="1" applyFill="1" applyBorder="1" applyAlignment="1">
      <alignment horizontal="center" vertical="center" shrinkToFit="1"/>
    </xf>
    <xf numFmtId="177" fontId="0" fillId="8" borderId="1" xfId="1" applyNumberFormat="1" applyFont="1" applyFill="1" applyBorder="1" applyAlignment="1">
      <alignment horizontal="center" vertical="center"/>
    </xf>
    <xf numFmtId="177" fontId="13" fillId="8" borderId="1" xfId="0" applyNumberFormat="1" applyFont="1" applyFill="1" applyBorder="1" applyAlignment="1">
      <alignment horizontal="left" vertical="center"/>
    </xf>
    <xf numFmtId="177" fontId="8" fillId="8" borderId="1" xfId="0" applyNumberFormat="1" applyFont="1" applyFill="1" applyBorder="1" applyAlignment="1">
      <alignment horizontal="left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41" fontId="0" fillId="8" borderId="1" xfId="1" applyFont="1" applyFill="1" applyBorder="1" applyAlignment="1">
      <alignment horizontal="right" vertical="center"/>
    </xf>
    <xf numFmtId="41" fontId="0" fillId="8" borderId="1" xfId="0" applyNumberFormat="1" applyFill="1" applyBorder="1" applyAlignment="1">
      <alignment horizontal="center" vertical="center"/>
    </xf>
    <xf numFmtId="179" fontId="0" fillId="4" borderId="1" xfId="1" applyNumberFormat="1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vertical="center" shrinkToFit="1"/>
    </xf>
    <xf numFmtId="0" fontId="6" fillId="4" borderId="1" xfId="0" applyFont="1" applyFill="1" applyBorder="1" applyAlignment="1">
      <alignment vertical="center" shrinkToFit="1"/>
    </xf>
    <xf numFmtId="3" fontId="8" fillId="4" borderId="1" xfId="1" applyNumberFormat="1" applyFont="1" applyFill="1" applyBorder="1" applyAlignment="1">
      <alignment vertical="center"/>
    </xf>
    <xf numFmtId="3" fontId="8" fillId="4" borderId="1" xfId="1" applyNumberFormat="1" applyFont="1" applyFill="1" applyBorder="1" applyAlignment="1">
      <alignment horizontal="center" vertical="center"/>
    </xf>
    <xf numFmtId="177" fontId="8" fillId="4" borderId="1" xfId="1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77" fontId="13" fillId="0" borderId="1" xfId="0" applyNumberFormat="1" applyFont="1" applyFill="1" applyBorder="1" applyAlignment="1">
      <alignment horizontal="left" vertical="center"/>
    </xf>
    <xf numFmtId="3" fontId="5" fillId="0" borderId="1" xfId="1" applyNumberFormat="1" applyFont="1" applyFill="1" applyBorder="1" applyAlignment="1">
      <alignment vertical="center"/>
    </xf>
    <xf numFmtId="3" fontId="5" fillId="0" borderId="1" xfId="1" applyNumberFormat="1" applyFont="1" applyFill="1" applyBorder="1" applyAlignment="1">
      <alignment horizontal="center" vertical="center"/>
    </xf>
    <xf numFmtId="177" fontId="5" fillId="0" borderId="1" xfId="1" applyNumberFormat="1" applyFont="1" applyFill="1" applyBorder="1" applyAlignment="1">
      <alignment horizontal="center" vertical="center"/>
    </xf>
    <xf numFmtId="3" fontId="0" fillId="0" borderId="1" xfId="1" applyNumberFormat="1" applyFont="1" applyFill="1" applyBorder="1" applyAlignment="1">
      <alignment horizontal="center" vertical="center" shrinkToFit="1"/>
    </xf>
    <xf numFmtId="0" fontId="24" fillId="0" borderId="1" xfId="0" applyFont="1" applyFill="1" applyBorder="1" applyAlignment="1">
      <alignment vertical="center" shrinkToFit="1"/>
    </xf>
    <xf numFmtId="0" fontId="14" fillId="9" borderId="1" xfId="0" applyFont="1" applyFill="1" applyBorder="1" applyAlignment="1">
      <alignment vertical="center"/>
    </xf>
    <xf numFmtId="3" fontId="22" fillId="9" borderId="1" xfId="1" applyNumberFormat="1" applyFont="1" applyFill="1" applyBorder="1" applyAlignment="1">
      <alignment horizontal="right" vertical="center"/>
    </xf>
    <xf numFmtId="176" fontId="22" fillId="9" borderId="1" xfId="1" applyNumberFormat="1" applyFont="1" applyFill="1" applyBorder="1" applyAlignment="1">
      <alignment horizontal="right" vertical="center"/>
    </xf>
    <xf numFmtId="3" fontId="22" fillId="9" borderId="1" xfId="1" applyNumberFormat="1" applyFont="1" applyFill="1" applyBorder="1" applyAlignment="1">
      <alignment vertical="center"/>
    </xf>
    <xf numFmtId="177" fontId="0" fillId="9" borderId="1" xfId="1" applyNumberFormat="1" applyFont="1" applyFill="1" applyBorder="1" applyAlignment="1">
      <alignment horizontal="center" vertical="center"/>
    </xf>
    <xf numFmtId="177" fontId="13" fillId="9" borderId="1" xfId="0" applyNumberFormat="1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177" fontId="10" fillId="8" borderId="1" xfId="0" applyNumberFormat="1" applyFont="1" applyFill="1" applyBorder="1" applyAlignment="1">
      <alignment horizontal="left" vertical="center"/>
    </xf>
    <xf numFmtId="0" fontId="14" fillId="8" borderId="1" xfId="0" applyFont="1" applyFill="1" applyBorder="1" applyAlignment="1">
      <alignment vertical="center"/>
    </xf>
    <xf numFmtId="3" fontId="22" fillId="8" borderId="1" xfId="1" applyNumberFormat="1" applyFont="1" applyFill="1" applyBorder="1" applyAlignment="1">
      <alignment horizontal="right" vertical="center"/>
    </xf>
    <xf numFmtId="176" fontId="22" fillId="8" borderId="1" xfId="1" applyNumberFormat="1" applyFont="1" applyFill="1" applyBorder="1" applyAlignment="1">
      <alignment horizontal="right" vertical="center"/>
    </xf>
    <xf numFmtId="3" fontId="22" fillId="8" borderId="1" xfId="1" applyNumberFormat="1" applyFont="1" applyFill="1" applyBorder="1" applyAlignment="1">
      <alignment vertical="center"/>
    </xf>
    <xf numFmtId="177" fontId="13" fillId="8" borderId="1" xfId="0" applyNumberFormat="1" applyFont="1" applyFill="1" applyBorder="1" applyAlignment="1">
      <alignment vertical="center"/>
    </xf>
    <xf numFmtId="177" fontId="8" fillId="8" borderId="1" xfId="0" quotePrefix="1" applyNumberFormat="1" applyFont="1" applyFill="1" applyBorder="1" applyAlignment="1">
      <alignment horizontal="left" vertical="center" shrinkToFit="1"/>
    </xf>
    <xf numFmtId="0" fontId="24" fillId="8" borderId="1" xfId="0" applyFont="1" applyFill="1" applyBorder="1" applyAlignment="1">
      <alignment vertical="center" shrinkToFit="1"/>
    </xf>
    <xf numFmtId="41" fontId="8" fillId="3" borderId="1" xfId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3" fontId="13" fillId="8" borderId="1" xfId="1" applyNumberFormat="1" applyFont="1" applyFill="1" applyBorder="1" applyAlignment="1">
      <alignment horizontal="center" vertical="center"/>
    </xf>
    <xf numFmtId="177" fontId="23" fillId="8" borderId="1" xfId="0" applyNumberFormat="1" applyFont="1" applyFill="1" applyBorder="1" applyAlignment="1">
      <alignment horizontal="left" vertical="center"/>
    </xf>
    <xf numFmtId="3" fontId="13" fillId="4" borderId="1" xfId="1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3" fontId="13" fillId="0" borderId="1" xfId="1" applyNumberFormat="1" applyFont="1" applyFill="1" applyBorder="1" applyAlignment="1">
      <alignment horizontal="center" vertical="center"/>
    </xf>
    <xf numFmtId="3" fontId="10" fillId="0" borderId="1" xfId="1" applyNumberFormat="1" applyFont="1" applyFill="1" applyBorder="1" applyAlignment="1">
      <alignment vertical="center"/>
    </xf>
    <xf numFmtId="3" fontId="10" fillId="0" borderId="1" xfId="1" applyNumberFormat="1" applyFont="1" applyFill="1" applyBorder="1" applyAlignment="1">
      <alignment horizontal="center" vertical="center"/>
    </xf>
    <xf numFmtId="177" fontId="10" fillId="0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shrinkToFit="1"/>
    </xf>
    <xf numFmtId="3" fontId="8" fillId="0" borderId="1" xfId="1" applyNumberFormat="1" applyFont="1" applyFill="1" applyBorder="1" applyAlignment="1">
      <alignment vertical="center"/>
    </xf>
    <xf numFmtId="3" fontId="8" fillId="0" borderId="1" xfId="1" applyNumberFormat="1" applyFont="1" applyFill="1" applyBorder="1" applyAlignment="1">
      <alignment horizontal="center" vertical="center"/>
    </xf>
    <xf numFmtId="177" fontId="8" fillId="0" borderId="1" xfId="1" applyNumberFormat="1" applyFont="1" applyFill="1" applyBorder="1" applyAlignment="1">
      <alignment horizontal="center" vertical="center"/>
    </xf>
    <xf numFmtId="177" fontId="8" fillId="0" borderId="1" xfId="0" applyNumberFormat="1" applyFont="1" applyFill="1" applyBorder="1" applyAlignment="1">
      <alignment horizontal="left" vertical="center"/>
    </xf>
    <xf numFmtId="3" fontId="5" fillId="3" borderId="1" xfId="1" applyNumberFormat="1" applyFont="1" applyFill="1" applyBorder="1" applyAlignment="1">
      <alignment horizontal="right" vertical="center"/>
    </xf>
    <xf numFmtId="176" fontId="5" fillId="3" borderId="1" xfId="1" applyNumberFormat="1" applyFont="1" applyFill="1" applyBorder="1" applyAlignment="1">
      <alignment horizontal="right" vertical="center"/>
    </xf>
    <xf numFmtId="177" fontId="7" fillId="3" borderId="1" xfId="0" applyNumberFormat="1" applyFont="1" applyFill="1" applyBorder="1" applyAlignment="1">
      <alignment vertical="center"/>
    </xf>
    <xf numFmtId="0" fontId="9" fillId="8" borderId="0" xfId="0" applyFont="1" applyFill="1" applyAlignment="1">
      <alignment horizont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"/>
  <sheetViews>
    <sheetView showGridLines="0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" defaultRowHeight="16.5"/>
  <cols>
    <col min="1" max="1" width="7.5" style="162" bestFit="1" customWidth="1"/>
    <col min="2" max="2" width="20" style="162" customWidth="1"/>
    <col min="3" max="3" width="23" style="162" bestFit="1" customWidth="1"/>
    <col min="4" max="4" width="12.375" style="163" bestFit="1" customWidth="1"/>
    <col min="5" max="5" width="14.875" style="163" bestFit="1" customWidth="1"/>
    <col min="6" max="6" width="12.75" style="163" customWidth="1"/>
    <col min="7" max="7" width="14.375" style="163" customWidth="1"/>
    <col min="8" max="8" width="18.5" style="163" customWidth="1"/>
    <col min="9" max="9" width="15.875" style="163" customWidth="1"/>
    <col min="10" max="10" width="47.375" style="162" customWidth="1"/>
    <col min="11" max="16384" width="9" style="162"/>
  </cols>
  <sheetData>
    <row r="1" spans="1:10" ht="38.25">
      <c r="A1" s="360" t="s">
        <v>113</v>
      </c>
      <c r="B1" s="360"/>
      <c r="C1" s="360"/>
      <c r="D1" s="360"/>
      <c r="E1" s="360"/>
      <c r="F1" s="360"/>
      <c r="G1" s="360"/>
      <c r="H1" s="360"/>
      <c r="I1" s="360"/>
      <c r="J1" s="360"/>
    </row>
    <row r="2" spans="1:10">
      <c r="J2" s="164"/>
    </row>
    <row r="3" spans="1:10" s="166" customFormat="1">
      <c r="A3" s="165" t="s">
        <v>119</v>
      </c>
      <c r="B3" s="165" t="s">
        <v>0</v>
      </c>
      <c r="C3" s="165" t="s">
        <v>26</v>
      </c>
      <c r="D3" s="165" t="s">
        <v>19</v>
      </c>
      <c r="E3" s="165" t="s">
        <v>20</v>
      </c>
      <c r="F3" s="165" t="s">
        <v>21</v>
      </c>
      <c r="G3" s="165" t="s">
        <v>22</v>
      </c>
      <c r="H3" s="165" t="s">
        <v>106</v>
      </c>
      <c r="I3" s="165" t="s">
        <v>120</v>
      </c>
      <c r="J3" s="165" t="s">
        <v>23</v>
      </c>
    </row>
    <row r="4" spans="1:10" s="98" customFormat="1" ht="24" customHeight="1">
      <c r="A4" s="78">
        <f t="shared" ref="A4:A24" si="0">ROW()-3</f>
        <v>1</v>
      </c>
      <c r="B4" s="78" t="s">
        <v>5</v>
      </c>
      <c r="C4" s="78" t="s">
        <v>107</v>
      </c>
      <c r="D4" s="79"/>
      <c r="E4" s="79">
        <f>D4*140</f>
        <v>0</v>
      </c>
      <c r="F4" s="80">
        <f t="shared" ref="F4:F16" si="1">+E4*0.1</f>
        <v>0</v>
      </c>
      <c r="G4" s="79">
        <f t="shared" ref="G4:G16" si="2">+E4+F4</f>
        <v>0</v>
      </c>
      <c r="H4" s="153" t="s">
        <v>109</v>
      </c>
      <c r="I4" s="149" t="s">
        <v>117</v>
      </c>
      <c r="J4" s="82"/>
    </row>
    <row r="5" spans="1:10" s="98" customFormat="1" ht="24" customHeight="1">
      <c r="A5" s="78">
        <f t="shared" si="0"/>
        <v>2</v>
      </c>
      <c r="B5" s="78" t="s">
        <v>11</v>
      </c>
      <c r="C5" s="78" t="s">
        <v>34</v>
      </c>
      <c r="D5" s="79"/>
      <c r="E5" s="79">
        <f t="shared" ref="E5:E13" si="3">D5*140</f>
        <v>0</v>
      </c>
      <c r="F5" s="80">
        <f t="shared" si="1"/>
        <v>0</v>
      </c>
      <c r="G5" s="79">
        <f t="shared" si="2"/>
        <v>0</v>
      </c>
      <c r="H5" s="153" t="s">
        <v>109</v>
      </c>
      <c r="I5" s="149" t="s">
        <v>105</v>
      </c>
      <c r="J5" s="82"/>
    </row>
    <row r="6" spans="1:10" s="98" customFormat="1" ht="24" customHeight="1">
      <c r="A6" s="78">
        <f t="shared" si="0"/>
        <v>3</v>
      </c>
      <c r="B6" s="83" t="s">
        <v>2</v>
      </c>
      <c r="C6" s="83" t="s">
        <v>28</v>
      </c>
      <c r="D6" s="79"/>
      <c r="E6" s="79">
        <f t="shared" si="3"/>
        <v>0</v>
      </c>
      <c r="F6" s="80">
        <f t="shared" si="1"/>
        <v>0</v>
      </c>
      <c r="G6" s="79">
        <f t="shared" si="2"/>
        <v>0</v>
      </c>
      <c r="H6" s="153" t="s">
        <v>111</v>
      </c>
      <c r="I6" s="149" t="s">
        <v>115</v>
      </c>
      <c r="J6" s="82"/>
    </row>
    <row r="7" spans="1:10" s="98" customFormat="1" ht="24" customHeight="1">
      <c r="A7" s="12">
        <f t="shared" si="0"/>
        <v>4</v>
      </c>
      <c r="B7" s="12" t="s">
        <v>9</v>
      </c>
      <c r="C7" s="12" t="s">
        <v>28</v>
      </c>
      <c r="D7" s="4"/>
      <c r="E7" s="4">
        <f t="shared" si="3"/>
        <v>0</v>
      </c>
      <c r="F7" s="4">
        <f t="shared" si="1"/>
        <v>0</v>
      </c>
      <c r="G7" s="4">
        <f t="shared" si="2"/>
        <v>0</v>
      </c>
      <c r="H7" s="253" t="s">
        <v>111</v>
      </c>
      <c r="I7" s="244" t="s">
        <v>116</v>
      </c>
      <c r="J7" s="32" t="s">
        <v>144</v>
      </c>
    </row>
    <row r="8" spans="1:10" s="98" customFormat="1" ht="24" customHeight="1">
      <c r="A8" s="78">
        <f t="shared" si="0"/>
        <v>5</v>
      </c>
      <c r="B8" s="78" t="s">
        <v>1</v>
      </c>
      <c r="C8" s="78" t="s">
        <v>49</v>
      </c>
      <c r="D8" s="157"/>
      <c r="E8" s="79">
        <f t="shared" si="3"/>
        <v>0</v>
      </c>
      <c r="F8" s="80">
        <v>0</v>
      </c>
      <c r="G8" s="157">
        <f t="shared" si="2"/>
        <v>0</v>
      </c>
      <c r="H8" s="153" t="s">
        <v>111</v>
      </c>
      <c r="I8" s="149"/>
      <c r="J8" s="112"/>
    </row>
    <row r="9" spans="1:10" s="98" customFormat="1" ht="24" customHeight="1">
      <c r="A9" s="78">
        <f t="shared" si="0"/>
        <v>6</v>
      </c>
      <c r="B9" s="78" t="s">
        <v>69</v>
      </c>
      <c r="C9" s="78" t="s">
        <v>46</v>
      </c>
      <c r="D9" s="79"/>
      <c r="E9" s="79">
        <f t="shared" ref="E9:E11" si="4">D9*140</f>
        <v>0</v>
      </c>
      <c r="F9" s="80">
        <f t="shared" ref="F9:F11" si="5">+E9*0.1</f>
        <v>0</v>
      </c>
      <c r="G9" s="79">
        <f t="shared" ref="G9:G11" si="6">+E9+F9</f>
        <v>0</v>
      </c>
      <c r="H9" s="153" t="s">
        <v>109</v>
      </c>
      <c r="I9" s="149" t="s">
        <v>114</v>
      </c>
      <c r="J9" s="159" t="s">
        <v>99</v>
      </c>
    </row>
    <row r="10" spans="1:10" s="98" customFormat="1" ht="24" customHeight="1">
      <c r="A10" s="78">
        <f t="shared" si="0"/>
        <v>7</v>
      </c>
      <c r="B10" s="78" t="s">
        <v>69</v>
      </c>
      <c r="C10" s="78" t="s">
        <v>265</v>
      </c>
      <c r="D10" s="79"/>
      <c r="E10" s="79">
        <f t="shared" si="4"/>
        <v>0</v>
      </c>
      <c r="F10" s="80">
        <f t="shared" si="5"/>
        <v>0</v>
      </c>
      <c r="G10" s="79">
        <f t="shared" si="6"/>
        <v>0</v>
      </c>
      <c r="H10" s="153" t="s">
        <v>109</v>
      </c>
      <c r="I10" s="149" t="s">
        <v>114</v>
      </c>
      <c r="J10" s="275" t="s">
        <v>275</v>
      </c>
    </row>
    <row r="11" spans="1:10" s="98" customFormat="1" ht="24" customHeight="1">
      <c r="A11" s="78">
        <f t="shared" si="0"/>
        <v>8</v>
      </c>
      <c r="B11" s="78" t="s">
        <v>270</v>
      </c>
      <c r="C11" s="78" t="s">
        <v>271</v>
      </c>
      <c r="D11" s="79"/>
      <c r="E11" s="79">
        <f t="shared" si="4"/>
        <v>0</v>
      </c>
      <c r="F11" s="80">
        <f t="shared" si="5"/>
        <v>0</v>
      </c>
      <c r="G11" s="79">
        <f t="shared" si="6"/>
        <v>0</v>
      </c>
      <c r="H11" s="153" t="s">
        <v>276</v>
      </c>
      <c r="I11" s="149"/>
      <c r="J11" s="275" t="s">
        <v>273</v>
      </c>
    </row>
    <row r="12" spans="1:10" s="98" customFormat="1" ht="24" customHeight="1">
      <c r="A12" s="78">
        <f t="shared" si="0"/>
        <v>9</v>
      </c>
      <c r="B12" s="78" t="s">
        <v>272</v>
      </c>
      <c r="C12" s="78" t="s">
        <v>296</v>
      </c>
      <c r="D12" s="79"/>
      <c r="E12" s="79">
        <f t="shared" si="3"/>
        <v>0</v>
      </c>
      <c r="F12" s="80">
        <f t="shared" si="1"/>
        <v>0</v>
      </c>
      <c r="G12" s="79">
        <f t="shared" si="2"/>
        <v>0</v>
      </c>
      <c r="H12" s="153" t="s">
        <v>276</v>
      </c>
      <c r="I12" s="149"/>
      <c r="J12" s="275" t="s">
        <v>274</v>
      </c>
    </row>
    <row r="13" spans="1:10" s="98" customFormat="1" ht="24" customHeight="1">
      <c r="A13" s="78">
        <f t="shared" si="0"/>
        <v>10</v>
      </c>
      <c r="B13" s="78" t="s">
        <v>7</v>
      </c>
      <c r="C13" s="78" t="s">
        <v>32</v>
      </c>
      <c r="D13" s="79"/>
      <c r="E13" s="79">
        <f t="shared" si="3"/>
        <v>0</v>
      </c>
      <c r="F13" s="80">
        <f t="shared" si="1"/>
        <v>0</v>
      </c>
      <c r="G13" s="79">
        <f t="shared" si="2"/>
        <v>0</v>
      </c>
      <c r="H13" s="153" t="s">
        <v>111</v>
      </c>
      <c r="I13" s="149" t="s">
        <v>124</v>
      </c>
      <c r="J13" s="105"/>
    </row>
    <row r="14" spans="1:10" s="98" customFormat="1" ht="24" customHeight="1">
      <c r="A14" s="78">
        <f t="shared" si="0"/>
        <v>11</v>
      </c>
      <c r="B14" s="78" t="s">
        <v>38</v>
      </c>
      <c r="C14" s="78" t="s">
        <v>220</v>
      </c>
      <c r="D14" s="79"/>
      <c r="E14" s="79">
        <f>D14*1550</f>
        <v>0</v>
      </c>
      <c r="F14" s="80">
        <f t="shared" si="1"/>
        <v>0</v>
      </c>
      <c r="G14" s="79">
        <f t="shared" si="2"/>
        <v>0</v>
      </c>
      <c r="H14" s="150" t="s">
        <v>110</v>
      </c>
      <c r="I14" s="122"/>
      <c r="J14" s="155" t="s">
        <v>209</v>
      </c>
    </row>
    <row r="15" spans="1:10" s="98" customFormat="1" ht="24" customHeight="1">
      <c r="A15" s="78">
        <f t="shared" si="0"/>
        <v>12</v>
      </c>
      <c r="B15" s="78" t="s">
        <v>38</v>
      </c>
      <c r="C15" s="78" t="s">
        <v>220</v>
      </c>
      <c r="D15" s="79"/>
      <c r="E15" s="79">
        <f t="shared" ref="E15" si="7">D15*1550</f>
        <v>0</v>
      </c>
      <c r="F15" s="80">
        <f t="shared" ref="F15" si="8">+E15*0.1</f>
        <v>0</v>
      </c>
      <c r="G15" s="79">
        <f t="shared" ref="G15" si="9">+E15+F15</f>
        <v>0</v>
      </c>
      <c r="H15" s="150" t="s">
        <v>110</v>
      </c>
      <c r="I15" s="122"/>
      <c r="J15" s="155" t="s">
        <v>209</v>
      </c>
    </row>
    <row r="16" spans="1:10" s="98" customFormat="1" ht="24" customHeight="1">
      <c r="A16" s="78">
        <f t="shared" si="0"/>
        <v>13</v>
      </c>
      <c r="B16" s="78" t="s">
        <v>38</v>
      </c>
      <c r="C16" s="78" t="s">
        <v>221</v>
      </c>
      <c r="D16" s="79"/>
      <c r="E16" s="79">
        <f t="shared" ref="E16:E20" si="10">D16*1550</f>
        <v>0</v>
      </c>
      <c r="F16" s="80">
        <f t="shared" si="1"/>
        <v>0</v>
      </c>
      <c r="G16" s="79">
        <f t="shared" si="2"/>
        <v>0</v>
      </c>
      <c r="H16" s="150" t="s">
        <v>110</v>
      </c>
      <c r="I16" s="122"/>
      <c r="J16" s="155" t="s">
        <v>210</v>
      </c>
    </row>
    <row r="17" spans="1:10" s="98" customFormat="1" ht="24" customHeight="1">
      <c r="A17" s="83">
        <f t="shared" si="0"/>
        <v>14</v>
      </c>
      <c r="B17" s="83" t="s">
        <v>75</v>
      </c>
      <c r="C17" s="83" t="s">
        <v>57</v>
      </c>
      <c r="D17" s="88"/>
      <c r="E17" s="79">
        <f t="shared" si="10"/>
        <v>0</v>
      </c>
      <c r="F17" s="80">
        <f t="shared" ref="F17:F20" si="11">+E17*0.1</f>
        <v>0</v>
      </c>
      <c r="G17" s="88">
        <f t="shared" ref="G17:G20" si="12">+E17+F17</f>
        <v>0</v>
      </c>
      <c r="H17" s="150" t="s">
        <v>110</v>
      </c>
      <c r="I17" s="149" t="s">
        <v>118</v>
      </c>
      <c r="J17" s="151"/>
    </row>
    <row r="18" spans="1:10" s="98" customFormat="1" ht="24" customHeight="1">
      <c r="A18" s="12">
        <f t="shared" si="0"/>
        <v>15</v>
      </c>
      <c r="B18" s="12" t="s">
        <v>74</v>
      </c>
      <c r="C18" s="12" t="s">
        <v>57</v>
      </c>
      <c r="D18" s="4"/>
      <c r="E18" s="4">
        <f t="shared" si="10"/>
        <v>0</v>
      </c>
      <c r="F18" s="4">
        <f t="shared" si="11"/>
        <v>0</v>
      </c>
      <c r="G18" s="4">
        <f t="shared" si="12"/>
        <v>0</v>
      </c>
      <c r="H18" s="253" t="s">
        <v>110</v>
      </c>
      <c r="I18" s="254"/>
      <c r="J18" s="32"/>
    </row>
    <row r="19" spans="1:10" s="101" customFormat="1" ht="24" customHeight="1">
      <c r="A19" s="83">
        <f t="shared" si="0"/>
        <v>16</v>
      </c>
      <c r="B19" s="83" t="s">
        <v>91</v>
      </c>
      <c r="C19" s="83" t="s">
        <v>36</v>
      </c>
      <c r="D19" s="80"/>
      <c r="E19" s="79">
        <f t="shared" si="10"/>
        <v>0</v>
      </c>
      <c r="F19" s="80">
        <f t="shared" si="11"/>
        <v>0</v>
      </c>
      <c r="G19" s="79">
        <f t="shared" si="12"/>
        <v>0</v>
      </c>
      <c r="H19" s="150" t="s">
        <v>110</v>
      </c>
      <c r="I19" s="149" t="s">
        <v>112</v>
      </c>
      <c r="J19" s="152"/>
    </row>
    <row r="20" spans="1:10" s="101" customFormat="1" ht="24" customHeight="1">
      <c r="A20" s="83">
        <f t="shared" si="0"/>
        <v>17</v>
      </c>
      <c r="B20" s="83" t="s">
        <v>135</v>
      </c>
      <c r="C20" s="83" t="s">
        <v>36</v>
      </c>
      <c r="D20" s="79"/>
      <c r="E20" s="79">
        <f t="shared" si="10"/>
        <v>0</v>
      </c>
      <c r="F20" s="80">
        <f t="shared" si="11"/>
        <v>0</v>
      </c>
      <c r="G20" s="79">
        <f t="shared" si="12"/>
        <v>0</v>
      </c>
      <c r="H20" s="150" t="s">
        <v>110</v>
      </c>
      <c r="I20" s="149" t="s">
        <v>136</v>
      </c>
      <c r="J20" s="152"/>
    </row>
    <row r="21" spans="1:10" s="98" customFormat="1" ht="24" customHeight="1">
      <c r="A21" s="78">
        <f t="shared" si="0"/>
        <v>18</v>
      </c>
      <c r="B21" s="78" t="s">
        <v>240</v>
      </c>
      <c r="C21" s="78" t="s">
        <v>241</v>
      </c>
      <c r="D21" s="79"/>
      <c r="E21" s="79">
        <f>D21*140</f>
        <v>0</v>
      </c>
      <c r="F21" s="80">
        <f t="shared" ref="F21" si="13">+E21*0.1</f>
        <v>0</v>
      </c>
      <c r="G21" s="79">
        <f t="shared" ref="G21" si="14">+E21+F21</f>
        <v>0</v>
      </c>
      <c r="H21" s="153" t="s">
        <v>110</v>
      </c>
      <c r="I21" s="149"/>
      <c r="J21" s="82"/>
    </row>
    <row r="22" spans="1:10" s="98" customFormat="1" ht="24" customHeight="1">
      <c r="A22" s="83">
        <f t="shared" si="0"/>
        <v>19</v>
      </c>
      <c r="B22" s="83" t="s">
        <v>4</v>
      </c>
      <c r="C22" s="83" t="s">
        <v>30</v>
      </c>
      <c r="D22" s="154"/>
      <c r="E22" s="154">
        <v>5000000</v>
      </c>
      <c r="F22" s="154">
        <f>E22*0.1</f>
        <v>500000</v>
      </c>
      <c r="G22" s="153">
        <f t="shared" ref="G22" si="15">+E22+F22</f>
        <v>5500000</v>
      </c>
      <c r="H22" s="153" t="s">
        <v>109</v>
      </c>
      <c r="I22" s="149" t="s">
        <v>108</v>
      </c>
      <c r="J22" s="91"/>
    </row>
    <row r="23" spans="1:10" s="98" customFormat="1" ht="24" hidden="1" customHeight="1">
      <c r="A23" s="83"/>
      <c r="B23" s="83"/>
      <c r="C23" s="83"/>
      <c r="D23" s="80"/>
      <c r="E23" s="80"/>
      <c r="F23" s="80"/>
      <c r="G23" s="80"/>
      <c r="H23" s="80"/>
      <c r="I23" s="149">
        <f>G23-SUMIF('2022.04'!$B:$B,B23,'2022.04'!G:G)</f>
        <v>0</v>
      </c>
      <c r="J23" s="92" t="s">
        <v>16</v>
      </c>
    </row>
    <row r="24" spans="1:10" s="101" customFormat="1" ht="24" hidden="1" customHeight="1">
      <c r="A24" s="84">
        <f t="shared" si="0"/>
        <v>21</v>
      </c>
      <c r="B24" s="84" t="s">
        <v>37</v>
      </c>
      <c r="C24" s="84" t="s">
        <v>47</v>
      </c>
      <c r="D24" s="85"/>
      <c r="E24" s="85"/>
      <c r="F24" s="85"/>
      <c r="G24" s="85">
        <f>+E24+F24</f>
        <v>0</v>
      </c>
      <c r="H24" s="85"/>
      <c r="I24" s="149">
        <f>G24-SUMIF('2022.04'!$B:$B,B24,'2022.04'!G:G)</f>
        <v>0</v>
      </c>
      <c r="J24" s="87" t="s">
        <v>16</v>
      </c>
    </row>
    <row r="25" spans="1:10" s="98" customFormat="1" ht="24" customHeight="1">
      <c r="A25" s="361" t="s">
        <v>18</v>
      </c>
      <c r="B25" s="362"/>
      <c r="C25" s="167"/>
      <c r="D25" s="153">
        <f>SUM(D4:D24)</f>
        <v>0</v>
      </c>
      <c r="E25" s="153">
        <f>SUM(E4:E24)</f>
        <v>5000000</v>
      </c>
      <c r="F25" s="153">
        <f>SUM(F4:F24)</f>
        <v>500000</v>
      </c>
      <c r="G25" s="153">
        <f>SUM(G4:G24)</f>
        <v>5500000</v>
      </c>
      <c r="H25" s="153"/>
      <c r="I25" s="168"/>
      <c r="J25" s="82"/>
    </row>
    <row r="27" spans="1:10">
      <c r="D27" s="162"/>
    </row>
    <row r="28" spans="1:10">
      <c r="E28" s="169"/>
      <c r="F28" s="169"/>
      <c r="G28" s="169"/>
      <c r="H28" s="169"/>
    </row>
  </sheetData>
  <autoFilter ref="A3:J3"/>
  <mergeCells count="2">
    <mergeCell ref="A1:J1"/>
    <mergeCell ref="A25:B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5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M12" sqref="M12"/>
    </sheetView>
  </sheetViews>
  <sheetFormatPr defaultColWidth="9" defaultRowHeight="16.5"/>
  <cols>
    <col min="1" max="1" width="7.5" bestFit="1" customWidth="1"/>
    <col min="2" max="2" width="20" customWidth="1"/>
    <col min="3" max="3" width="29.25" bestFit="1" customWidth="1"/>
    <col min="4" max="4" width="15.375" bestFit="1" customWidth="1"/>
    <col min="5" max="5" width="12.375" style="2" bestFit="1" customWidth="1"/>
    <col min="6" max="6" width="14.875" style="2" bestFit="1" customWidth="1"/>
    <col min="7" max="7" width="13.625" style="2" bestFit="1" customWidth="1"/>
    <col min="8" max="8" width="14.875" style="2" bestFit="1" customWidth="1"/>
    <col min="9" max="9" width="14.875" style="2" customWidth="1"/>
    <col min="10" max="11" width="10.75" style="2" customWidth="1"/>
    <col min="12" max="12" width="19.375" style="2" bestFit="1" customWidth="1"/>
    <col min="13" max="13" width="47.375" customWidth="1"/>
    <col min="14" max="14" width="9.5" style="40" bestFit="1" customWidth="1"/>
    <col min="15" max="15" width="9.25" style="40" bestFit="1" customWidth="1"/>
    <col min="16" max="16384" width="9" style="40"/>
  </cols>
  <sheetData>
    <row r="1" spans="1:13" ht="38.25">
      <c r="A1" s="363" t="s">
        <v>355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63"/>
    </row>
    <row r="2" spans="1:13">
      <c r="M2" s="44" t="s">
        <v>356</v>
      </c>
    </row>
    <row r="3" spans="1:13" s="38" customFormat="1">
      <c r="A3" s="5" t="s">
        <v>12</v>
      </c>
      <c r="B3" s="5" t="s">
        <v>0</v>
      </c>
      <c r="C3" s="5" t="s">
        <v>223</v>
      </c>
      <c r="D3" s="5" t="s">
        <v>231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50</v>
      </c>
      <c r="J3" s="1" t="s">
        <v>179</v>
      </c>
      <c r="K3" s="1" t="s">
        <v>291</v>
      </c>
      <c r="L3" s="1" t="s">
        <v>290</v>
      </c>
      <c r="M3" s="5" t="s">
        <v>23</v>
      </c>
    </row>
    <row r="4" spans="1:13" s="98" customFormat="1" ht="24" customHeight="1">
      <c r="A4" s="78">
        <f>ROW()-3</f>
        <v>1</v>
      </c>
      <c r="B4" s="78" t="s">
        <v>13</v>
      </c>
      <c r="C4" s="78" t="s">
        <v>242</v>
      </c>
      <c r="D4" s="78"/>
      <c r="E4" s="79"/>
      <c r="F4" s="79"/>
      <c r="G4" s="80">
        <f t="shared" ref="G4:G38" si="0">+F4*0.1</f>
        <v>0</v>
      </c>
      <c r="H4" s="79">
        <f t="shared" ref="H4:H36" si="1">+F4+G4</f>
        <v>0</v>
      </c>
      <c r="I4" s="81">
        <f>H4-SUMIF('2024.01'!$B:$B,B4,'2023.07'!H:H)</f>
        <v>0</v>
      </c>
      <c r="J4" s="149" t="s">
        <v>175</v>
      </c>
      <c r="K4" s="149" t="s">
        <v>110</v>
      </c>
      <c r="L4" s="307"/>
      <c r="M4" s="160"/>
    </row>
    <row r="5" spans="1:13" s="98" customFormat="1" ht="24" customHeight="1">
      <c r="A5" s="78">
        <f t="shared" ref="A5:A38" si="2">ROW()-3</f>
        <v>2</v>
      </c>
      <c r="B5" s="78" t="s">
        <v>5</v>
      </c>
      <c r="C5" s="78" t="s">
        <v>34</v>
      </c>
      <c r="D5" s="78"/>
      <c r="E5" s="79"/>
      <c r="F5" s="79"/>
      <c r="G5" s="80">
        <f t="shared" si="0"/>
        <v>0</v>
      </c>
      <c r="H5" s="79">
        <f t="shared" si="1"/>
        <v>0</v>
      </c>
      <c r="I5" s="81">
        <f>H5-SUMIF('2024.01'!$B:$B,B5,'2023.07'!H:H)</f>
        <v>-39674580</v>
      </c>
      <c r="J5" s="149" t="s">
        <v>175</v>
      </c>
      <c r="K5" s="149" t="s">
        <v>109</v>
      </c>
      <c r="L5" s="307"/>
      <c r="M5" s="82"/>
    </row>
    <row r="6" spans="1:13" s="98" customFormat="1" ht="24" customHeight="1">
      <c r="A6" s="8">
        <f t="shared" si="2"/>
        <v>3</v>
      </c>
      <c r="B6" s="8" t="s">
        <v>11</v>
      </c>
      <c r="C6" s="8" t="s">
        <v>222</v>
      </c>
      <c r="D6" s="8" t="s">
        <v>28</v>
      </c>
      <c r="E6" s="36"/>
      <c r="F6" s="36"/>
      <c r="G6" s="22">
        <f t="shared" si="0"/>
        <v>0</v>
      </c>
      <c r="H6" s="36">
        <f t="shared" si="1"/>
        <v>0</v>
      </c>
      <c r="I6" s="58">
        <f>H6-SUMIF('2024.01'!$B:$B,B6,'2023.07'!H:H)</f>
        <v>-56351322.5</v>
      </c>
      <c r="J6" s="348" t="s">
        <v>183</v>
      </c>
      <c r="K6" s="199" t="s">
        <v>109</v>
      </c>
      <c r="L6" s="279"/>
      <c r="M6" s="321" t="s">
        <v>300</v>
      </c>
    </row>
    <row r="7" spans="1:13" s="98" customFormat="1" ht="24" customHeight="1">
      <c r="A7" s="8">
        <f t="shared" si="2"/>
        <v>4</v>
      </c>
      <c r="B7" s="8" t="s">
        <v>332</v>
      </c>
      <c r="C7" s="8" t="s">
        <v>222</v>
      </c>
      <c r="D7" s="8" t="s">
        <v>34</v>
      </c>
      <c r="E7" s="36"/>
      <c r="F7" s="36"/>
      <c r="G7" s="22">
        <f t="shared" si="0"/>
        <v>0</v>
      </c>
      <c r="H7" s="36">
        <f t="shared" si="1"/>
        <v>0</v>
      </c>
      <c r="I7" s="58">
        <f>H7-SUMIF('2024.01'!$B:$B,B7,'2023.07'!H:H)</f>
        <v>-3092100</v>
      </c>
      <c r="J7" s="199" t="s">
        <v>175</v>
      </c>
      <c r="K7" s="199" t="s">
        <v>109</v>
      </c>
      <c r="L7" s="279"/>
      <c r="M7" s="321" t="s">
        <v>345</v>
      </c>
    </row>
    <row r="8" spans="1:13" s="98" customFormat="1" ht="24" customHeight="1">
      <c r="A8" s="8">
        <f t="shared" si="2"/>
        <v>5</v>
      </c>
      <c r="B8" s="11" t="s">
        <v>2</v>
      </c>
      <c r="C8" s="8" t="s">
        <v>222</v>
      </c>
      <c r="D8" s="8" t="s">
        <v>34</v>
      </c>
      <c r="E8" s="36"/>
      <c r="F8" s="36"/>
      <c r="G8" s="22">
        <f t="shared" si="0"/>
        <v>0</v>
      </c>
      <c r="H8" s="36">
        <f t="shared" si="1"/>
        <v>0</v>
      </c>
      <c r="I8" s="58">
        <f>H8-SUMIF('2024.01'!$B:$B,B8,'2023.07'!H:H)</f>
        <v>0</v>
      </c>
      <c r="J8" s="199" t="s">
        <v>175</v>
      </c>
      <c r="K8" s="199" t="s">
        <v>109</v>
      </c>
      <c r="L8" s="279"/>
      <c r="M8" s="136"/>
    </row>
    <row r="9" spans="1:13" s="98" customFormat="1" ht="24" customHeight="1">
      <c r="A9" s="12">
        <f t="shared" si="2"/>
        <v>6</v>
      </c>
      <c r="B9" s="12" t="s">
        <v>9</v>
      </c>
      <c r="C9" s="12" t="s">
        <v>28</v>
      </c>
      <c r="D9" s="12"/>
      <c r="E9" s="4"/>
      <c r="F9" s="4"/>
      <c r="G9" s="342">
        <f t="shared" si="0"/>
        <v>0</v>
      </c>
      <c r="H9" s="4">
        <f t="shared" si="1"/>
        <v>0</v>
      </c>
      <c r="I9" s="62">
        <f>H9-SUMIF('2024.01'!$B:$B,B9,'2023.07'!H:H)</f>
        <v>-5400230</v>
      </c>
      <c r="J9" s="244"/>
      <c r="K9" s="244"/>
      <c r="L9" s="280"/>
      <c r="M9" s="32"/>
    </row>
    <row r="10" spans="1:13" s="98" customFormat="1" ht="24" customHeight="1">
      <c r="A10" s="78">
        <f t="shared" si="2"/>
        <v>7</v>
      </c>
      <c r="B10" s="78" t="s">
        <v>1</v>
      </c>
      <c r="C10" s="78" t="s">
        <v>222</v>
      </c>
      <c r="D10" s="78" t="s">
        <v>224</v>
      </c>
      <c r="E10" s="157"/>
      <c r="F10" s="79"/>
      <c r="G10" s="80">
        <f t="shared" si="0"/>
        <v>0</v>
      </c>
      <c r="H10" s="79">
        <f t="shared" si="1"/>
        <v>0</v>
      </c>
      <c r="I10" s="81">
        <f>H10-SUMIF('2024.01'!$B:$B,B10,'2023.07'!H:H)</f>
        <v>-1967900</v>
      </c>
      <c r="J10" s="149" t="s">
        <v>175</v>
      </c>
      <c r="K10" s="149" t="s">
        <v>109</v>
      </c>
      <c r="L10" s="307"/>
      <c r="M10" s="334"/>
    </row>
    <row r="11" spans="1:13" s="98" customFormat="1" ht="24" customHeight="1">
      <c r="A11" s="12">
        <f t="shared" si="2"/>
        <v>8</v>
      </c>
      <c r="B11" s="12" t="s">
        <v>197</v>
      </c>
      <c r="C11" s="12" t="s">
        <v>104</v>
      </c>
      <c r="D11" s="12"/>
      <c r="E11" s="357"/>
      <c r="F11" s="358"/>
      <c r="G11" s="4">
        <f t="shared" si="0"/>
        <v>0</v>
      </c>
      <c r="H11" s="358"/>
      <c r="I11" s="62">
        <f>H11-SUMIF('2024.01'!$B:$B,B11,'2023.07'!H:H)</f>
        <v>-31291700</v>
      </c>
      <c r="J11" s="244" t="s">
        <v>175</v>
      </c>
      <c r="K11" s="244" t="s">
        <v>109</v>
      </c>
      <c r="L11" s="280"/>
      <c r="M11" s="359"/>
    </row>
    <row r="12" spans="1:13" s="98" customFormat="1" ht="24" customHeight="1">
      <c r="A12" s="8">
        <f t="shared" si="2"/>
        <v>9</v>
      </c>
      <c r="B12" s="8" t="s">
        <v>69</v>
      </c>
      <c r="C12" s="8" t="s">
        <v>46</v>
      </c>
      <c r="D12" s="8"/>
      <c r="E12" s="36"/>
      <c r="F12" s="36"/>
      <c r="G12" s="22">
        <f t="shared" si="0"/>
        <v>0</v>
      </c>
      <c r="H12" s="36">
        <f t="shared" si="1"/>
        <v>0</v>
      </c>
      <c r="I12" s="58">
        <f>H12-SUMIF('2024.01'!$B:$B,B12,'2023.07'!H:H)</f>
        <v>-5923390</v>
      </c>
      <c r="J12" s="199" t="s">
        <v>175</v>
      </c>
      <c r="K12" s="199" t="s">
        <v>109</v>
      </c>
      <c r="L12" s="279"/>
      <c r="M12" s="136"/>
    </row>
    <row r="13" spans="1:13" s="98" customFormat="1" ht="24" customHeight="1">
      <c r="A13" s="8">
        <f t="shared" si="2"/>
        <v>10</v>
      </c>
      <c r="B13" s="8" t="s">
        <v>69</v>
      </c>
      <c r="C13" s="8" t="s">
        <v>265</v>
      </c>
      <c r="D13" s="8"/>
      <c r="E13" s="36"/>
      <c r="F13" s="36"/>
      <c r="G13" s="22">
        <f t="shared" si="0"/>
        <v>0</v>
      </c>
      <c r="H13" s="36">
        <f t="shared" si="1"/>
        <v>0</v>
      </c>
      <c r="I13" s="58">
        <f>H13-SUMIF('2024.01'!$B:$B,B13,'2023.07'!H:H)</f>
        <v>-5923390</v>
      </c>
      <c r="J13" s="199" t="s">
        <v>175</v>
      </c>
      <c r="K13" s="199" t="s">
        <v>109</v>
      </c>
      <c r="L13" s="279"/>
      <c r="M13" s="321" t="s">
        <v>298</v>
      </c>
    </row>
    <row r="14" spans="1:13" s="98" customFormat="1" ht="24" customHeight="1">
      <c r="A14" s="8">
        <f t="shared" si="2"/>
        <v>11</v>
      </c>
      <c r="B14" s="8" t="s">
        <v>7</v>
      </c>
      <c r="C14" s="8" t="s">
        <v>222</v>
      </c>
      <c r="D14" s="8" t="s">
        <v>32</v>
      </c>
      <c r="E14" s="36"/>
      <c r="F14" s="36"/>
      <c r="G14" s="22">
        <f t="shared" si="0"/>
        <v>0</v>
      </c>
      <c r="H14" s="36">
        <f t="shared" si="1"/>
        <v>0</v>
      </c>
      <c r="I14" s="58">
        <f>H14-SUMIF('2024.01'!$B:$B,B14,'2023.07'!H:H)</f>
        <v>-545930</v>
      </c>
      <c r="J14" s="325" t="s">
        <v>175</v>
      </c>
      <c r="K14" s="325" t="s">
        <v>109</v>
      </c>
      <c r="L14" s="279"/>
      <c r="M14" s="136"/>
    </row>
    <row r="15" spans="1:13" s="98" customFormat="1" ht="24" customHeight="1">
      <c r="A15" s="8">
        <f t="shared" si="2"/>
        <v>12</v>
      </c>
      <c r="B15" s="8" t="s">
        <v>201</v>
      </c>
      <c r="C15" s="8" t="s">
        <v>92</v>
      </c>
      <c r="D15" s="228" t="s">
        <v>92</v>
      </c>
      <c r="E15" s="36"/>
      <c r="F15" s="36"/>
      <c r="G15" s="22">
        <f t="shared" si="0"/>
        <v>0</v>
      </c>
      <c r="H15" s="36">
        <f t="shared" si="1"/>
        <v>0</v>
      </c>
      <c r="I15" s="58">
        <f>H15-SUMIF('2024.01'!$B:$B,B15,'2023.07'!H:H)</f>
        <v>-10225710</v>
      </c>
      <c r="J15" s="348" t="s">
        <v>183</v>
      </c>
      <c r="K15" s="199" t="s">
        <v>110</v>
      </c>
      <c r="L15" s="279"/>
      <c r="M15" s="136" t="s">
        <v>288</v>
      </c>
    </row>
    <row r="16" spans="1:13" s="98" customFormat="1" ht="24" customHeight="1">
      <c r="A16" s="8">
        <f t="shared" si="2"/>
        <v>13</v>
      </c>
      <c r="B16" s="8" t="s">
        <v>201</v>
      </c>
      <c r="C16" s="8" t="s">
        <v>351</v>
      </c>
      <c r="D16" s="228"/>
      <c r="E16" s="36"/>
      <c r="F16" s="36"/>
      <c r="G16" s="22">
        <f t="shared" si="0"/>
        <v>0</v>
      </c>
      <c r="H16" s="36">
        <f t="shared" si="1"/>
        <v>0</v>
      </c>
      <c r="I16" s="58">
        <f>H16-SUMIF('2024.01'!$B:$B,B16,'2023.07'!H:H)</f>
        <v>-10225710</v>
      </c>
      <c r="J16" s="348" t="s">
        <v>183</v>
      </c>
      <c r="K16" s="199" t="s">
        <v>110</v>
      </c>
      <c r="L16" s="279"/>
      <c r="M16" s="136" t="s">
        <v>288</v>
      </c>
    </row>
    <row r="17" spans="1:15" s="98" customFormat="1" ht="24" customHeight="1">
      <c r="A17" s="8">
        <f t="shared" si="2"/>
        <v>14</v>
      </c>
      <c r="B17" s="8" t="s">
        <v>201</v>
      </c>
      <c r="C17" s="8" t="s">
        <v>39</v>
      </c>
      <c r="D17" s="8"/>
      <c r="E17" s="36"/>
      <c r="F17" s="36"/>
      <c r="G17" s="22">
        <f t="shared" si="0"/>
        <v>0</v>
      </c>
      <c r="H17" s="36">
        <f t="shared" si="1"/>
        <v>0</v>
      </c>
      <c r="I17" s="58">
        <f>H17-SUMIF('2024.01'!$B:$B,B17,'2023.07'!H:H)</f>
        <v>-10225710</v>
      </c>
      <c r="J17" s="348" t="s">
        <v>183</v>
      </c>
      <c r="K17" s="199" t="s">
        <v>110</v>
      </c>
      <c r="L17" s="279"/>
      <c r="M17" s="136" t="s">
        <v>288</v>
      </c>
    </row>
    <row r="18" spans="1:15" s="98" customFormat="1" ht="24" customHeight="1">
      <c r="A18" s="8">
        <f t="shared" si="2"/>
        <v>15</v>
      </c>
      <c r="B18" s="8" t="s">
        <v>201</v>
      </c>
      <c r="C18" s="8" t="s">
        <v>92</v>
      </c>
      <c r="D18" s="8"/>
      <c r="E18" s="36"/>
      <c r="F18" s="36"/>
      <c r="G18" s="22">
        <f t="shared" si="0"/>
        <v>0</v>
      </c>
      <c r="H18" s="36">
        <f t="shared" si="1"/>
        <v>0</v>
      </c>
      <c r="I18" s="58">
        <f>H18-SUMIF('2024.01'!$B:$B,B18,'2023.07'!H:H)</f>
        <v>-10225710</v>
      </c>
      <c r="J18" s="348" t="s">
        <v>183</v>
      </c>
      <c r="K18" s="199" t="s">
        <v>110</v>
      </c>
      <c r="L18" s="279"/>
      <c r="M18" s="136" t="s">
        <v>288</v>
      </c>
    </row>
    <row r="19" spans="1:15" s="98" customFormat="1" ht="24" customHeight="1">
      <c r="A19" s="8">
        <f t="shared" si="2"/>
        <v>16</v>
      </c>
      <c r="B19" s="8" t="s">
        <v>201</v>
      </c>
      <c r="C19" s="8" t="s">
        <v>39</v>
      </c>
      <c r="D19" s="8"/>
      <c r="E19" s="36"/>
      <c r="F19" s="36"/>
      <c r="G19" s="22">
        <f t="shared" si="0"/>
        <v>0</v>
      </c>
      <c r="H19" s="36">
        <f t="shared" si="1"/>
        <v>0</v>
      </c>
      <c r="I19" s="58">
        <f>H19-SUMIF('2024.01'!$B:$B,B19,'2023.07'!H:H)</f>
        <v>-10225710</v>
      </c>
      <c r="J19" s="348" t="s">
        <v>183</v>
      </c>
      <c r="K19" s="199" t="s">
        <v>110</v>
      </c>
      <c r="L19" s="279"/>
      <c r="M19" s="136" t="s">
        <v>288</v>
      </c>
    </row>
    <row r="20" spans="1:15" s="98" customFormat="1" ht="24" customHeight="1">
      <c r="A20" s="8">
        <f t="shared" si="2"/>
        <v>17</v>
      </c>
      <c r="B20" s="8" t="s">
        <v>201</v>
      </c>
      <c r="C20" s="8" t="s">
        <v>204</v>
      </c>
      <c r="D20" s="8"/>
      <c r="E20" s="36"/>
      <c r="F20" s="36"/>
      <c r="G20" s="22">
        <f t="shared" si="0"/>
        <v>0</v>
      </c>
      <c r="H20" s="36">
        <f t="shared" si="1"/>
        <v>0</v>
      </c>
      <c r="I20" s="58">
        <f>H20-SUMIF('2024.01'!$B:$B,B20,'2023.07'!H:H)</f>
        <v>-10225710</v>
      </c>
      <c r="J20" s="348" t="s">
        <v>183</v>
      </c>
      <c r="K20" s="199" t="s">
        <v>110</v>
      </c>
      <c r="L20" s="279"/>
      <c r="M20" s="136" t="s">
        <v>288</v>
      </c>
    </row>
    <row r="21" spans="1:15" s="98" customFormat="1" ht="24" customHeight="1">
      <c r="A21" s="11">
        <f t="shared" si="2"/>
        <v>18</v>
      </c>
      <c r="B21" s="11" t="s">
        <v>75</v>
      </c>
      <c r="C21" s="11" t="s">
        <v>57</v>
      </c>
      <c r="D21" s="143"/>
      <c r="E21" s="132"/>
      <c r="F21" s="132"/>
      <c r="G21" s="22">
        <f t="shared" si="0"/>
        <v>0</v>
      </c>
      <c r="H21" s="132">
        <f t="shared" si="1"/>
        <v>0</v>
      </c>
      <c r="I21" s="349">
        <f>H21-SUMIF('2024.01'!$B:$B,B21,'2023.07'!H:H)</f>
        <v>-1289750</v>
      </c>
      <c r="J21" s="348" t="s">
        <v>183</v>
      </c>
      <c r="K21" s="350" t="s">
        <v>110</v>
      </c>
      <c r="L21" s="351"/>
      <c r="M21" s="201"/>
      <c r="N21" s="102"/>
      <c r="O21" s="100"/>
    </row>
    <row r="22" spans="1:15" s="98" customFormat="1" ht="24" customHeight="1">
      <c r="A22" s="11">
        <f t="shared" si="2"/>
        <v>19</v>
      </c>
      <c r="B22" s="11" t="s">
        <v>75</v>
      </c>
      <c r="C22" s="11" t="s">
        <v>57</v>
      </c>
      <c r="D22" s="11"/>
      <c r="E22" s="132"/>
      <c r="F22" s="132"/>
      <c r="G22" s="22">
        <f t="shared" si="0"/>
        <v>0</v>
      </c>
      <c r="H22" s="132">
        <f t="shared" si="1"/>
        <v>0</v>
      </c>
      <c r="I22" s="58">
        <f>H22-SUMIF('2024.01'!$B:$B,B22,'2023.07'!H:H)</f>
        <v>-1289750</v>
      </c>
      <c r="J22" s="348" t="s">
        <v>183</v>
      </c>
      <c r="K22" s="199" t="s">
        <v>110</v>
      </c>
      <c r="L22" s="279"/>
      <c r="M22" s="201"/>
      <c r="N22" s="102"/>
      <c r="O22" s="100"/>
    </row>
    <row r="23" spans="1:15" s="98" customFormat="1" ht="24" customHeight="1">
      <c r="A23" s="8">
        <f t="shared" si="2"/>
        <v>20</v>
      </c>
      <c r="B23" s="8" t="s">
        <v>267</v>
      </c>
      <c r="C23" s="133" t="s">
        <v>309</v>
      </c>
      <c r="D23" s="8" t="s">
        <v>335</v>
      </c>
      <c r="E23" s="36"/>
      <c r="F23" s="36"/>
      <c r="G23" s="22">
        <f>F23*0.1</f>
        <v>0</v>
      </c>
      <c r="H23" s="36">
        <f t="shared" si="1"/>
        <v>0</v>
      </c>
      <c r="I23" s="58">
        <f>H23-SUMIF('2024.01'!$B:$B,B23,'2023.07'!H:H)</f>
        <v>-11059125</v>
      </c>
      <c r="J23" s="325" t="s">
        <v>175</v>
      </c>
      <c r="K23" s="199" t="s">
        <v>110</v>
      </c>
      <c r="L23" s="279"/>
      <c r="M23" s="321"/>
    </row>
    <row r="24" spans="1:15" s="98" customFormat="1" ht="24" customHeight="1">
      <c r="A24" s="8">
        <f t="shared" si="2"/>
        <v>21</v>
      </c>
      <c r="B24" s="8" t="s">
        <v>267</v>
      </c>
      <c r="C24" s="133" t="s">
        <v>308</v>
      </c>
      <c r="D24" s="8" t="s">
        <v>308</v>
      </c>
      <c r="E24" s="36"/>
      <c r="F24" s="36"/>
      <c r="G24" s="22">
        <f>F24*0.1</f>
        <v>0</v>
      </c>
      <c r="H24" s="36">
        <f t="shared" si="1"/>
        <v>0</v>
      </c>
      <c r="I24" s="58">
        <f>H24-SUMIF('2024.01'!$B:$B,B24,'2023.07'!H:H)</f>
        <v>-11059125</v>
      </c>
      <c r="J24" s="325" t="s">
        <v>175</v>
      </c>
      <c r="K24" s="199" t="s">
        <v>110</v>
      </c>
      <c r="L24" s="279"/>
      <c r="M24" s="321"/>
    </row>
    <row r="25" spans="1:15" s="98" customFormat="1" ht="24" customHeight="1">
      <c r="A25" s="8">
        <f t="shared" si="2"/>
        <v>22</v>
      </c>
      <c r="B25" s="8" t="s">
        <v>267</v>
      </c>
      <c r="C25" s="133" t="s">
        <v>310</v>
      </c>
      <c r="D25" s="8" t="s">
        <v>337</v>
      </c>
      <c r="E25" s="36"/>
      <c r="F25" s="36"/>
      <c r="G25" s="22">
        <f t="shared" si="0"/>
        <v>0</v>
      </c>
      <c r="H25" s="36">
        <f t="shared" si="1"/>
        <v>0</v>
      </c>
      <c r="I25" s="58">
        <f>H25-SUMIF('2024.01'!$B:$B,B25,'2023.07'!H:H)</f>
        <v>-11059125</v>
      </c>
      <c r="J25" s="325" t="s">
        <v>175</v>
      </c>
      <c r="K25" s="199" t="s">
        <v>110</v>
      </c>
      <c r="L25" s="279"/>
      <c r="M25" s="321"/>
    </row>
    <row r="26" spans="1:15" s="98" customFormat="1" ht="24" customHeight="1">
      <c r="A26" s="8">
        <f t="shared" si="2"/>
        <v>23</v>
      </c>
      <c r="B26" s="8" t="s">
        <v>268</v>
      </c>
      <c r="C26" s="8" t="s">
        <v>222</v>
      </c>
      <c r="D26" s="8" t="s">
        <v>269</v>
      </c>
      <c r="E26" s="36"/>
      <c r="F26" s="36"/>
      <c r="G26" s="22">
        <f t="shared" si="0"/>
        <v>0</v>
      </c>
      <c r="H26" s="36">
        <f t="shared" si="1"/>
        <v>0</v>
      </c>
      <c r="I26" s="58">
        <f>H26-SUMIF('2024.01'!$B:$B,B26,'2023.07'!H:H)</f>
        <v>0</v>
      </c>
      <c r="J26" s="325" t="s">
        <v>175</v>
      </c>
      <c r="K26" s="199" t="s">
        <v>109</v>
      </c>
      <c r="L26" s="279"/>
      <c r="M26" s="284" t="s">
        <v>299</v>
      </c>
    </row>
    <row r="27" spans="1:15" s="277" customFormat="1" ht="24" customHeight="1">
      <c r="A27" s="11">
        <f t="shared" si="2"/>
        <v>24</v>
      </c>
      <c r="B27" s="11" t="s">
        <v>328</v>
      </c>
      <c r="C27" s="352" t="s">
        <v>222</v>
      </c>
      <c r="D27" s="11" t="s">
        <v>36</v>
      </c>
      <c r="E27" s="22"/>
      <c r="F27" s="22"/>
      <c r="G27" s="22">
        <f t="shared" si="0"/>
        <v>0</v>
      </c>
      <c r="H27" s="22">
        <f t="shared" si="1"/>
        <v>0</v>
      </c>
      <c r="I27" s="353">
        <f>H27-SUMIF('2024.01'!$B:$B,B27,'2023.07'!H:H)</f>
        <v>-177821737.5</v>
      </c>
      <c r="J27" s="354" t="s">
        <v>175</v>
      </c>
      <c r="K27" s="354" t="s">
        <v>110</v>
      </c>
      <c r="L27" s="355"/>
      <c r="M27" s="356" t="s">
        <v>331</v>
      </c>
    </row>
    <row r="28" spans="1:15" s="277" customFormat="1" ht="24" customHeight="1">
      <c r="A28" s="11">
        <f t="shared" si="2"/>
        <v>25</v>
      </c>
      <c r="B28" s="11" t="s">
        <v>328</v>
      </c>
      <c r="C28" s="352" t="s">
        <v>222</v>
      </c>
      <c r="D28" s="11" t="s">
        <v>36</v>
      </c>
      <c r="E28" s="22"/>
      <c r="F28" s="22"/>
      <c r="G28" s="22">
        <f t="shared" si="0"/>
        <v>0</v>
      </c>
      <c r="H28" s="22">
        <f t="shared" si="1"/>
        <v>0</v>
      </c>
      <c r="I28" s="353">
        <f>H28-SUMIF('2024.01'!$B:$B,B28,'2023.07'!H:H)</f>
        <v>-177821737.5</v>
      </c>
      <c r="J28" s="354" t="s">
        <v>175</v>
      </c>
      <c r="K28" s="354" t="s">
        <v>110</v>
      </c>
      <c r="L28" s="355"/>
      <c r="M28" s="356" t="s">
        <v>331</v>
      </c>
    </row>
    <row r="29" spans="1:15" s="277" customFormat="1" ht="24" customHeight="1">
      <c r="A29" s="11">
        <f t="shared" si="2"/>
        <v>26</v>
      </c>
      <c r="B29" s="11" t="s">
        <v>328</v>
      </c>
      <c r="C29" s="352" t="s">
        <v>222</v>
      </c>
      <c r="D29" s="11" t="s">
        <v>36</v>
      </c>
      <c r="E29" s="22"/>
      <c r="F29" s="22"/>
      <c r="G29" s="22">
        <f t="shared" si="0"/>
        <v>0</v>
      </c>
      <c r="H29" s="22">
        <f t="shared" si="1"/>
        <v>0</v>
      </c>
      <c r="I29" s="353">
        <f>H29-SUMIF('2024.01'!$B:$B,B29,'2023.07'!H:H)</f>
        <v>-177821737.5</v>
      </c>
      <c r="J29" s="354" t="s">
        <v>175</v>
      </c>
      <c r="K29" s="354" t="s">
        <v>110</v>
      </c>
      <c r="L29" s="355"/>
      <c r="M29" s="356" t="s">
        <v>350</v>
      </c>
    </row>
    <row r="30" spans="1:15" s="101" customFormat="1" ht="24" customHeight="1">
      <c r="A30" s="11">
        <f t="shared" si="2"/>
        <v>27</v>
      </c>
      <c r="B30" s="11" t="s">
        <v>328</v>
      </c>
      <c r="C30" s="8" t="s">
        <v>222</v>
      </c>
      <c r="D30" s="11" t="s">
        <v>341</v>
      </c>
      <c r="E30" s="22"/>
      <c r="F30" s="22"/>
      <c r="G30" s="22">
        <f t="shared" si="0"/>
        <v>0</v>
      </c>
      <c r="H30" s="132">
        <f t="shared" si="1"/>
        <v>0</v>
      </c>
      <c r="I30" s="58">
        <f>H30-SUMIF('2024.01'!$B:$B,B30,'2023.07'!H:H)</f>
        <v>-177821737.5</v>
      </c>
      <c r="J30" s="199" t="s">
        <v>175</v>
      </c>
      <c r="K30" s="199" t="s">
        <v>110</v>
      </c>
      <c r="L30" s="279"/>
      <c r="M30" s="274"/>
    </row>
    <row r="31" spans="1:15" s="101" customFormat="1" ht="24" customHeight="1">
      <c r="A31" s="11">
        <f t="shared" si="2"/>
        <v>28</v>
      </c>
      <c r="B31" s="11" t="s">
        <v>328</v>
      </c>
      <c r="C31" s="8" t="s">
        <v>222</v>
      </c>
      <c r="D31" s="326" t="s">
        <v>36</v>
      </c>
      <c r="E31" s="22"/>
      <c r="F31" s="22"/>
      <c r="G31" s="22">
        <f t="shared" si="0"/>
        <v>0</v>
      </c>
      <c r="H31" s="132">
        <f t="shared" si="1"/>
        <v>0</v>
      </c>
      <c r="I31" s="58">
        <f>H31-SUMIF('2024.01'!$B:$B,B31,'2023.07'!H:H)</f>
        <v>-177821737.5</v>
      </c>
      <c r="J31" s="199" t="s">
        <v>175</v>
      </c>
      <c r="K31" s="199" t="s">
        <v>110</v>
      </c>
      <c r="L31" s="279"/>
      <c r="M31" s="274"/>
    </row>
    <row r="32" spans="1:15" s="101" customFormat="1" ht="24" customHeight="1">
      <c r="A32" s="11">
        <f t="shared" si="2"/>
        <v>29</v>
      </c>
      <c r="B32" s="11" t="s">
        <v>352</v>
      </c>
      <c r="C32" s="8" t="s">
        <v>222</v>
      </c>
      <c r="D32" s="326" t="s">
        <v>353</v>
      </c>
      <c r="E32" s="22"/>
      <c r="F32" s="22"/>
      <c r="G32" s="22">
        <f t="shared" si="0"/>
        <v>0</v>
      </c>
      <c r="H32" s="132">
        <f t="shared" si="1"/>
        <v>0</v>
      </c>
      <c r="I32" s="58">
        <f>H32-SUMIF('2024.01'!$B:$B,B32,'2023.07'!H:H)</f>
        <v>-6253830</v>
      </c>
      <c r="J32" s="199" t="s">
        <v>175</v>
      </c>
      <c r="K32" s="199" t="s">
        <v>110</v>
      </c>
      <c r="L32" s="279"/>
      <c r="M32" s="274"/>
    </row>
    <row r="33" spans="1:13" s="101" customFormat="1" ht="24" customHeight="1">
      <c r="A33" s="11">
        <f t="shared" si="2"/>
        <v>30</v>
      </c>
      <c r="B33" s="11" t="s">
        <v>352</v>
      </c>
      <c r="C33" s="8" t="s">
        <v>222</v>
      </c>
      <c r="D33" s="326" t="s">
        <v>354</v>
      </c>
      <c r="E33" s="22"/>
      <c r="F33" s="22"/>
      <c r="G33" s="22">
        <f t="shared" si="0"/>
        <v>0</v>
      </c>
      <c r="H33" s="132">
        <f t="shared" si="1"/>
        <v>0</v>
      </c>
      <c r="I33" s="58">
        <f>H33-SUMIF('2024.01'!$B:$B,B33,'2023.07'!H:H)</f>
        <v>-6253830</v>
      </c>
      <c r="J33" s="199" t="s">
        <v>175</v>
      </c>
      <c r="K33" s="199" t="s">
        <v>110</v>
      </c>
      <c r="L33" s="279"/>
      <c r="M33" s="274"/>
    </row>
    <row r="34" spans="1:13" s="101" customFormat="1" ht="24" customHeight="1">
      <c r="A34" s="11">
        <f t="shared" si="2"/>
        <v>31</v>
      </c>
      <c r="B34" s="11" t="s">
        <v>91</v>
      </c>
      <c r="C34" s="8" t="s">
        <v>222</v>
      </c>
      <c r="D34" s="326" t="s">
        <v>324</v>
      </c>
      <c r="E34" s="22"/>
      <c r="F34" s="22"/>
      <c r="G34" s="22">
        <f t="shared" si="0"/>
        <v>0</v>
      </c>
      <c r="H34" s="132">
        <f t="shared" si="1"/>
        <v>0</v>
      </c>
      <c r="I34" s="58">
        <f>H34-SUMIF('2024.01'!$B:$B,B34,'2023.07'!H:H)</f>
        <v>0</v>
      </c>
      <c r="J34" s="199" t="s">
        <v>175</v>
      </c>
      <c r="K34" s="199" t="s">
        <v>110</v>
      </c>
      <c r="L34" s="279"/>
      <c r="M34" s="274"/>
    </row>
    <row r="35" spans="1:13" s="98" customFormat="1" ht="24" customHeight="1">
      <c r="A35" s="11">
        <f t="shared" si="2"/>
        <v>32</v>
      </c>
      <c r="B35" s="11" t="s">
        <v>4</v>
      </c>
      <c r="C35" s="8" t="s">
        <v>222</v>
      </c>
      <c r="D35" s="11" t="s">
        <v>30</v>
      </c>
      <c r="E35" s="140"/>
      <c r="F35" s="22">
        <v>5000000</v>
      </c>
      <c r="G35" s="22">
        <f t="shared" si="0"/>
        <v>500000</v>
      </c>
      <c r="H35" s="132">
        <f t="shared" si="1"/>
        <v>5500000</v>
      </c>
      <c r="I35" s="58">
        <f>H35-SUMIF('2024.01'!$B:$B,B35,'2023.07'!H:H)</f>
        <v>5500000</v>
      </c>
      <c r="J35" s="199" t="s">
        <v>175</v>
      </c>
      <c r="K35" s="199" t="s">
        <v>109</v>
      </c>
      <c r="L35" s="279"/>
      <c r="M35" s="356"/>
    </row>
    <row r="36" spans="1:13" s="98" customFormat="1" ht="24" customHeight="1">
      <c r="A36" s="11">
        <f t="shared" si="2"/>
        <v>33</v>
      </c>
      <c r="B36" s="11" t="s">
        <v>4</v>
      </c>
      <c r="C36" s="8" t="s">
        <v>151</v>
      </c>
      <c r="D36" s="11"/>
      <c r="E36" s="22"/>
      <c r="F36" s="22"/>
      <c r="G36" s="22">
        <f t="shared" si="0"/>
        <v>0</v>
      </c>
      <c r="H36" s="132">
        <f t="shared" si="1"/>
        <v>0</v>
      </c>
      <c r="I36" s="58">
        <f>H36-SUMIF('2024.01'!$B:$B,B36,'2023.07'!H:H)</f>
        <v>0</v>
      </c>
      <c r="J36" s="199" t="s">
        <v>175</v>
      </c>
      <c r="K36" s="199" t="s">
        <v>109</v>
      </c>
      <c r="L36" s="279"/>
      <c r="M36" s="356"/>
    </row>
    <row r="37" spans="1:13" s="98" customFormat="1" ht="24" hidden="1" customHeight="1">
      <c r="A37" s="11"/>
      <c r="B37" s="11"/>
      <c r="C37" s="11"/>
      <c r="D37" s="11"/>
      <c r="E37" s="22"/>
      <c r="F37" s="22"/>
      <c r="G37" s="22">
        <f t="shared" si="0"/>
        <v>0</v>
      </c>
      <c r="H37" s="22"/>
      <c r="I37" s="58">
        <f>H37-SUMIF('2024.01'!$B:$B,B37,'2023.07'!H:H)</f>
        <v>0</v>
      </c>
      <c r="J37" s="199"/>
      <c r="K37" s="199"/>
      <c r="L37" s="279"/>
      <c r="M37" s="131"/>
    </row>
    <row r="38" spans="1:13" s="101" customFormat="1" ht="24" hidden="1" customHeight="1">
      <c r="A38" s="129">
        <f t="shared" si="2"/>
        <v>35</v>
      </c>
      <c r="B38" s="129" t="s">
        <v>37</v>
      </c>
      <c r="C38" s="129" t="s">
        <v>47</v>
      </c>
      <c r="D38" s="129"/>
      <c r="E38" s="130"/>
      <c r="F38" s="130"/>
      <c r="G38" s="130">
        <f t="shared" si="0"/>
        <v>0</v>
      </c>
      <c r="H38" s="130">
        <f>+F38+G38</f>
        <v>0</v>
      </c>
      <c r="I38" s="58">
        <f>H38-SUMIF('2024.01'!$B:$B,B38,'2023.07'!H:H)</f>
        <v>0</v>
      </c>
      <c r="J38" s="199"/>
      <c r="K38" s="199"/>
      <c r="L38" s="279"/>
      <c r="M38" s="138"/>
    </row>
    <row r="39" spans="1:13" s="39" customFormat="1" ht="24" customHeight="1">
      <c r="A39" s="364" t="s">
        <v>18</v>
      </c>
      <c r="B39" s="365"/>
      <c r="C39" s="347"/>
      <c r="D39" s="347"/>
      <c r="E39" s="139">
        <f>SUM(E4:E38)</f>
        <v>0</v>
      </c>
      <c r="F39" s="139">
        <f>SUM(F4:F38)</f>
        <v>5000000</v>
      </c>
      <c r="G39" s="139">
        <f>SUM(G4:G38)</f>
        <v>500000</v>
      </c>
      <c r="H39" s="139">
        <f>SUM(H4:H38)</f>
        <v>5500000</v>
      </c>
      <c r="I39" s="203">
        <f>H39-'2023.06'!I31</f>
        <v>158089690</v>
      </c>
      <c r="J39" s="204"/>
      <c r="K39" s="204"/>
      <c r="L39" s="281"/>
      <c r="M39" s="37"/>
    </row>
    <row r="40" spans="1:13">
      <c r="A40" s="40"/>
      <c r="B40" s="40"/>
      <c r="C40" s="40"/>
      <c r="D40" s="40"/>
      <c r="E40" s="205"/>
      <c r="F40" s="205"/>
      <c r="G40" s="205"/>
      <c r="H40" s="205"/>
      <c r="I40" s="205"/>
      <c r="J40" s="205"/>
      <c r="K40" s="205"/>
      <c r="L40" s="205"/>
      <c r="M40" s="40"/>
    </row>
    <row r="41" spans="1:13">
      <c r="A41" s="40"/>
      <c r="B41" s="206" t="s">
        <v>50</v>
      </c>
      <c r="C41" s="40"/>
      <c r="D41" s="40"/>
      <c r="E41" s="205"/>
      <c r="F41" s="207">
        <f>F39-'2022.10'!E20</f>
        <v>-145970825</v>
      </c>
      <c r="G41" s="207">
        <f>G39-'2022.10'!F20</f>
        <v>-14597082.5</v>
      </c>
      <c r="H41" s="207">
        <f>H39-'2022.10'!G20</f>
        <v>-160567907.5</v>
      </c>
      <c r="I41" s="207"/>
      <c r="J41" s="207"/>
      <c r="K41" s="207"/>
      <c r="L41" s="207"/>
      <c r="M41" s="208"/>
    </row>
    <row r="42" spans="1:13" ht="15.75" customHeight="1">
      <c r="A42" s="40"/>
      <c r="B42" s="40"/>
      <c r="C42" s="40"/>
      <c r="D42" s="40"/>
      <c r="E42" s="40"/>
      <c r="F42" s="205"/>
      <c r="G42" s="205"/>
      <c r="H42" s="205"/>
      <c r="I42" s="205"/>
      <c r="J42" s="205"/>
      <c r="K42" s="205"/>
      <c r="L42" s="205"/>
      <c r="M42" s="40"/>
    </row>
    <row r="43" spans="1:13">
      <c r="A43" s="214" t="s">
        <v>148</v>
      </c>
      <c r="B43" s="215" t="s">
        <v>149</v>
      </c>
      <c r="C43" s="215" t="s">
        <v>151</v>
      </c>
      <c r="D43" s="215"/>
      <c r="E43" s="216"/>
      <c r="F43" s="217"/>
      <c r="G43" s="22">
        <f t="shared" ref="G43" si="3">+F43*0.1</f>
        <v>0</v>
      </c>
      <c r="H43" s="218">
        <f t="shared" ref="H43:H45" si="4">F43+G43</f>
        <v>0</v>
      </c>
      <c r="I43" s="218">
        <f>H43-'2023.06'!H35</f>
        <v>0</v>
      </c>
      <c r="J43" s="290" t="s">
        <v>183</v>
      </c>
      <c r="K43" s="199" t="s">
        <v>109</v>
      </c>
      <c r="L43" s="282"/>
      <c r="M43" s="285" t="s">
        <v>301</v>
      </c>
    </row>
    <row r="44" spans="1:13">
      <c r="A44" s="214" t="s">
        <v>148</v>
      </c>
      <c r="B44" s="215" t="s">
        <v>150</v>
      </c>
      <c r="C44" s="215" t="s">
        <v>151</v>
      </c>
      <c r="D44" s="215"/>
      <c r="E44" s="216"/>
      <c r="F44" s="36"/>
      <c r="G44" s="22">
        <f>+F44*0.1</f>
        <v>0</v>
      </c>
      <c r="H44" s="218">
        <f t="shared" si="4"/>
        <v>0</v>
      </c>
      <c r="I44" s="218"/>
      <c r="J44" s="290" t="s">
        <v>183</v>
      </c>
      <c r="K44" s="199" t="s">
        <v>109</v>
      </c>
      <c r="L44" s="282"/>
      <c r="M44" s="285" t="s">
        <v>301</v>
      </c>
    </row>
    <row r="45" spans="1:13">
      <c r="A45" s="310" t="s">
        <v>303</v>
      </c>
      <c r="B45" s="311"/>
      <c r="C45" s="311" t="s">
        <v>304</v>
      </c>
      <c r="D45" s="311"/>
      <c r="E45" s="312"/>
      <c r="F45" s="79"/>
      <c r="G45" s="80">
        <f t="shared" ref="G45" si="5">+F45*0.1</f>
        <v>0</v>
      </c>
      <c r="H45" s="313">
        <f t="shared" si="4"/>
        <v>0</v>
      </c>
      <c r="I45" s="313"/>
      <c r="J45" s="168" t="s">
        <v>305</v>
      </c>
      <c r="K45" s="149" t="s">
        <v>306</v>
      </c>
      <c r="L45" s="307"/>
      <c r="M45" s="283"/>
    </row>
  </sheetData>
  <autoFilter ref="A3:M3"/>
  <mergeCells count="2">
    <mergeCell ref="A1:M1"/>
    <mergeCell ref="A39:B3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5"/>
  <sheetViews>
    <sheetView showGridLines="0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A8" sqref="A8:M8"/>
    </sheetView>
  </sheetViews>
  <sheetFormatPr defaultColWidth="9" defaultRowHeight="16.5"/>
  <cols>
    <col min="1" max="1" width="7.5" bestFit="1" customWidth="1"/>
    <col min="2" max="2" width="20" customWidth="1"/>
    <col min="3" max="3" width="29.25" bestFit="1" customWidth="1"/>
    <col min="4" max="4" width="15.375" bestFit="1" customWidth="1"/>
    <col min="5" max="5" width="12.375" style="2" bestFit="1" customWidth="1"/>
    <col min="6" max="6" width="14.875" style="2" bestFit="1" customWidth="1"/>
    <col min="7" max="7" width="13.625" style="2" bestFit="1" customWidth="1"/>
    <col min="8" max="8" width="14.875" style="2" bestFit="1" customWidth="1"/>
    <col min="9" max="9" width="14.875" style="2" customWidth="1"/>
    <col min="10" max="11" width="10.75" style="2" customWidth="1"/>
    <col min="12" max="12" width="19.375" style="2" bestFit="1" customWidth="1"/>
    <col min="13" max="13" width="47.375" customWidth="1"/>
    <col min="14" max="14" width="9.5" style="40" bestFit="1" customWidth="1"/>
    <col min="15" max="15" width="9.25" style="40" bestFit="1" customWidth="1"/>
    <col min="16" max="16384" width="9" style="40"/>
  </cols>
  <sheetData>
    <row r="1" spans="1:13" ht="38.25">
      <c r="A1" s="363" t="s">
        <v>346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63"/>
    </row>
    <row r="2" spans="1:13">
      <c r="M2" s="44" t="s">
        <v>347</v>
      </c>
    </row>
    <row r="3" spans="1:13" s="38" customFormat="1">
      <c r="A3" s="5" t="s">
        <v>12</v>
      </c>
      <c r="B3" s="5" t="s">
        <v>0</v>
      </c>
      <c r="C3" s="5" t="s">
        <v>223</v>
      </c>
      <c r="D3" s="5" t="s">
        <v>231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50</v>
      </c>
      <c r="J3" s="1" t="s">
        <v>179</v>
      </c>
      <c r="K3" s="1" t="s">
        <v>291</v>
      </c>
      <c r="L3" s="1" t="s">
        <v>290</v>
      </c>
      <c r="M3" s="5" t="s">
        <v>23</v>
      </c>
    </row>
    <row r="4" spans="1:13" s="98" customFormat="1" ht="24" customHeight="1">
      <c r="A4" s="78">
        <f>ROW()-3</f>
        <v>1</v>
      </c>
      <c r="B4" s="78" t="s">
        <v>13</v>
      </c>
      <c r="C4" s="78" t="s">
        <v>242</v>
      </c>
      <c r="D4" s="78"/>
      <c r="E4" s="79"/>
      <c r="F4" s="79"/>
      <c r="G4" s="80">
        <f t="shared" ref="G4:G38" si="0">+F4*0.1</f>
        <v>0</v>
      </c>
      <c r="H4" s="79">
        <f t="shared" ref="H4:H36" si="1">+F4+G4</f>
        <v>0</v>
      </c>
      <c r="I4" s="81">
        <f>H4-SUMIF('2023.12'!$B:$B,B4,'2023.07'!H:H)</f>
        <v>0</v>
      </c>
      <c r="J4" s="149" t="s">
        <v>175</v>
      </c>
      <c r="K4" s="149" t="s">
        <v>110</v>
      </c>
      <c r="L4" s="307"/>
      <c r="M4" s="160"/>
    </row>
    <row r="5" spans="1:13" s="98" customFormat="1" ht="24" customHeight="1">
      <c r="A5" s="78">
        <f t="shared" ref="A5:A38" si="2">ROW()-3</f>
        <v>2</v>
      </c>
      <c r="B5" s="78" t="s">
        <v>5</v>
      </c>
      <c r="C5" s="78" t="s">
        <v>34</v>
      </c>
      <c r="D5" s="78"/>
      <c r="E5" s="79"/>
      <c r="F5" s="79"/>
      <c r="G5" s="80">
        <f t="shared" si="0"/>
        <v>0</v>
      </c>
      <c r="H5" s="79">
        <f t="shared" si="1"/>
        <v>0</v>
      </c>
      <c r="I5" s="81">
        <f>H5-SUMIF('2023.12'!$B:$B,B5,'2023.07'!H:H)</f>
        <v>-39674580</v>
      </c>
      <c r="J5" s="149" t="s">
        <v>175</v>
      </c>
      <c r="K5" s="149" t="s">
        <v>109</v>
      </c>
      <c r="L5" s="307"/>
      <c r="M5" s="82"/>
    </row>
    <row r="6" spans="1:13" s="98" customFormat="1" ht="24" customHeight="1">
      <c r="A6" s="14">
        <f t="shared" si="2"/>
        <v>3</v>
      </c>
      <c r="B6" s="14" t="s">
        <v>11</v>
      </c>
      <c r="C6" s="14" t="s">
        <v>222</v>
      </c>
      <c r="D6" s="14" t="s">
        <v>28</v>
      </c>
      <c r="E6" s="15">
        <v>432135</v>
      </c>
      <c r="F6" s="15">
        <v>39901275</v>
      </c>
      <c r="G6" s="18">
        <f t="shared" si="0"/>
        <v>3990127.5</v>
      </c>
      <c r="H6" s="15">
        <f t="shared" si="1"/>
        <v>43891402.5</v>
      </c>
      <c r="I6" s="60">
        <f>H6-SUMIF('2023.12'!$B:$B,B6,'2023.07'!H:H)</f>
        <v>-12459920</v>
      </c>
      <c r="J6" s="346" t="s">
        <v>183</v>
      </c>
      <c r="K6" s="194" t="s">
        <v>109</v>
      </c>
      <c r="L6" s="278">
        <v>45657</v>
      </c>
      <c r="M6" s="292" t="s">
        <v>300</v>
      </c>
    </row>
    <row r="7" spans="1:13" s="98" customFormat="1" ht="24" customHeight="1">
      <c r="A7" s="78">
        <f t="shared" si="2"/>
        <v>4</v>
      </c>
      <c r="B7" s="78" t="s">
        <v>332</v>
      </c>
      <c r="C7" s="78" t="s">
        <v>222</v>
      </c>
      <c r="D7" s="78" t="s">
        <v>34</v>
      </c>
      <c r="E7" s="79"/>
      <c r="F7" s="79"/>
      <c r="G7" s="80">
        <f t="shared" si="0"/>
        <v>0</v>
      </c>
      <c r="H7" s="79">
        <f t="shared" si="1"/>
        <v>0</v>
      </c>
      <c r="I7" s="81">
        <f>H7-SUMIF('2023.12'!$B:$B,B7,'2023.07'!H:H)</f>
        <v>-3092100</v>
      </c>
      <c r="J7" s="149" t="s">
        <v>175</v>
      </c>
      <c r="K7" s="149" t="s">
        <v>109</v>
      </c>
      <c r="L7" s="307"/>
      <c r="M7" s="308" t="s">
        <v>345</v>
      </c>
    </row>
    <row r="8" spans="1:13" s="98" customFormat="1" ht="24" customHeight="1">
      <c r="A8" s="14">
        <f t="shared" si="2"/>
        <v>5</v>
      </c>
      <c r="B8" s="17" t="s">
        <v>2</v>
      </c>
      <c r="C8" s="14" t="s">
        <v>222</v>
      </c>
      <c r="D8" s="14" t="s">
        <v>34</v>
      </c>
      <c r="E8" s="15">
        <v>64890</v>
      </c>
      <c r="F8" s="15">
        <v>7716750</v>
      </c>
      <c r="G8" s="18">
        <f t="shared" si="0"/>
        <v>771675</v>
      </c>
      <c r="H8" s="15">
        <f t="shared" si="1"/>
        <v>8488425</v>
      </c>
      <c r="I8" s="60">
        <f>H8-SUMIF('2023.12'!$B:$B,B8,'2023.07'!H:H)</f>
        <v>8488425</v>
      </c>
      <c r="J8" s="194" t="s">
        <v>175</v>
      </c>
      <c r="K8" s="194" t="s">
        <v>109</v>
      </c>
      <c r="L8" s="278">
        <v>45657</v>
      </c>
      <c r="M8" s="116"/>
    </row>
    <row r="9" spans="1:13" s="98" customFormat="1" ht="24" customHeight="1">
      <c r="A9" s="12">
        <f t="shared" si="2"/>
        <v>6</v>
      </c>
      <c r="B9" s="12" t="s">
        <v>9</v>
      </c>
      <c r="C9" s="12" t="s">
        <v>28</v>
      </c>
      <c r="D9" s="12"/>
      <c r="E9" s="4"/>
      <c r="F9" s="4"/>
      <c r="G9" s="342">
        <f t="shared" si="0"/>
        <v>0</v>
      </c>
      <c r="H9" s="4">
        <f t="shared" si="1"/>
        <v>0</v>
      </c>
      <c r="I9" s="62">
        <f>H9-SUMIF('2023.12'!$B:$B,B9,'2023.07'!H:H)</f>
        <v>-5400230</v>
      </c>
      <c r="J9" s="244"/>
      <c r="K9" s="244"/>
      <c r="L9" s="280"/>
      <c r="M9" s="32"/>
    </row>
    <row r="10" spans="1:13" s="98" customFormat="1" ht="24" customHeight="1">
      <c r="A10" s="78">
        <f t="shared" si="2"/>
        <v>7</v>
      </c>
      <c r="B10" s="78" t="s">
        <v>1</v>
      </c>
      <c r="C10" s="78" t="s">
        <v>222</v>
      </c>
      <c r="D10" s="78" t="s">
        <v>224</v>
      </c>
      <c r="E10" s="157"/>
      <c r="F10" s="79"/>
      <c r="G10" s="80">
        <f t="shared" si="0"/>
        <v>0</v>
      </c>
      <c r="H10" s="79">
        <f t="shared" si="1"/>
        <v>0</v>
      </c>
      <c r="I10" s="81">
        <f>H10-SUMIF('2023.12'!$B:$B,B10,'2023.07'!H:H)</f>
        <v>-1967900</v>
      </c>
      <c r="J10" s="149" t="s">
        <v>175</v>
      </c>
      <c r="K10" s="149" t="s">
        <v>109</v>
      </c>
      <c r="L10" s="307"/>
      <c r="M10" s="334"/>
    </row>
    <row r="11" spans="1:13" s="98" customFormat="1" ht="24" customHeight="1">
      <c r="A11" s="78">
        <f t="shared" si="2"/>
        <v>8</v>
      </c>
      <c r="B11" s="335" t="s">
        <v>197</v>
      </c>
      <c r="C11" s="335" t="s">
        <v>104</v>
      </c>
      <c r="D11" s="335"/>
      <c r="E11" s="336"/>
      <c r="F11" s="337"/>
      <c r="G11" s="80">
        <f t="shared" si="0"/>
        <v>0</v>
      </c>
      <c r="H11" s="337">
        <f t="shared" si="1"/>
        <v>0</v>
      </c>
      <c r="I11" s="338">
        <f>H11-SUMIF('2023.12'!$B:$B,B11,'2023.07'!H:H)</f>
        <v>-31291700</v>
      </c>
      <c r="J11" s="149" t="s">
        <v>175</v>
      </c>
      <c r="K11" s="149" t="s">
        <v>109</v>
      </c>
      <c r="L11" s="307"/>
      <c r="M11" s="339"/>
    </row>
    <row r="12" spans="1:13" s="98" customFormat="1" ht="24" customHeight="1">
      <c r="A12" s="14">
        <f t="shared" si="2"/>
        <v>9</v>
      </c>
      <c r="B12" s="14" t="s">
        <v>69</v>
      </c>
      <c r="C12" s="14" t="s">
        <v>46</v>
      </c>
      <c r="D12" s="14"/>
      <c r="E12" s="15">
        <v>16525</v>
      </c>
      <c r="F12" s="15">
        <f>16525*1400</f>
        <v>23135000</v>
      </c>
      <c r="G12" s="18">
        <f t="shared" si="0"/>
        <v>2313500</v>
      </c>
      <c r="H12" s="15">
        <f t="shared" si="1"/>
        <v>25448500</v>
      </c>
      <c r="I12" s="60">
        <f>H12-SUMIF('2023.12'!$B:$B,B12,'2023.07'!H:H)</f>
        <v>19525110</v>
      </c>
      <c r="J12" s="346" t="s">
        <v>349</v>
      </c>
      <c r="K12" s="194" t="s">
        <v>109</v>
      </c>
      <c r="L12" s="278">
        <v>45290</v>
      </c>
      <c r="M12" s="116" t="s">
        <v>348</v>
      </c>
    </row>
    <row r="13" spans="1:13" s="98" customFormat="1" ht="24" customHeight="1">
      <c r="A13" s="14">
        <f t="shared" si="2"/>
        <v>10</v>
      </c>
      <c r="B13" s="14" t="s">
        <v>69</v>
      </c>
      <c r="C13" s="14" t="s">
        <v>265</v>
      </c>
      <c r="D13" s="14"/>
      <c r="E13" s="15">
        <v>8515</v>
      </c>
      <c r="F13" s="15">
        <f>8515*250</f>
        <v>2128750</v>
      </c>
      <c r="G13" s="18">
        <f t="shared" si="0"/>
        <v>212875</v>
      </c>
      <c r="H13" s="15">
        <f t="shared" si="1"/>
        <v>2341625</v>
      </c>
      <c r="I13" s="60">
        <f>H13-SUMIF('2023.12'!$B:$B,B13,'2023.07'!H:H)</f>
        <v>-3581765</v>
      </c>
      <c r="J13" s="194" t="s">
        <v>175</v>
      </c>
      <c r="K13" s="194" t="s">
        <v>109</v>
      </c>
      <c r="L13" s="278">
        <v>45290</v>
      </c>
      <c r="M13" s="292" t="s">
        <v>298</v>
      </c>
    </row>
    <row r="14" spans="1:13" s="98" customFormat="1" ht="24" customHeight="1">
      <c r="A14" s="78">
        <f t="shared" si="2"/>
        <v>11</v>
      </c>
      <c r="B14" s="78" t="s">
        <v>7</v>
      </c>
      <c r="C14" s="78" t="s">
        <v>222</v>
      </c>
      <c r="D14" s="78" t="s">
        <v>32</v>
      </c>
      <c r="E14" s="79"/>
      <c r="F14" s="79"/>
      <c r="G14" s="80">
        <f t="shared" si="0"/>
        <v>0</v>
      </c>
      <c r="H14" s="79">
        <f t="shared" si="1"/>
        <v>0</v>
      </c>
      <c r="I14" s="81">
        <f>H14-SUMIF('2023.12'!$B:$B,B14,'2023.07'!H:H)</f>
        <v>-545930</v>
      </c>
      <c r="J14" s="306" t="s">
        <v>175</v>
      </c>
      <c r="K14" s="306" t="s">
        <v>109</v>
      </c>
      <c r="L14" s="307"/>
      <c r="M14" s="122"/>
    </row>
    <row r="15" spans="1:13" s="98" customFormat="1" ht="24" customHeight="1">
      <c r="A15" s="14">
        <f t="shared" si="2"/>
        <v>12</v>
      </c>
      <c r="B15" s="14" t="s">
        <v>201</v>
      </c>
      <c r="C15" s="14" t="s">
        <v>92</v>
      </c>
      <c r="D15" s="219" t="s">
        <v>92</v>
      </c>
      <c r="E15" s="15"/>
      <c r="F15" s="15">
        <v>305480</v>
      </c>
      <c r="G15" s="18">
        <f t="shared" si="0"/>
        <v>30548</v>
      </c>
      <c r="H15" s="15">
        <f t="shared" si="1"/>
        <v>336028</v>
      </c>
      <c r="I15" s="60">
        <f>H15-SUMIF('2023.12'!$B:$B,B15,'2023.07'!H:H)</f>
        <v>-9889682</v>
      </c>
      <c r="J15" s="346" t="s">
        <v>183</v>
      </c>
      <c r="K15" s="194" t="s">
        <v>110</v>
      </c>
      <c r="L15" s="278">
        <v>45272</v>
      </c>
      <c r="M15" s="116" t="s">
        <v>288</v>
      </c>
    </row>
    <row r="16" spans="1:13" s="98" customFormat="1" ht="24" customHeight="1">
      <c r="A16" s="14">
        <f t="shared" si="2"/>
        <v>13</v>
      </c>
      <c r="B16" s="14" t="s">
        <v>201</v>
      </c>
      <c r="C16" s="14" t="s">
        <v>351</v>
      </c>
      <c r="D16" s="219"/>
      <c r="E16" s="15"/>
      <c r="F16" s="15">
        <v>6044800</v>
      </c>
      <c r="G16" s="18">
        <f t="shared" si="0"/>
        <v>604480</v>
      </c>
      <c r="H16" s="15">
        <f t="shared" si="1"/>
        <v>6649280</v>
      </c>
      <c r="I16" s="60">
        <f>H16-SUMIF('2023.12'!$B:$B,B16,'2023.07'!H:H)</f>
        <v>-3576430</v>
      </c>
      <c r="J16" s="346" t="s">
        <v>183</v>
      </c>
      <c r="K16" s="194" t="s">
        <v>110</v>
      </c>
      <c r="L16" s="278">
        <v>45281</v>
      </c>
      <c r="M16" s="116" t="s">
        <v>288</v>
      </c>
    </row>
    <row r="17" spans="1:15" s="98" customFormat="1" ht="24" customHeight="1">
      <c r="A17" s="14">
        <f t="shared" si="2"/>
        <v>14</v>
      </c>
      <c r="B17" s="14" t="s">
        <v>201</v>
      </c>
      <c r="C17" s="14" t="s">
        <v>39</v>
      </c>
      <c r="D17" s="14"/>
      <c r="E17" s="15">
        <v>4056</v>
      </c>
      <c r="F17" s="15">
        <v>6692400</v>
      </c>
      <c r="G17" s="18">
        <f t="shared" si="0"/>
        <v>669240</v>
      </c>
      <c r="H17" s="15">
        <f t="shared" si="1"/>
        <v>7361640</v>
      </c>
      <c r="I17" s="60">
        <f>H17-SUMIF('2023.12'!$B:$B,B17,'2023.07'!H:H)</f>
        <v>-2864070</v>
      </c>
      <c r="J17" s="346" t="s">
        <v>183</v>
      </c>
      <c r="K17" s="194" t="s">
        <v>110</v>
      </c>
      <c r="L17" s="278">
        <v>45281</v>
      </c>
      <c r="M17" s="116" t="s">
        <v>288</v>
      </c>
    </row>
    <row r="18" spans="1:15" s="98" customFormat="1" ht="24" customHeight="1">
      <c r="A18" s="14">
        <f t="shared" si="2"/>
        <v>15</v>
      </c>
      <c r="B18" s="14" t="s">
        <v>201</v>
      </c>
      <c r="C18" s="14" t="s">
        <v>92</v>
      </c>
      <c r="D18" s="14"/>
      <c r="E18" s="15"/>
      <c r="F18" s="15">
        <v>379500</v>
      </c>
      <c r="G18" s="18">
        <f t="shared" si="0"/>
        <v>37950</v>
      </c>
      <c r="H18" s="15">
        <f t="shared" si="1"/>
        <v>417450</v>
      </c>
      <c r="I18" s="60">
        <f>H18-SUMIF('2023.12'!$B:$B,B18,'2023.07'!H:H)</f>
        <v>-9808260</v>
      </c>
      <c r="J18" s="346" t="s">
        <v>183</v>
      </c>
      <c r="K18" s="194" t="s">
        <v>110</v>
      </c>
      <c r="L18" s="278">
        <v>45288</v>
      </c>
      <c r="M18" s="116" t="s">
        <v>288</v>
      </c>
    </row>
    <row r="19" spans="1:15" s="98" customFormat="1" ht="24" customHeight="1">
      <c r="A19" s="14">
        <f t="shared" si="2"/>
        <v>16</v>
      </c>
      <c r="B19" s="14" t="s">
        <v>201</v>
      </c>
      <c r="C19" s="14" t="s">
        <v>39</v>
      </c>
      <c r="D19" s="14"/>
      <c r="E19" s="15">
        <v>920</v>
      </c>
      <c r="F19" s="15">
        <f>920*1650</f>
        <v>1518000</v>
      </c>
      <c r="G19" s="18">
        <f t="shared" si="0"/>
        <v>151800</v>
      </c>
      <c r="H19" s="15">
        <f t="shared" si="1"/>
        <v>1669800</v>
      </c>
      <c r="I19" s="60">
        <f>H19-SUMIF('2023.12'!$B:$B,B19,'2023.07'!H:H)</f>
        <v>-8555910</v>
      </c>
      <c r="J19" s="346" t="s">
        <v>183</v>
      </c>
      <c r="K19" s="194" t="s">
        <v>110</v>
      </c>
      <c r="L19" s="278">
        <v>45288</v>
      </c>
      <c r="M19" s="116" t="s">
        <v>288</v>
      </c>
    </row>
    <row r="20" spans="1:15" s="98" customFormat="1" ht="24" customHeight="1">
      <c r="A20" s="78">
        <f t="shared" si="2"/>
        <v>17</v>
      </c>
      <c r="B20" s="78" t="s">
        <v>201</v>
      </c>
      <c r="C20" s="78" t="s">
        <v>204</v>
      </c>
      <c r="D20" s="78"/>
      <c r="E20" s="79"/>
      <c r="F20" s="79"/>
      <c r="G20" s="80">
        <f t="shared" si="0"/>
        <v>0</v>
      </c>
      <c r="H20" s="79">
        <f t="shared" si="1"/>
        <v>0</v>
      </c>
      <c r="I20" s="81">
        <f>H20-SUMIF('2023.12'!$B:$B,B20,'2023.07'!H:H)</f>
        <v>-10225710</v>
      </c>
      <c r="J20" s="344" t="s">
        <v>183</v>
      </c>
      <c r="K20" s="149" t="s">
        <v>110</v>
      </c>
      <c r="L20" s="307"/>
      <c r="M20" s="122" t="s">
        <v>288</v>
      </c>
    </row>
    <row r="21" spans="1:15" s="98" customFormat="1" ht="24" customHeight="1">
      <c r="A21" s="17">
        <f t="shared" si="2"/>
        <v>18</v>
      </c>
      <c r="B21" s="17" t="s">
        <v>75</v>
      </c>
      <c r="C21" s="17" t="s">
        <v>57</v>
      </c>
      <c r="D21" s="19"/>
      <c r="E21" s="107">
        <v>5320</v>
      </c>
      <c r="F21" s="107">
        <v>1330000</v>
      </c>
      <c r="G21" s="18">
        <f t="shared" si="0"/>
        <v>133000</v>
      </c>
      <c r="H21" s="107">
        <f t="shared" si="1"/>
        <v>1463000</v>
      </c>
      <c r="I21" s="293">
        <f>H21-SUMIF('2023.12'!$B:$B,B21,'2023.07'!H:H)</f>
        <v>173250</v>
      </c>
      <c r="J21" s="346" t="s">
        <v>183</v>
      </c>
      <c r="K21" s="287" t="s">
        <v>110</v>
      </c>
      <c r="L21" s="288">
        <v>45265</v>
      </c>
      <c r="M21" s="171"/>
      <c r="N21" s="102"/>
      <c r="O21" s="100"/>
    </row>
    <row r="22" spans="1:15" s="98" customFormat="1" ht="24" customHeight="1">
      <c r="A22" s="83">
        <f t="shared" si="2"/>
        <v>19</v>
      </c>
      <c r="B22" s="83" t="s">
        <v>75</v>
      </c>
      <c r="C22" s="83" t="s">
        <v>57</v>
      </c>
      <c r="D22" s="83"/>
      <c r="E22" s="88"/>
      <c r="F22" s="88"/>
      <c r="G22" s="80">
        <f t="shared" si="0"/>
        <v>0</v>
      </c>
      <c r="H22" s="88">
        <f t="shared" si="1"/>
        <v>0</v>
      </c>
      <c r="I22" s="81">
        <f>H22-SUMIF('2023.12'!$B:$B,B22,'2023.07'!H:H)</f>
        <v>-1289750</v>
      </c>
      <c r="J22" s="344" t="s">
        <v>183</v>
      </c>
      <c r="K22" s="149" t="s">
        <v>110</v>
      </c>
      <c r="L22" s="307"/>
      <c r="M22" s="188"/>
      <c r="N22" s="102"/>
      <c r="O22" s="100"/>
    </row>
    <row r="23" spans="1:15" s="98" customFormat="1" ht="24" customHeight="1">
      <c r="A23" s="14">
        <f t="shared" si="2"/>
        <v>20</v>
      </c>
      <c r="B23" s="14" t="s">
        <v>267</v>
      </c>
      <c r="C23" s="213" t="s">
        <v>309</v>
      </c>
      <c r="D23" s="14" t="s">
        <v>335</v>
      </c>
      <c r="E23" s="15">
        <v>890</v>
      </c>
      <c r="F23" s="15">
        <f>890*1300</f>
        <v>1157000</v>
      </c>
      <c r="G23" s="18">
        <f>F23*0.1</f>
        <v>115700</v>
      </c>
      <c r="H23" s="15">
        <f t="shared" si="1"/>
        <v>1272700</v>
      </c>
      <c r="I23" s="60">
        <f>H23-SUMIF('2023.12'!$B:$B,B23,'2023.07'!H:H)</f>
        <v>-9786425</v>
      </c>
      <c r="J23" s="193" t="s">
        <v>175</v>
      </c>
      <c r="K23" s="194" t="s">
        <v>110</v>
      </c>
      <c r="L23" s="278">
        <v>45269</v>
      </c>
      <c r="M23" s="292"/>
    </row>
    <row r="24" spans="1:15" s="98" customFormat="1" ht="24" customHeight="1">
      <c r="A24" s="14">
        <f t="shared" si="2"/>
        <v>21</v>
      </c>
      <c r="B24" s="14" t="s">
        <v>267</v>
      </c>
      <c r="C24" s="213" t="s">
        <v>308</v>
      </c>
      <c r="D24" s="14" t="s">
        <v>308</v>
      </c>
      <c r="E24" s="15">
        <v>3475</v>
      </c>
      <c r="F24" s="15">
        <f>3475*450</f>
        <v>1563750</v>
      </c>
      <c r="G24" s="18">
        <f>F24*0.1</f>
        <v>156375</v>
      </c>
      <c r="H24" s="15">
        <f t="shared" si="1"/>
        <v>1720125</v>
      </c>
      <c r="I24" s="60">
        <f>H24-SUMIF('2023.12'!$B:$B,B24,'2023.07'!H:H)</f>
        <v>-9339000</v>
      </c>
      <c r="J24" s="193" t="s">
        <v>175</v>
      </c>
      <c r="K24" s="194" t="s">
        <v>110</v>
      </c>
      <c r="L24" s="278">
        <v>45269</v>
      </c>
      <c r="M24" s="292"/>
    </row>
    <row r="25" spans="1:15" s="98" customFormat="1" ht="24" customHeight="1">
      <c r="A25" s="14">
        <f t="shared" si="2"/>
        <v>22</v>
      </c>
      <c r="B25" s="14" t="s">
        <v>267</v>
      </c>
      <c r="C25" s="213" t="s">
        <v>310</v>
      </c>
      <c r="D25" s="14" t="s">
        <v>337</v>
      </c>
      <c r="E25" s="15">
        <v>1451</v>
      </c>
      <c r="F25" s="15">
        <f>1451*2300</f>
        <v>3337300</v>
      </c>
      <c r="G25" s="18">
        <f t="shared" si="0"/>
        <v>333730</v>
      </c>
      <c r="H25" s="15">
        <f t="shared" si="1"/>
        <v>3671030</v>
      </c>
      <c r="I25" s="60">
        <f>H25-SUMIF('2023.12'!$B:$B,B25,'2023.07'!H:H)</f>
        <v>-7388095</v>
      </c>
      <c r="J25" s="193" t="s">
        <v>175</v>
      </c>
      <c r="K25" s="194" t="s">
        <v>110</v>
      </c>
      <c r="L25" s="278">
        <v>45269</v>
      </c>
      <c r="M25" s="292"/>
    </row>
    <row r="26" spans="1:15" s="98" customFormat="1" ht="24" customHeight="1">
      <c r="A26" s="78">
        <f t="shared" si="2"/>
        <v>23</v>
      </c>
      <c r="B26" s="78" t="s">
        <v>268</v>
      </c>
      <c r="C26" s="78" t="s">
        <v>222</v>
      </c>
      <c r="D26" s="78" t="s">
        <v>269</v>
      </c>
      <c r="E26" s="79"/>
      <c r="F26" s="79"/>
      <c r="G26" s="80">
        <f t="shared" si="0"/>
        <v>0</v>
      </c>
      <c r="H26" s="79">
        <f t="shared" si="1"/>
        <v>0</v>
      </c>
      <c r="I26" s="81">
        <f>H26-SUMIF('2023.12'!$B:$B,B26,'2023.07'!H:H)</f>
        <v>0</v>
      </c>
      <c r="J26" s="306" t="s">
        <v>175</v>
      </c>
      <c r="K26" s="149" t="s">
        <v>109</v>
      </c>
      <c r="L26" s="307"/>
      <c r="M26" s="345" t="s">
        <v>299</v>
      </c>
    </row>
    <row r="27" spans="1:15" s="277" customFormat="1" ht="24" customHeight="1">
      <c r="A27" s="17">
        <f t="shared" si="2"/>
        <v>24</v>
      </c>
      <c r="B27" s="17" t="s">
        <v>328</v>
      </c>
      <c r="C27" s="316" t="s">
        <v>222</v>
      </c>
      <c r="D27" s="17" t="s">
        <v>36</v>
      </c>
      <c r="E27" s="18">
        <v>1105</v>
      </c>
      <c r="F27" s="18">
        <f>1105*450</f>
        <v>497250</v>
      </c>
      <c r="G27" s="18">
        <f t="shared" si="0"/>
        <v>49725</v>
      </c>
      <c r="H27" s="18">
        <f t="shared" si="1"/>
        <v>546975</v>
      </c>
      <c r="I27" s="317">
        <f>H27-SUMIF('2023.12'!$B:$B,B27,'2023.07'!H:H)</f>
        <v>-177274762.5</v>
      </c>
      <c r="J27" s="318" t="s">
        <v>175</v>
      </c>
      <c r="K27" s="318" t="s">
        <v>110</v>
      </c>
      <c r="L27" s="319">
        <v>45266</v>
      </c>
      <c r="M27" s="195" t="s">
        <v>331</v>
      </c>
    </row>
    <row r="28" spans="1:15" s="277" customFormat="1" ht="24" customHeight="1">
      <c r="A28" s="17">
        <f t="shared" si="2"/>
        <v>25</v>
      </c>
      <c r="B28" s="17" t="s">
        <v>328</v>
      </c>
      <c r="C28" s="316" t="s">
        <v>222</v>
      </c>
      <c r="D28" s="17" t="s">
        <v>36</v>
      </c>
      <c r="E28" s="18">
        <v>810</v>
      </c>
      <c r="F28" s="18">
        <f>810*450</f>
        <v>364500</v>
      </c>
      <c r="G28" s="18">
        <f t="shared" si="0"/>
        <v>36450</v>
      </c>
      <c r="H28" s="18">
        <f t="shared" si="1"/>
        <v>400950</v>
      </c>
      <c r="I28" s="317">
        <f>H28-SUMIF('2023.12'!$B:$B,B28,'2023.07'!H:H)</f>
        <v>-177420787.5</v>
      </c>
      <c r="J28" s="318" t="s">
        <v>175</v>
      </c>
      <c r="K28" s="318" t="s">
        <v>110</v>
      </c>
      <c r="L28" s="319">
        <v>45281</v>
      </c>
      <c r="M28" s="195" t="s">
        <v>331</v>
      </c>
    </row>
    <row r="29" spans="1:15" s="277" customFormat="1" ht="24" customHeight="1">
      <c r="A29" s="17">
        <f t="shared" si="2"/>
        <v>26</v>
      </c>
      <c r="B29" s="17" t="s">
        <v>328</v>
      </c>
      <c r="C29" s="316" t="s">
        <v>222</v>
      </c>
      <c r="D29" s="17" t="s">
        <v>36</v>
      </c>
      <c r="E29" s="18"/>
      <c r="F29" s="18">
        <v>95307229</v>
      </c>
      <c r="G29" s="18">
        <f t="shared" si="0"/>
        <v>9530722.9000000004</v>
      </c>
      <c r="H29" s="18">
        <f t="shared" si="1"/>
        <v>104837951.90000001</v>
      </c>
      <c r="I29" s="317">
        <f>H29-SUMIF('2023.12'!$B:$B,B29,'2023.07'!H:H)</f>
        <v>-72983785.599999994</v>
      </c>
      <c r="J29" s="318" t="s">
        <v>175</v>
      </c>
      <c r="K29" s="318" t="s">
        <v>110</v>
      </c>
      <c r="L29" s="319">
        <v>45281</v>
      </c>
      <c r="M29" s="195" t="s">
        <v>350</v>
      </c>
    </row>
    <row r="30" spans="1:15" s="101" customFormat="1" ht="24" customHeight="1">
      <c r="A30" s="83">
        <f t="shared" si="2"/>
        <v>27</v>
      </c>
      <c r="B30" s="83" t="s">
        <v>328</v>
      </c>
      <c r="C30" s="78" t="s">
        <v>222</v>
      </c>
      <c r="D30" s="83" t="s">
        <v>341</v>
      </c>
      <c r="E30" s="80"/>
      <c r="F30" s="80"/>
      <c r="G30" s="80">
        <f t="shared" si="0"/>
        <v>0</v>
      </c>
      <c r="H30" s="88">
        <f t="shared" si="1"/>
        <v>0</v>
      </c>
      <c r="I30" s="81">
        <f>H30-SUMIF('2023.12'!$B:$B,B30,'2023.07'!H:H)</f>
        <v>-177821737.5</v>
      </c>
      <c r="J30" s="149" t="s">
        <v>175</v>
      </c>
      <c r="K30" s="149" t="s">
        <v>110</v>
      </c>
      <c r="L30" s="307"/>
      <c r="M30" s="340"/>
    </row>
    <row r="31" spans="1:15" s="101" customFormat="1" ht="24" customHeight="1">
      <c r="A31" s="83">
        <f t="shared" si="2"/>
        <v>28</v>
      </c>
      <c r="B31" s="83" t="s">
        <v>328</v>
      </c>
      <c r="C31" s="78" t="s">
        <v>222</v>
      </c>
      <c r="D31" s="341" t="s">
        <v>36</v>
      </c>
      <c r="E31" s="80"/>
      <c r="F31" s="80"/>
      <c r="G31" s="80">
        <f t="shared" ref="G31:G32" si="3">+F31*0.1</f>
        <v>0</v>
      </c>
      <c r="H31" s="88">
        <f t="shared" ref="H31:H32" si="4">+F31+G31</f>
        <v>0</v>
      </c>
      <c r="I31" s="81">
        <f>H31-SUMIF('2023.12'!$B:$B,B31,'2023.07'!H:H)</f>
        <v>-177821737.5</v>
      </c>
      <c r="J31" s="149" t="s">
        <v>175</v>
      </c>
      <c r="K31" s="149" t="s">
        <v>110</v>
      </c>
      <c r="L31" s="307"/>
      <c r="M31" s="340"/>
    </row>
    <row r="32" spans="1:15" s="101" customFormat="1" ht="24" customHeight="1">
      <c r="A32" s="17">
        <f t="shared" si="2"/>
        <v>29</v>
      </c>
      <c r="B32" s="17" t="s">
        <v>352</v>
      </c>
      <c r="C32" s="14" t="s">
        <v>222</v>
      </c>
      <c r="D32" s="315" t="s">
        <v>353</v>
      </c>
      <c r="E32" s="18"/>
      <c r="F32" s="18">
        <v>1350000</v>
      </c>
      <c r="G32" s="18">
        <f t="shared" si="3"/>
        <v>135000</v>
      </c>
      <c r="H32" s="107">
        <f t="shared" si="4"/>
        <v>1485000</v>
      </c>
      <c r="I32" s="60">
        <f>H32-SUMIF('2023.12'!$B:$B,B32,'2023.07'!H:H)</f>
        <v>-4768830</v>
      </c>
      <c r="J32" s="194" t="s">
        <v>175</v>
      </c>
      <c r="K32" s="194" t="s">
        <v>110</v>
      </c>
      <c r="L32" s="278">
        <v>45281</v>
      </c>
      <c r="M32" s="236"/>
    </row>
    <row r="33" spans="1:13" s="101" customFormat="1" ht="24" customHeight="1">
      <c r="A33" s="17">
        <f t="shared" si="2"/>
        <v>30</v>
      </c>
      <c r="B33" s="17" t="s">
        <v>352</v>
      </c>
      <c r="C33" s="14" t="s">
        <v>222</v>
      </c>
      <c r="D33" s="315" t="s">
        <v>354</v>
      </c>
      <c r="E33" s="18"/>
      <c r="F33" s="18">
        <v>1000000</v>
      </c>
      <c r="G33" s="18">
        <f t="shared" si="0"/>
        <v>100000</v>
      </c>
      <c r="H33" s="107">
        <f t="shared" si="1"/>
        <v>1100000</v>
      </c>
      <c r="I33" s="60">
        <f>H33-SUMIF('2023.12'!$B:$B,B33,'2023.07'!H:H)</f>
        <v>-5153830</v>
      </c>
      <c r="J33" s="194" t="s">
        <v>175</v>
      </c>
      <c r="K33" s="194" t="s">
        <v>110</v>
      </c>
      <c r="L33" s="278">
        <v>45286</v>
      </c>
      <c r="M33" s="236"/>
    </row>
    <row r="34" spans="1:13" s="101" customFormat="1" ht="24" customHeight="1">
      <c r="A34" s="83">
        <f t="shared" si="2"/>
        <v>31</v>
      </c>
      <c r="B34" s="83" t="s">
        <v>91</v>
      </c>
      <c r="C34" s="78" t="s">
        <v>222</v>
      </c>
      <c r="D34" s="341" t="s">
        <v>324</v>
      </c>
      <c r="E34" s="80"/>
      <c r="F34" s="80"/>
      <c r="G34" s="80">
        <f t="shared" si="0"/>
        <v>0</v>
      </c>
      <c r="H34" s="88">
        <f t="shared" si="1"/>
        <v>0</v>
      </c>
      <c r="I34" s="81">
        <f>H34-SUMIF('2023.12'!$B:$B,B34,'2023.07'!H:H)</f>
        <v>0</v>
      </c>
      <c r="J34" s="149" t="s">
        <v>175</v>
      </c>
      <c r="K34" s="149" t="s">
        <v>110</v>
      </c>
      <c r="L34" s="307"/>
      <c r="M34" s="340"/>
    </row>
    <row r="35" spans="1:13" s="98" customFormat="1" ht="24" customHeight="1">
      <c r="A35" s="17">
        <f t="shared" si="2"/>
        <v>32</v>
      </c>
      <c r="B35" s="17" t="s">
        <v>4</v>
      </c>
      <c r="C35" s="14" t="s">
        <v>222</v>
      </c>
      <c r="D35" s="17" t="s">
        <v>30</v>
      </c>
      <c r="E35" s="124"/>
      <c r="F35" s="18">
        <v>5000000</v>
      </c>
      <c r="G35" s="18">
        <f t="shared" si="0"/>
        <v>500000</v>
      </c>
      <c r="H35" s="107">
        <f t="shared" si="1"/>
        <v>5500000</v>
      </c>
      <c r="I35" s="60">
        <f>H35-SUMIF('2023.12'!$B:$B,B35,'2023.07'!H:H)</f>
        <v>5500000</v>
      </c>
      <c r="J35" s="194" t="s">
        <v>175</v>
      </c>
      <c r="K35" s="194" t="s">
        <v>109</v>
      </c>
      <c r="L35" s="278">
        <v>45290</v>
      </c>
      <c r="M35" s="195"/>
    </row>
    <row r="36" spans="1:13" s="98" customFormat="1" ht="24" customHeight="1">
      <c r="A36" s="17">
        <f t="shared" si="2"/>
        <v>33</v>
      </c>
      <c r="B36" s="17" t="s">
        <v>4</v>
      </c>
      <c r="C36" s="14" t="s">
        <v>151</v>
      </c>
      <c r="D36" s="17"/>
      <c r="E36" s="18">
        <v>500</v>
      </c>
      <c r="F36" s="18">
        <f>500*2500</f>
        <v>1250000</v>
      </c>
      <c r="G36" s="18">
        <f t="shared" si="0"/>
        <v>125000</v>
      </c>
      <c r="H36" s="107">
        <f t="shared" si="1"/>
        <v>1375000</v>
      </c>
      <c r="I36" s="60">
        <f>H36-SUMIF('2023.12'!$B:$B,B36,'2023.07'!H:H)</f>
        <v>1375000</v>
      </c>
      <c r="J36" s="194" t="s">
        <v>175</v>
      </c>
      <c r="K36" s="194" t="s">
        <v>109</v>
      </c>
      <c r="L36" s="278">
        <v>45268</v>
      </c>
      <c r="M36" s="195"/>
    </row>
    <row r="37" spans="1:13" s="98" customFormat="1" ht="24" hidden="1" customHeight="1">
      <c r="A37" s="11"/>
      <c r="B37" s="11"/>
      <c r="C37" s="11"/>
      <c r="D37" s="11"/>
      <c r="E37" s="22"/>
      <c r="F37" s="22"/>
      <c r="G37" s="22">
        <f t="shared" si="0"/>
        <v>0</v>
      </c>
      <c r="H37" s="22"/>
      <c r="I37" s="58">
        <f>H37-SUMIF('2023.12'!$B:$B,B37,'2023.07'!H:H)</f>
        <v>0</v>
      </c>
      <c r="J37" s="199"/>
      <c r="K37" s="199"/>
      <c r="L37" s="279"/>
      <c r="M37" s="131"/>
    </row>
    <row r="38" spans="1:13" s="101" customFormat="1" ht="24" hidden="1" customHeight="1">
      <c r="A38" s="129">
        <f t="shared" si="2"/>
        <v>35</v>
      </c>
      <c r="B38" s="129" t="s">
        <v>37</v>
      </c>
      <c r="C38" s="129" t="s">
        <v>47</v>
      </c>
      <c r="D38" s="129"/>
      <c r="E38" s="130"/>
      <c r="F38" s="130"/>
      <c r="G38" s="130">
        <f t="shared" si="0"/>
        <v>0</v>
      </c>
      <c r="H38" s="130">
        <f>+F38+G38</f>
        <v>0</v>
      </c>
      <c r="I38" s="58">
        <f>H38-SUMIF('2023.12'!$B:$B,B38,'2023.07'!H:H)</f>
        <v>0</v>
      </c>
      <c r="J38" s="199"/>
      <c r="K38" s="199"/>
      <c r="L38" s="279"/>
      <c r="M38" s="138"/>
    </row>
    <row r="39" spans="1:13" s="39" customFormat="1" ht="24" customHeight="1">
      <c r="A39" s="364" t="s">
        <v>18</v>
      </c>
      <c r="B39" s="365"/>
      <c r="C39" s="343"/>
      <c r="D39" s="343"/>
      <c r="E39" s="139">
        <f>SUM(E4:E38)</f>
        <v>540592</v>
      </c>
      <c r="F39" s="139">
        <f>SUM(F4:F38)</f>
        <v>199978984</v>
      </c>
      <c r="G39" s="139">
        <f>SUM(G4:G38)</f>
        <v>19997898.399999999</v>
      </c>
      <c r="H39" s="139">
        <f>SUM(H4:H38)</f>
        <v>219976882.40000001</v>
      </c>
      <c r="I39" s="203">
        <f>H39-'2023.06'!I31</f>
        <v>372566572.39999998</v>
      </c>
      <c r="J39" s="204"/>
      <c r="K39" s="204"/>
      <c r="L39" s="281"/>
      <c r="M39" s="37"/>
    </row>
    <row r="40" spans="1:13">
      <c r="A40" s="40"/>
      <c r="B40" s="40"/>
      <c r="C40" s="40"/>
      <c r="D40" s="40"/>
      <c r="E40" s="205"/>
      <c r="F40" s="205"/>
      <c r="G40" s="205"/>
      <c r="H40" s="205"/>
      <c r="I40" s="205"/>
      <c r="J40" s="205"/>
      <c r="K40" s="205"/>
      <c r="L40" s="205"/>
      <c r="M40" s="40"/>
    </row>
    <row r="41" spans="1:13">
      <c r="A41" s="40"/>
      <c r="B41" s="206" t="s">
        <v>50</v>
      </c>
      <c r="C41" s="40"/>
      <c r="D41" s="40"/>
      <c r="E41" s="205"/>
      <c r="F41" s="207">
        <f>F39-'2022.10'!E20</f>
        <v>49008159</v>
      </c>
      <c r="G41" s="207">
        <f>G39-'2022.10'!F20</f>
        <v>4900815.8999999985</v>
      </c>
      <c r="H41" s="207">
        <f>H39-'2022.10'!G20</f>
        <v>53908974.900000006</v>
      </c>
      <c r="I41" s="207"/>
      <c r="J41" s="207"/>
      <c r="K41" s="207"/>
      <c r="L41" s="207"/>
      <c r="M41" s="208"/>
    </row>
    <row r="42" spans="1:13" ht="15.75" customHeight="1">
      <c r="A42" s="40"/>
      <c r="B42" s="40"/>
      <c r="C42" s="40"/>
      <c r="D42" s="40"/>
      <c r="E42" s="40"/>
      <c r="F42" s="205"/>
      <c r="G42" s="205"/>
      <c r="H42" s="205"/>
      <c r="I42" s="205"/>
      <c r="J42" s="205"/>
      <c r="K42" s="205"/>
      <c r="L42" s="205"/>
      <c r="M42" s="40"/>
    </row>
    <row r="43" spans="1:13">
      <c r="A43" s="214" t="s">
        <v>148</v>
      </c>
      <c r="B43" s="215" t="s">
        <v>149</v>
      </c>
      <c r="C43" s="215" t="s">
        <v>151</v>
      </c>
      <c r="D43" s="215"/>
      <c r="E43" s="216"/>
      <c r="F43" s="217"/>
      <c r="G43" s="22">
        <f t="shared" ref="G43" si="5">+F43*0.1</f>
        <v>0</v>
      </c>
      <c r="H43" s="218">
        <f t="shared" ref="H43:H45" si="6">F43+G43</f>
        <v>0</v>
      </c>
      <c r="I43" s="218">
        <f>H43-'2023.06'!H35</f>
        <v>0</v>
      </c>
      <c r="J43" s="290" t="s">
        <v>183</v>
      </c>
      <c r="K43" s="199" t="s">
        <v>109</v>
      </c>
      <c r="L43" s="282"/>
      <c r="M43" s="285" t="s">
        <v>301</v>
      </c>
    </row>
    <row r="44" spans="1:13">
      <c r="A44" s="214" t="s">
        <v>148</v>
      </c>
      <c r="B44" s="215" t="s">
        <v>150</v>
      </c>
      <c r="C44" s="215" t="s">
        <v>151</v>
      </c>
      <c r="D44" s="215"/>
      <c r="E44" s="216"/>
      <c r="F44" s="36"/>
      <c r="G44" s="22">
        <f>+F44*0.1</f>
        <v>0</v>
      </c>
      <c r="H44" s="218">
        <f t="shared" si="6"/>
        <v>0</v>
      </c>
      <c r="I44" s="218"/>
      <c r="J44" s="290" t="s">
        <v>183</v>
      </c>
      <c r="K44" s="199" t="s">
        <v>109</v>
      </c>
      <c r="L44" s="282"/>
      <c r="M44" s="285" t="s">
        <v>301</v>
      </c>
    </row>
    <row r="45" spans="1:13">
      <c r="A45" s="310" t="s">
        <v>303</v>
      </c>
      <c r="B45" s="311"/>
      <c r="C45" s="311" t="s">
        <v>304</v>
      </c>
      <c r="D45" s="311"/>
      <c r="E45" s="312"/>
      <c r="F45" s="79"/>
      <c r="G45" s="80">
        <f t="shared" ref="G45" si="7">+F45*0.1</f>
        <v>0</v>
      </c>
      <c r="H45" s="313">
        <f t="shared" si="6"/>
        <v>0</v>
      </c>
      <c r="I45" s="313"/>
      <c r="J45" s="168" t="s">
        <v>305</v>
      </c>
      <c r="K45" s="149" t="s">
        <v>306</v>
      </c>
      <c r="L45" s="307"/>
      <c r="M45" s="283"/>
    </row>
  </sheetData>
  <autoFilter ref="A3:M3"/>
  <mergeCells count="2">
    <mergeCell ref="A1:M1"/>
    <mergeCell ref="A39:B3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"/>
  <sheetViews>
    <sheetView showGridLines="0" workbookViewId="0">
      <pane xSplit="2" ySplit="3" topLeftCell="C19" activePane="bottomRight" state="frozen"/>
      <selection pane="topRight" activeCell="C1" sqref="C1"/>
      <selection pane="bottomLeft" activeCell="A2" sqref="A2"/>
      <selection pane="bottomRight" activeCell="L33" sqref="L33"/>
    </sheetView>
  </sheetViews>
  <sheetFormatPr defaultColWidth="9" defaultRowHeight="16.5"/>
  <cols>
    <col min="1" max="1" width="7.5" bestFit="1" customWidth="1"/>
    <col min="2" max="2" width="20" customWidth="1"/>
    <col min="3" max="3" width="29.25" bestFit="1" customWidth="1"/>
    <col min="4" max="4" width="15.375" bestFit="1" customWidth="1"/>
    <col min="5" max="5" width="12.375" style="2" bestFit="1" customWidth="1"/>
    <col min="6" max="6" width="14.875" style="2" bestFit="1" customWidth="1"/>
    <col min="7" max="7" width="13.625" style="2" bestFit="1" customWidth="1"/>
    <col min="8" max="8" width="14.875" style="2" bestFit="1" customWidth="1"/>
    <col min="9" max="9" width="14.875" style="2" customWidth="1"/>
    <col min="10" max="11" width="10.75" style="2" customWidth="1"/>
    <col min="12" max="12" width="19.375" style="2" bestFit="1" customWidth="1"/>
    <col min="13" max="13" width="47.375" customWidth="1"/>
    <col min="14" max="14" width="9.5" style="40" bestFit="1" customWidth="1"/>
    <col min="15" max="15" width="9.25" style="40" bestFit="1" customWidth="1"/>
    <col min="16" max="16384" width="9" style="40"/>
  </cols>
  <sheetData>
    <row r="1" spans="1:13" ht="38.25">
      <c r="A1" s="363" t="s">
        <v>338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63"/>
    </row>
    <row r="2" spans="1:13">
      <c r="M2" s="44" t="s">
        <v>339</v>
      </c>
    </row>
    <row r="3" spans="1:13" s="38" customFormat="1">
      <c r="A3" s="5" t="s">
        <v>12</v>
      </c>
      <c r="B3" s="5" t="s">
        <v>0</v>
      </c>
      <c r="C3" s="5" t="s">
        <v>223</v>
      </c>
      <c r="D3" s="5" t="s">
        <v>231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50</v>
      </c>
      <c r="J3" s="1" t="s">
        <v>179</v>
      </c>
      <c r="K3" s="1" t="s">
        <v>291</v>
      </c>
      <c r="L3" s="1" t="s">
        <v>290</v>
      </c>
      <c r="M3" s="5" t="s">
        <v>23</v>
      </c>
    </row>
    <row r="4" spans="1:13" s="98" customFormat="1" ht="24" customHeight="1">
      <c r="A4" s="78">
        <f>ROW()-3</f>
        <v>1</v>
      </c>
      <c r="B4" s="78" t="s">
        <v>13</v>
      </c>
      <c r="C4" s="78" t="s">
        <v>242</v>
      </c>
      <c r="D4" s="78"/>
      <c r="E4" s="79"/>
      <c r="F4" s="79"/>
      <c r="G4" s="80">
        <f t="shared" ref="G4:G31" si="0">+F4*0.1</f>
        <v>0</v>
      </c>
      <c r="H4" s="79">
        <f t="shared" ref="H4:H35" si="1">+F4+G4</f>
        <v>0</v>
      </c>
      <c r="I4" s="81">
        <f>H4-SUMIF('2023.11'!$B:$B,B4,'2023.07'!H:H)</f>
        <v>0</v>
      </c>
      <c r="J4" s="149" t="s">
        <v>175</v>
      </c>
      <c r="K4" s="149" t="s">
        <v>110</v>
      </c>
      <c r="L4" s="307"/>
      <c r="M4" s="160"/>
    </row>
    <row r="5" spans="1:13" s="98" customFormat="1" ht="24" customHeight="1">
      <c r="A5" s="14">
        <f t="shared" ref="A5:A37" si="2">ROW()-3</f>
        <v>2</v>
      </c>
      <c r="B5" s="14" t="s">
        <v>5</v>
      </c>
      <c r="C5" s="14" t="s">
        <v>34</v>
      </c>
      <c r="D5" s="14"/>
      <c r="E5" s="15">
        <v>4441350</v>
      </c>
      <c r="F5" s="15">
        <v>33154050</v>
      </c>
      <c r="G5" s="18">
        <f t="shared" si="0"/>
        <v>3315405</v>
      </c>
      <c r="H5" s="15">
        <f t="shared" si="1"/>
        <v>36469455</v>
      </c>
      <c r="I5" s="60">
        <f>H5-SUMIF('2023.11'!$B:$B,B5,'2023.07'!H:H)</f>
        <v>-3205125</v>
      </c>
      <c r="J5" s="194" t="s">
        <v>175</v>
      </c>
      <c r="K5" s="194" t="s">
        <v>109</v>
      </c>
      <c r="L5" s="278">
        <v>45260</v>
      </c>
      <c r="M5" s="16"/>
    </row>
    <row r="6" spans="1:13" s="98" customFormat="1" ht="24" customHeight="1">
      <c r="A6" s="14">
        <f t="shared" si="2"/>
        <v>3</v>
      </c>
      <c r="B6" s="14" t="s">
        <v>11</v>
      </c>
      <c r="C6" s="14" t="s">
        <v>222</v>
      </c>
      <c r="D6" s="14" t="s">
        <v>28</v>
      </c>
      <c r="E6" s="15">
        <v>400900</v>
      </c>
      <c r="F6" s="15">
        <v>38146225</v>
      </c>
      <c r="G6" s="18">
        <f t="shared" si="0"/>
        <v>3814622.5</v>
      </c>
      <c r="H6" s="15">
        <f t="shared" si="1"/>
        <v>41960847.5</v>
      </c>
      <c r="I6" s="60">
        <f>H6-SUMIF('2023.11'!$B:$B,B6,'2023.07'!H:H)</f>
        <v>-14390475</v>
      </c>
      <c r="J6" s="272" t="s">
        <v>183</v>
      </c>
      <c r="K6" s="194" t="s">
        <v>109</v>
      </c>
      <c r="L6" s="278">
        <v>45260</v>
      </c>
      <c r="M6" s="292" t="s">
        <v>300</v>
      </c>
    </row>
    <row r="7" spans="1:13" s="98" customFormat="1" ht="24" customHeight="1">
      <c r="A7" s="14">
        <f t="shared" si="2"/>
        <v>4</v>
      </c>
      <c r="B7" s="14" t="s">
        <v>332</v>
      </c>
      <c r="C7" s="14" t="s">
        <v>222</v>
      </c>
      <c r="D7" s="14" t="s">
        <v>234</v>
      </c>
      <c r="E7" s="15">
        <v>132800</v>
      </c>
      <c r="F7" s="15">
        <v>12666350</v>
      </c>
      <c r="G7" s="18">
        <f t="shared" si="0"/>
        <v>1266635</v>
      </c>
      <c r="H7" s="15">
        <f t="shared" si="1"/>
        <v>13932985</v>
      </c>
      <c r="I7" s="60">
        <f>H7-SUMIF('2023.11'!$B:$B,B7,'2023.07'!H:H)</f>
        <v>10840885</v>
      </c>
      <c r="J7" s="194" t="s">
        <v>175</v>
      </c>
      <c r="K7" s="194" t="s">
        <v>109</v>
      </c>
      <c r="L7" s="278">
        <v>45260</v>
      </c>
      <c r="M7" s="292" t="s">
        <v>345</v>
      </c>
    </row>
    <row r="8" spans="1:13" s="98" customFormat="1" ht="24" customHeight="1">
      <c r="A8" s="14">
        <f t="shared" si="2"/>
        <v>5</v>
      </c>
      <c r="B8" s="17" t="s">
        <v>2</v>
      </c>
      <c r="C8" s="14" t="s">
        <v>222</v>
      </c>
      <c r="D8" s="14" t="s">
        <v>34</v>
      </c>
      <c r="E8" s="15">
        <v>44132</v>
      </c>
      <c r="F8" s="15">
        <v>4701540</v>
      </c>
      <c r="G8" s="18">
        <f t="shared" si="0"/>
        <v>470154</v>
      </c>
      <c r="H8" s="15">
        <f t="shared" si="1"/>
        <v>5171694</v>
      </c>
      <c r="I8" s="60">
        <f>H8-SUMIF('2023.11'!$B:$B,B8,'2023.07'!H:H)</f>
        <v>5171694</v>
      </c>
      <c r="J8" s="194" t="s">
        <v>175</v>
      </c>
      <c r="K8" s="194" t="s">
        <v>109</v>
      </c>
      <c r="L8" s="278">
        <v>45260</v>
      </c>
      <c r="M8" s="116"/>
    </row>
    <row r="9" spans="1:13" s="98" customFormat="1" ht="24" customHeight="1">
      <c r="A9" s="12">
        <f t="shared" si="2"/>
        <v>6</v>
      </c>
      <c r="B9" s="12" t="s">
        <v>9</v>
      </c>
      <c r="C9" s="12" t="s">
        <v>28</v>
      </c>
      <c r="D9" s="12"/>
      <c r="E9" s="4"/>
      <c r="F9" s="4"/>
      <c r="G9" s="342">
        <f t="shared" si="0"/>
        <v>0</v>
      </c>
      <c r="H9" s="4">
        <f t="shared" si="1"/>
        <v>0</v>
      </c>
      <c r="I9" s="62">
        <f>H9-SUMIF('2023.11'!$B:$B,B9,'2023.07'!H:H)</f>
        <v>-5400230</v>
      </c>
      <c r="J9" s="244"/>
      <c r="K9" s="244"/>
      <c r="L9" s="280"/>
      <c r="M9" s="32"/>
    </row>
    <row r="10" spans="1:13" s="98" customFormat="1" ht="24" customHeight="1">
      <c r="A10" s="14">
        <f t="shared" si="2"/>
        <v>7</v>
      </c>
      <c r="B10" s="14" t="s">
        <v>1</v>
      </c>
      <c r="C10" s="14" t="s">
        <v>222</v>
      </c>
      <c r="D10" s="14" t="s">
        <v>224</v>
      </c>
      <c r="E10" s="212">
        <v>20205</v>
      </c>
      <c r="F10" s="15">
        <v>4445100</v>
      </c>
      <c r="G10" s="18">
        <f t="shared" si="0"/>
        <v>444510</v>
      </c>
      <c r="H10" s="15">
        <f t="shared" si="1"/>
        <v>4889610</v>
      </c>
      <c r="I10" s="60">
        <f>H10-SUMIF('2023.11'!$B:$B,B10,'2023.07'!H:H)</f>
        <v>2921710</v>
      </c>
      <c r="J10" s="194" t="s">
        <v>175</v>
      </c>
      <c r="K10" s="194" t="s">
        <v>109</v>
      </c>
      <c r="L10" s="278">
        <v>45260</v>
      </c>
      <c r="M10" s="225"/>
    </row>
    <row r="11" spans="1:13" s="98" customFormat="1" ht="24" customHeight="1">
      <c r="A11" s="78">
        <f t="shared" si="2"/>
        <v>8</v>
      </c>
      <c r="B11" s="335" t="s">
        <v>197</v>
      </c>
      <c r="C11" s="335" t="s">
        <v>104</v>
      </c>
      <c r="D11" s="335"/>
      <c r="E11" s="336">
        <v>56690</v>
      </c>
      <c r="F11" s="337">
        <v>1700700</v>
      </c>
      <c r="G11" s="80">
        <f t="shared" si="0"/>
        <v>170070</v>
      </c>
      <c r="H11" s="337">
        <f t="shared" si="1"/>
        <v>1870770</v>
      </c>
      <c r="I11" s="338">
        <f>H11-SUMIF('2023.11'!$B:$B,B11,'2023.07'!H:H)</f>
        <v>-29420930</v>
      </c>
      <c r="J11" s="149" t="s">
        <v>175</v>
      </c>
      <c r="K11" s="149" t="s">
        <v>109</v>
      </c>
      <c r="L11" s="307">
        <v>45260</v>
      </c>
      <c r="M11" s="339"/>
    </row>
    <row r="12" spans="1:13" s="98" customFormat="1" ht="24" customHeight="1">
      <c r="A12" s="14">
        <f t="shared" si="2"/>
        <v>9</v>
      </c>
      <c r="B12" s="14" t="s">
        <v>69</v>
      </c>
      <c r="C12" s="14" t="s">
        <v>46</v>
      </c>
      <c r="D12" s="14"/>
      <c r="E12" s="15">
        <v>17825</v>
      </c>
      <c r="F12" s="15">
        <f>17825*1450</f>
        <v>25846250</v>
      </c>
      <c r="G12" s="18">
        <f t="shared" si="0"/>
        <v>2584625</v>
      </c>
      <c r="H12" s="15">
        <f t="shared" si="1"/>
        <v>28430875</v>
      </c>
      <c r="I12" s="60">
        <f>H12-SUMIF('2023.11'!$B:$B,B12,'2023.07'!H:H)</f>
        <v>22507485</v>
      </c>
      <c r="J12" s="194" t="s">
        <v>175</v>
      </c>
      <c r="K12" s="194" t="s">
        <v>109</v>
      </c>
      <c r="L12" s="278">
        <v>45260</v>
      </c>
      <c r="M12" s="116" t="s">
        <v>286</v>
      </c>
    </row>
    <row r="13" spans="1:13" s="98" customFormat="1" ht="24" customHeight="1">
      <c r="A13" s="14">
        <f t="shared" si="2"/>
        <v>10</v>
      </c>
      <c r="B13" s="14" t="s">
        <v>69</v>
      </c>
      <c r="C13" s="14" t="s">
        <v>265</v>
      </c>
      <c r="D13" s="14"/>
      <c r="E13" s="15">
        <v>12840</v>
      </c>
      <c r="F13" s="15">
        <f>12840*280</f>
        <v>3595200</v>
      </c>
      <c r="G13" s="18">
        <f t="shared" si="0"/>
        <v>359520</v>
      </c>
      <c r="H13" s="15">
        <f t="shared" si="1"/>
        <v>3954720</v>
      </c>
      <c r="I13" s="60">
        <f>H13-SUMIF('2023.11'!$B:$B,B13,'2023.07'!H:H)</f>
        <v>-1968670</v>
      </c>
      <c r="J13" s="194" t="s">
        <v>175</v>
      </c>
      <c r="K13" s="194" t="s">
        <v>109</v>
      </c>
      <c r="L13" s="278">
        <v>45260</v>
      </c>
      <c r="M13" s="292" t="s">
        <v>298</v>
      </c>
    </row>
    <row r="14" spans="1:13" s="98" customFormat="1" ht="24" customHeight="1">
      <c r="A14" s="14">
        <f t="shared" si="2"/>
        <v>11</v>
      </c>
      <c r="B14" s="14" t="s">
        <v>7</v>
      </c>
      <c r="C14" s="14" t="s">
        <v>222</v>
      </c>
      <c r="D14" s="14" t="s">
        <v>225</v>
      </c>
      <c r="E14" s="15">
        <v>5155</v>
      </c>
      <c r="F14" s="15">
        <f>5155*140</f>
        <v>721700</v>
      </c>
      <c r="G14" s="18">
        <f t="shared" si="0"/>
        <v>72170</v>
      </c>
      <c r="H14" s="15">
        <f t="shared" si="1"/>
        <v>793870</v>
      </c>
      <c r="I14" s="60">
        <f>H14-SUMIF('2023.11'!$B:$B,B14,'2023.07'!H:H)</f>
        <v>247940</v>
      </c>
      <c r="J14" s="193" t="s">
        <v>175</v>
      </c>
      <c r="K14" s="193" t="s">
        <v>109</v>
      </c>
      <c r="L14" s="278">
        <v>45260</v>
      </c>
      <c r="M14" s="116"/>
    </row>
    <row r="15" spans="1:13" s="98" customFormat="1" ht="24" customHeight="1">
      <c r="A15" s="14">
        <f t="shared" si="2"/>
        <v>12</v>
      </c>
      <c r="B15" s="14" t="s">
        <v>201</v>
      </c>
      <c r="C15" s="14" t="s">
        <v>92</v>
      </c>
      <c r="D15" s="219" t="s">
        <v>92</v>
      </c>
      <c r="E15" s="15"/>
      <c r="F15" s="15">
        <v>281000</v>
      </c>
      <c r="G15" s="18">
        <f t="shared" si="0"/>
        <v>28100</v>
      </c>
      <c r="H15" s="15">
        <f t="shared" si="1"/>
        <v>309100</v>
      </c>
      <c r="I15" s="60">
        <f>H15-SUMIF('2023.11'!$B:$B,B15,'2023.07'!H:H)</f>
        <v>-9916610</v>
      </c>
      <c r="J15" s="272" t="s">
        <v>183</v>
      </c>
      <c r="K15" s="194" t="s">
        <v>110</v>
      </c>
      <c r="L15" s="278">
        <v>45237</v>
      </c>
      <c r="M15" s="116" t="s">
        <v>288</v>
      </c>
    </row>
    <row r="16" spans="1:13" s="98" customFormat="1" ht="24" customHeight="1">
      <c r="A16" s="14">
        <f t="shared" si="2"/>
        <v>13</v>
      </c>
      <c r="B16" s="14" t="s">
        <v>201</v>
      </c>
      <c r="C16" s="14" t="s">
        <v>92</v>
      </c>
      <c r="D16" s="219" t="s">
        <v>92</v>
      </c>
      <c r="E16" s="15"/>
      <c r="F16" s="15">
        <v>1401800</v>
      </c>
      <c r="G16" s="18">
        <f t="shared" si="0"/>
        <v>140180</v>
      </c>
      <c r="H16" s="15">
        <f t="shared" si="1"/>
        <v>1541980</v>
      </c>
      <c r="I16" s="60">
        <f>H16-SUMIF('2023.11'!$B:$B,B16,'2023.07'!H:H)</f>
        <v>-8683730</v>
      </c>
      <c r="J16" s="272" t="s">
        <v>183</v>
      </c>
      <c r="K16" s="194" t="s">
        <v>110</v>
      </c>
      <c r="L16" s="278">
        <v>45253</v>
      </c>
      <c r="M16" s="116" t="s">
        <v>288</v>
      </c>
    </row>
    <row r="17" spans="1:15" s="98" customFormat="1" ht="24" customHeight="1">
      <c r="A17" s="14">
        <f t="shared" si="2"/>
        <v>14</v>
      </c>
      <c r="B17" s="14" t="s">
        <v>201</v>
      </c>
      <c r="C17" s="14" t="s">
        <v>39</v>
      </c>
      <c r="D17" s="14"/>
      <c r="E17" s="15">
        <v>3390</v>
      </c>
      <c r="F17" s="15">
        <f>3390*1650</f>
        <v>5593500</v>
      </c>
      <c r="G17" s="18">
        <f t="shared" si="0"/>
        <v>559350</v>
      </c>
      <c r="H17" s="15">
        <f t="shared" si="1"/>
        <v>6152850</v>
      </c>
      <c r="I17" s="60">
        <f>H17-SUMIF('2023.11'!$B:$B,B17,'2023.07'!H:H)</f>
        <v>-4072860</v>
      </c>
      <c r="J17" s="272" t="s">
        <v>183</v>
      </c>
      <c r="K17" s="194" t="s">
        <v>110</v>
      </c>
      <c r="L17" s="278">
        <v>45244</v>
      </c>
      <c r="M17" s="116" t="s">
        <v>288</v>
      </c>
    </row>
    <row r="18" spans="1:15" s="98" customFormat="1" ht="24" customHeight="1">
      <c r="A18" s="78">
        <f t="shared" si="2"/>
        <v>15</v>
      </c>
      <c r="B18" s="78" t="s">
        <v>201</v>
      </c>
      <c r="C18" s="78" t="s">
        <v>92</v>
      </c>
      <c r="D18" s="78"/>
      <c r="E18" s="79"/>
      <c r="F18" s="79"/>
      <c r="G18" s="80">
        <f t="shared" si="0"/>
        <v>0</v>
      </c>
      <c r="H18" s="79">
        <f t="shared" si="1"/>
        <v>0</v>
      </c>
      <c r="I18" s="81">
        <f>H18-SUMIF('2023.11'!$B:$B,B18,'2023.07'!H:H)</f>
        <v>-10225710</v>
      </c>
      <c r="J18" s="168" t="s">
        <v>183</v>
      </c>
      <c r="K18" s="149" t="s">
        <v>110</v>
      </c>
      <c r="L18" s="307"/>
      <c r="M18" s="122" t="s">
        <v>288</v>
      </c>
    </row>
    <row r="19" spans="1:15" s="98" customFormat="1" ht="24" customHeight="1">
      <c r="A19" s="14">
        <f t="shared" si="2"/>
        <v>16</v>
      </c>
      <c r="B19" s="14" t="s">
        <v>201</v>
      </c>
      <c r="C19" s="14" t="s">
        <v>39</v>
      </c>
      <c r="D19" s="14"/>
      <c r="E19" s="15">
        <v>2922</v>
      </c>
      <c r="F19" s="15">
        <f>E19*1650</f>
        <v>4821300</v>
      </c>
      <c r="G19" s="18">
        <f t="shared" si="0"/>
        <v>482130</v>
      </c>
      <c r="H19" s="15">
        <f t="shared" si="1"/>
        <v>5303430</v>
      </c>
      <c r="I19" s="60">
        <f>H19-SUMIF('2023.11'!$B:$B,B19,'2023.07'!H:H)</f>
        <v>-4922280</v>
      </c>
      <c r="J19" s="272" t="s">
        <v>183</v>
      </c>
      <c r="K19" s="194" t="s">
        <v>110</v>
      </c>
      <c r="L19" s="278">
        <v>45259</v>
      </c>
      <c r="M19" s="116" t="s">
        <v>288</v>
      </c>
    </row>
    <row r="20" spans="1:15" s="98" customFormat="1" ht="24" customHeight="1">
      <c r="A20" s="78">
        <f t="shared" si="2"/>
        <v>17</v>
      </c>
      <c r="B20" s="78" t="s">
        <v>201</v>
      </c>
      <c r="C20" s="78" t="s">
        <v>204</v>
      </c>
      <c r="D20" s="78"/>
      <c r="E20" s="79"/>
      <c r="F20" s="79"/>
      <c r="G20" s="80">
        <f t="shared" si="0"/>
        <v>0</v>
      </c>
      <c r="H20" s="79">
        <f t="shared" si="1"/>
        <v>0</v>
      </c>
      <c r="I20" s="81">
        <f>H20-SUMIF('2023.11'!$B:$B,B20,'2023.07'!H:H)</f>
        <v>-10225710</v>
      </c>
      <c r="J20" s="168" t="s">
        <v>183</v>
      </c>
      <c r="K20" s="149" t="s">
        <v>110</v>
      </c>
      <c r="L20" s="307"/>
      <c r="M20" s="122" t="s">
        <v>288</v>
      </c>
    </row>
    <row r="21" spans="1:15" s="98" customFormat="1" ht="24" customHeight="1">
      <c r="A21" s="17">
        <f t="shared" si="2"/>
        <v>18</v>
      </c>
      <c r="B21" s="17" t="s">
        <v>75</v>
      </c>
      <c r="C21" s="17" t="s">
        <v>57</v>
      </c>
      <c r="D21" s="19"/>
      <c r="E21" s="107">
        <v>5340</v>
      </c>
      <c r="F21" s="107">
        <f>5340*250</f>
        <v>1335000</v>
      </c>
      <c r="G21" s="18">
        <f t="shared" ref="G21:G37" si="3">+F21*0.1</f>
        <v>133500</v>
      </c>
      <c r="H21" s="107">
        <f t="shared" si="1"/>
        <v>1468500</v>
      </c>
      <c r="I21" s="293">
        <f>H21-SUMIF('2023.11'!$B:$B,B21,'2023.07'!H:H)</f>
        <v>178750</v>
      </c>
      <c r="J21" s="272" t="s">
        <v>183</v>
      </c>
      <c r="K21" s="287" t="s">
        <v>110</v>
      </c>
      <c r="L21" s="288"/>
      <c r="M21" s="171"/>
      <c r="N21" s="102"/>
      <c r="O21" s="100"/>
    </row>
    <row r="22" spans="1:15" s="98" customFormat="1" ht="24" customHeight="1">
      <c r="A22" s="83">
        <f t="shared" si="2"/>
        <v>19</v>
      </c>
      <c r="B22" s="83" t="s">
        <v>75</v>
      </c>
      <c r="C22" s="83" t="s">
        <v>57</v>
      </c>
      <c r="D22" s="83"/>
      <c r="E22" s="88"/>
      <c r="F22" s="88"/>
      <c r="G22" s="80">
        <f t="shared" si="3"/>
        <v>0</v>
      </c>
      <c r="H22" s="88">
        <f t="shared" si="1"/>
        <v>0</v>
      </c>
      <c r="I22" s="81">
        <f>H22-SUMIF('2023.11'!$B:$B,B22,'2023.07'!H:H)</f>
        <v>-1289750</v>
      </c>
      <c r="J22" s="168" t="s">
        <v>183</v>
      </c>
      <c r="K22" s="149" t="s">
        <v>110</v>
      </c>
      <c r="L22" s="307"/>
      <c r="M22" s="188"/>
      <c r="N22" s="102"/>
      <c r="O22" s="100"/>
    </row>
    <row r="23" spans="1:15" s="98" customFormat="1" ht="24" customHeight="1">
      <c r="A23" s="14">
        <f t="shared" si="2"/>
        <v>20</v>
      </c>
      <c r="B23" s="14" t="s">
        <v>267</v>
      </c>
      <c r="C23" s="213" t="s">
        <v>309</v>
      </c>
      <c r="D23" s="14" t="s">
        <v>335</v>
      </c>
      <c r="E23" s="15">
        <v>895</v>
      </c>
      <c r="F23" s="15">
        <v>1253000</v>
      </c>
      <c r="G23" s="18">
        <f>F23*0.1</f>
        <v>125300</v>
      </c>
      <c r="H23" s="15">
        <f t="shared" si="1"/>
        <v>1378300</v>
      </c>
      <c r="I23" s="60">
        <f>H23-SUMIF('2023.11'!$B:$B,B23,'2023.07'!H:H)</f>
        <v>-9680825</v>
      </c>
      <c r="J23" s="193" t="s">
        <v>175</v>
      </c>
      <c r="K23" s="194" t="s">
        <v>110</v>
      </c>
      <c r="L23" s="278">
        <v>45232</v>
      </c>
      <c r="M23" s="292"/>
    </row>
    <row r="24" spans="1:15" s="98" customFormat="1" ht="24" customHeight="1">
      <c r="A24" s="14">
        <f t="shared" si="2"/>
        <v>21</v>
      </c>
      <c r="B24" s="14" t="s">
        <v>267</v>
      </c>
      <c r="C24" s="213" t="s">
        <v>308</v>
      </c>
      <c r="D24" s="14" t="s">
        <v>336</v>
      </c>
      <c r="E24" s="15">
        <v>2820</v>
      </c>
      <c r="F24" s="15">
        <v>1410000</v>
      </c>
      <c r="G24" s="18">
        <f>F24*0.1</f>
        <v>141000</v>
      </c>
      <c r="H24" s="15">
        <f t="shared" si="1"/>
        <v>1551000</v>
      </c>
      <c r="I24" s="60">
        <f>H24-SUMIF('2023.11'!$B:$B,B24,'2023.07'!H:H)</f>
        <v>-9508125</v>
      </c>
      <c r="J24" s="193" t="s">
        <v>175</v>
      </c>
      <c r="K24" s="194" t="s">
        <v>110</v>
      </c>
      <c r="L24" s="278">
        <v>45232</v>
      </c>
      <c r="M24" s="292"/>
    </row>
    <row r="25" spans="1:15" s="98" customFormat="1" ht="24" customHeight="1">
      <c r="A25" s="78">
        <f t="shared" si="2"/>
        <v>22</v>
      </c>
      <c r="B25" s="78" t="s">
        <v>267</v>
      </c>
      <c r="C25" s="112" t="s">
        <v>310</v>
      </c>
      <c r="D25" s="78" t="s">
        <v>337</v>
      </c>
      <c r="E25" s="79"/>
      <c r="F25" s="79"/>
      <c r="G25" s="80">
        <f t="shared" si="0"/>
        <v>0</v>
      </c>
      <c r="H25" s="79">
        <f t="shared" si="1"/>
        <v>0</v>
      </c>
      <c r="I25" s="81">
        <f>H25-SUMIF('2023.11'!$B:$B,B25,'2023.07'!H:H)</f>
        <v>-11059125</v>
      </c>
      <c r="J25" s="306" t="s">
        <v>175</v>
      </c>
      <c r="K25" s="149" t="s">
        <v>110</v>
      </c>
      <c r="L25" s="307"/>
      <c r="M25" s="308"/>
    </row>
    <row r="26" spans="1:15" s="98" customFormat="1" ht="24" customHeight="1">
      <c r="A26" s="14">
        <f t="shared" si="2"/>
        <v>23</v>
      </c>
      <c r="B26" s="14" t="s">
        <v>268</v>
      </c>
      <c r="C26" s="14" t="s">
        <v>222</v>
      </c>
      <c r="D26" s="14" t="s">
        <v>269</v>
      </c>
      <c r="E26" s="15">
        <v>12550</v>
      </c>
      <c r="F26" s="15">
        <v>4707550</v>
      </c>
      <c r="G26" s="18">
        <f t="shared" si="0"/>
        <v>470755</v>
      </c>
      <c r="H26" s="15">
        <f t="shared" si="1"/>
        <v>5178305</v>
      </c>
      <c r="I26" s="60">
        <f>H26-SUMIF('2023.11'!$B:$B,B26,'2023.07'!H:H)</f>
        <v>5178305</v>
      </c>
      <c r="J26" s="193" t="s">
        <v>175</v>
      </c>
      <c r="K26" s="194" t="s">
        <v>109</v>
      </c>
      <c r="L26" s="278">
        <v>45260</v>
      </c>
      <c r="M26" s="294" t="s">
        <v>299</v>
      </c>
    </row>
    <row r="27" spans="1:15" s="277" customFormat="1" ht="24" customHeight="1">
      <c r="A27" s="17">
        <f t="shared" si="2"/>
        <v>24</v>
      </c>
      <c r="B27" s="17" t="s">
        <v>328</v>
      </c>
      <c r="C27" s="316" t="s">
        <v>222</v>
      </c>
      <c r="D27" s="17" t="s">
        <v>340</v>
      </c>
      <c r="E27" s="18"/>
      <c r="F27" s="18">
        <v>484091</v>
      </c>
      <c r="G27" s="18">
        <f t="shared" si="3"/>
        <v>48409.100000000006</v>
      </c>
      <c r="H27" s="18">
        <f t="shared" si="1"/>
        <v>532500.1</v>
      </c>
      <c r="I27" s="317">
        <f>H27-SUMIF('2023.11'!$B:$B,B27,'2023.07'!H:H)</f>
        <v>-177289237.40000001</v>
      </c>
      <c r="J27" s="318" t="s">
        <v>175</v>
      </c>
      <c r="K27" s="318" t="s">
        <v>110</v>
      </c>
      <c r="L27" s="319">
        <v>45233</v>
      </c>
      <c r="M27" s="195" t="s">
        <v>331</v>
      </c>
    </row>
    <row r="28" spans="1:15" s="277" customFormat="1" ht="24" customHeight="1">
      <c r="A28" s="17">
        <f t="shared" si="2"/>
        <v>25</v>
      </c>
      <c r="B28" s="17" t="s">
        <v>328</v>
      </c>
      <c r="C28" s="316" t="s">
        <v>222</v>
      </c>
      <c r="D28" s="17" t="s">
        <v>340</v>
      </c>
      <c r="E28" s="18">
        <v>960</v>
      </c>
      <c r="F28" s="18">
        <f>960*450</f>
        <v>432000</v>
      </c>
      <c r="G28" s="18">
        <f t="shared" si="0"/>
        <v>43200</v>
      </c>
      <c r="H28" s="18">
        <f t="shared" si="1"/>
        <v>475200</v>
      </c>
      <c r="I28" s="317">
        <f>H28-SUMIF('2023.11'!$B:$B,B28,'2023.07'!H:H)</f>
        <v>-177346537.5</v>
      </c>
      <c r="J28" s="318" t="s">
        <v>175</v>
      </c>
      <c r="K28" s="318" t="s">
        <v>110</v>
      </c>
      <c r="L28" s="319">
        <v>45238</v>
      </c>
      <c r="M28" s="195" t="s">
        <v>331</v>
      </c>
    </row>
    <row r="29" spans="1:15" s="277" customFormat="1" ht="24" customHeight="1">
      <c r="A29" s="17">
        <f t="shared" si="2"/>
        <v>26</v>
      </c>
      <c r="B29" s="17" t="s">
        <v>328</v>
      </c>
      <c r="C29" s="316" t="s">
        <v>222</v>
      </c>
      <c r="D29" s="17" t="s">
        <v>340</v>
      </c>
      <c r="E29" s="18">
        <v>1725</v>
      </c>
      <c r="F29" s="18">
        <v>776250</v>
      </c>
      <c r="G29" s="18">
        <f t="shared" si="0"/>
        <v>77625</v>
      </c>
      <c r="H29" s="18">
        <f t="shared" si="1"/>
        <v>853875</v>
      </c>
      <c r="I29" s="317">
        <f>H29-SUMIF('2023.11'!$B:$B,B29,'2023.07'!H:H)</f>
        <v>-176967862.5</v>
      </c>
      <c r="J29" s="318" t="s">
        <v>175</v>
      </c>
      <c r="K29" s="318" t="s">
        <v>110</v>
      </c>
      <c r="L29" s="319">
        <v>45245</v>
      </c>
      <c r="M29" s="195" t="s">
        <v>331</v>
      </c>
    </row>
    <row r="30" spans="1:15" s="101" customFormat="1" ht="24" customHeight="1">
      <c r="A30" s="17">
        <f t="shared" si="2"/>
        <v>27</v>
      </c>
      <c r="B30" s="17" t="s">
        <v>342</v>
      </c>
      <c r="C30" s="14" t="s">
        <v>222</v>
      </c>
      <c r="D30" s="17" t="s">
        <v>341</v>
      </c>
      <c r="E30" s="18"/>
      <c r="F30" s="18">
        <v>1400000</v>
      </c>
      <c r="G30" s="18">
        <f t="shared" si="0"/>
        <v>140000</v>
      </c>
      <c r="H30" s="107">
        <f t="shared" si="1"/>
        <v>1540000</v>
      </c>
      <c r="I30" s="60">
        <f>H30-SUMIF('2023.11'!$B:$B,B30,'2023.07'!H:H)</f>
        <v>-176281737.5</v>
      </c>
      <c r="J30" s="194" t="s">
        <v>175</v>
      </c>
      <c r="K30" s="194" t="s">
        <v>110</v>
      </c>
      <c r="L30" s="278">
        <v>45247</v>
      </c>
      <c r="M30" s="236"/>
    </row>
    <row r="31" spans="1:15" s="101" customFormat="1" ht="24" customHeight="1">
      <c r="A31" s="17">
        <f t="shared" si="2"/>
        <v>28</v>
      </c>
      <c r="B31" s="17" t="s">
        <v>328</v>
      </c>
      <c r="C31" s="14" t="s">
        <v>222</v>
      </c>
      <c r="D31" s="315" t="s">
        <v>36</v>
      </c>
      <c r="E31" s="18">
        <v>1695</v>
      </c>
      <c r="F31" s="18">
        <f>1695*450</f>
        <v>762750</v>
      </c>
      <c r="G31" s="18">
        <f t="shared" si="0"/>
        <v>76275</v>
      </c>
      <c r="H31" s="107">
        <f t="shared" ref="H31" si="4">+F31+G31</f>
        <v>839025</v>
      </c>
      <c r="I31" s="60">
        <f>H31-SUMIF('2023.11'!$B:$B,B31,'2023.07'!H:H)</f>
        <v>-176982712.5</v>
      </c>
      <c r="J31" s="194" t="s">
        <v>175</v>
      </c>
      <c r="K31" s="194" t="s">
        <v>110</v>
      </c>
      <c r="L31" s="278">
        <v>45251</v>
      </c>
      <c r="M31" s="236"/>
    </row>
    <row r="32" spans="1:15" s="101" customFormat="1" ht="24" customHeight="1">
      <c r="A32" s="17">
        <f t="shared" si="2"/>
        <v>29</v>
      </c>
      <c r="B32" s="17" t="s">
        <v>343</v>
      </c>
      <c r="C32" s="14" t="s">
        <v>222</v>
      </c>
      <c r="D32" s="315" t="s">
        <v>344</v>
      </c>
      <c r="E32" s="18">
        <v>1405</v>
      </c>
      <c r="F32" s="18">
        <v>632250</v>
      </c>
      <c r="G32" s="18">
        <f t="shared" si="3"/>
        <v>63225</v>
      </c>
      <c r="H32" s="107">
        <f t="shared" si="1"/>
        <v>695475</v>
      </c>
      <c r="I32" s="60">
        <f>H32-SUMIF('2023.11'!$B:$B,B32,'2023.07'!H:H)</f>
        <v>-177126262.5</v>
      </c>
      <c r="J32" s="194" t="s">
        <v>175</v>
      </c>
      <c r="K32" s="194" t="s">
        <v>110</v>
      </c>
      <c r="L32" s="278">
        <v>45260</v>
      </c>
      <c r="M32" s="236"/>
    </row>
    <row r="33" spans="1:13" s="101" customFormat="1" ht="24" customHeight="1">
      <c r="A33" s="83">
        <f t="shared" si="2"/>
        <v>30</v>
      </c>
      <c r="B33" s="83" t="s">
        <v>91</v>
      </c>
      <c r="C33" s="78" t="s">
        <v>222</v>
      </c>
      <c r="D33" s="341" t="s">
        <v>324</v>
      </c>
      <c r="E33" s="80"/>
      <c r="F33" s="80"/>
      <c r="G33" s="80">
        <f t="shared" si="3"/>
        <v>0</v>
      </c>
      <c r="H33" s="88">
        <f t="shared" si="1"/>
        <v>0</v>
      </c>
      <c r="I33" s="81">
        <f>H33-SUMIF('2023.11'!$B:$B,B33,'2023.07'!H:H)</f>
        <v>-6253830</v>
      </c>
      <c r="J33" s="149" t="s">
        <v>175</v>
      </c>
      <c r="K33" s="149" t="s">
        <v>110</v>
      </c>
      <c r="L33" s="307"/>
      <c r="M33" s="340"/>
    </row>
    <row r="34" spans="1:13" s="98" customFormat="1" ht="24" customHeight="1">
      <c r="A34" s="17">
        <f t="shared" si="2"/>
        <v>31</v>
      </c>
      <c r="B34" s="17" t="s">
        <v>4</v>
      </c>
      <c r="C34" s="14" t="s">
        <v>222</v>
      </c>
      <c r="D34" s="17" t="s">
        <v>30</v>
      </c>
      <c r="E34" s="124"/>
      <c r="F34" s="18">
        <v>5000000</v>
      </c>
      <c r="G34" s="18">
        <f t="shared" si="3"/>
        <v>500000</v>
      </c>
      <c r="H34" s="107">
        <f t="shared" si="1"/>
        <v>5500000</v>
      </c>
      <c r="I34" s="60">
        <f>H34-SUMIF('2023.11'!$B:$B,B34,'2023.07'!H:H)</f>
        <v>5500000</v>
      </c>
      <c r="J34" s="194" t="s">
        <v>175</v>
      </c>
      <c r="K34" s="194" t="s">
        <v>109</v>
      </c>
      <c r="L34" s="278">
        <v>45260</v>
      </c>
      <c r="M34" s="195"/>
    </row>
    <row r="35" spans="1:13" s="98" customFormat="1" ht="24" customHeight="1">
      <c r="A35" s="83">
        <f t="shared" si="2"/>
        <v>32</v>
      </c>
      <c r="B35" s="83" t="s">
        <v>4</v>
      </c>
      <c r="C35" s="78" t="s">
        <v>151</v>
      </c>
      <c r="D35" s="83"/>
      <c r="E35" s="80"/>
      <c r="F35" s="80"/>
      <c r="G35" s="80">
        <f t="shared" si="3"/>
        <v>0</v>
      </c>
      <c r="H35" s="88">
        <f t="shared" si="1"/>
        <v>0</v>
      </c>
      <c r="I35" s="81">
        <f>H35-SUMIF('2023.11'!$B:$B,B35,'2023.07'!H:H)</f>
        <v>0</v>
      </c>
      <c r="J35" s="149" t="s">
        <v>175</v>
      </c>
      <c r="K35" s="149" t="s">
        <v>109</v>
      </c>
      <c r="L35" s="307"/>
      <c r="M35" s="309"/>
    </row>
    <row r="36" spans="1:13" s="98" customFormat="1" ht="24" hidden="1" customHeight="1">
      <c r="A36" s="11"/>
      <c r="B36" s="11"/>
      <c r="C36" s="11"/>
      <c r="D36" s="11"/>
      <c r="E36" s="22"/>
      <c r="F36" s="22"/>
      <c r="G36" s="22">
        <f t="shared" si="3"/>
        <v>0</v>
      </c>
      <c r="H36" s="22"/>
      <c r="I36" s="58">
        <f>H36-SUMIF('2023.11'!$B:$B,B36,'2023.07'!H:H)</f>
        <v>0</v>
      </c>
      <c r="J36" s="199"/>
      <c r="K36" s="199"/>
      <c r="L36" s="279"/>
      <c r="M36" s="131"/>
    </row>
    <row r="37" spans="1:13" s="101" customFormat="1" ht="24" hidden="1" customHeight="1">
      <c r="A37" s="129">
        <f t="shared" si="2"/>
        <v>34</v>
      </c>
      <c r="B37" s="129" t="s">
        <v>37</v>
      </c>
      <c r="C37" s="129" t="s">
        <v>47</v>
      </c>
      <c r="D37" s="129"/>
      <c r="E37" s="130"/>
      <c r="F37" s="130"/>
      <c r="G37" s="130">
        <f t="shared" si="3"/>
        <v>0</v>
      </c>
      <c r="H37" s="130">
        <f>+F37+G37</f>
        <v>0</v>
      </c>
      <c r="I37" s="58">
        <f>H37-SUMIF('2023.11'!$B:$B,B37,'2023.07'!H:H)</f>
        <v>-600000</v>
      </c>
      <c r="J37" s="199"/>
      <c r="K37" s="199"/>
      <c r="L37" s="279"/>
      <c r="M37" s="138"/>
    </row>
    <row r="38" spans="1:13" s="39" customFormat="1" ht="24" customHeight="1">
      <c r="A38" s="364" t="s">
        <v>18</v>
      </c>
      <c r="B38" s="365"/>
      <c r="C38" s="333"/>
      <c r="D38" s="333"/>
      <c r="E38" s="139">
        <f>SUM(E4:E37)</f>
        <v>5165599</v>
      </c>
      <c r="F38" s="139">
        <f>SUM(F4:F37)</f>
        <v>155267606</v>
      </c>
      <c r="G38" s="139">
        <f>SUM(G4:G37)</f>
        <v>15526760.6</v>
      </c>
      <c r="H38" s="139">
        <f>SUM(H4:H37)</f>
        <v>170794366.59999999</v>
      </c>
      <c r="I38" s="203">
        <f>H38-'2023.06'!I31</f>
        <v>323384056.60000002</v>
      </c>
      <c r="J38" s="204"/>
      <c r="K38" s="204"/>
      <c r="L38" s="281"/>
      <c r="M38" s="37"/>
    </row>
    <row r="39" spans="1:13">
      <c r="A39" s="40"/>
      <c r="B39" s="40"/>
      <c r="C39" s="40"/>
      <c r="D39" s="40"/>
      <c r="E39" s="205"/>
      <c r="F39" s="205"/>
      <c r="G39" s="205"/>
      <c r="H39" s="205"/>
      <c r="I39" s="205"/>
      <c r="J39" s="205"/>
      <c r="K39" s="205"/>
      <c r="L39" s="205"/>
      <c r="M39" s="40"/>
    </row>
    <row r="40" spans="1:13">
      <c r="A40" s="40"/>
      <c r="B40" s="206" t="s">
        <v>50</v>
      </c>
      <c r="C40" s="40"/>
      <c r="D40" s="40"/>
      <c r="E40" s="205"/>
      <c r="F40" s="207">
        <f>F38-'2022.10'!E20</f>
        <v>4296781</v>
      </c>
      <c r="G40" s="207">
        <f>G38-'2022.10'!F20</f>
        <v>429678.09999999963</v>
      </c>
      <c r="H40" s="207">
        <f>H38-'2022.10'!G20</f>
        <v>4726459.099999994</v>
      </c>
      <c r="I40" s="207"/>
      <c r="J40" s="207"/>
      <c r="K40" s="207"/>
      <c r="L40" s="207"/>
      <c r="M40" s="208"/>
    </row>
    <row r="41" spans="1:13" ht="15.75" customHeight="1">
      <c r="A41" s="40"/>
      <c r="B41" s="40"/>
      <c r="C41" s="40"/>
      <c r="D41" s="40"/>
      <c r="E41" s="40"/>
      <c r="F41" s="205"/>
      <c r="G41" s="205"/>
      <c r="H41" s="205"/>
      <c r="I41" s="205"/>
      <c r="J41" s="205"/>
      <c r="K41" s="205"/>
      <c r="L41" s="205"/>
      <c r="M41" s="40"/>
    </row>
    <row r="42" spans="1:13">
      <c r="A42" s="214" t="s">
        <v>148</v>
      </c>
      <c r="B42" s="215" t="s">
        <v>149</v>
      </c>
      <c r="C42" s="215" t="s">
        <v>151</v>
      </c>
      <c r="D42" s="215"/>
      <c r="E42" s="216"/>
      <c r="F42" s="217"/>
      <c r="G42" s="22">
        <f t="shared" ref="G42" si="5">+F42*0.1</f>
        <v>0</v>
      </c>
      <c r="H42" s="218">
        <f t="shared" ref="H42:H44" si="6">F42+G42</f>
        <v>0</v>
      </c>
      <c r="I42" s="218">
        <f>H42-'2023.06'!H35</f>
        <v>0</v>
      </c>
      <c r="J42" s="290" t="s">
        <v>183</v>
      </c>
      <c r="K42" s="199" t="s">
        <v>109</v>
      </c>
      <c r="L42" s="282"/>
      <c r="M42" s="285" t="s">
        <v>301</v>
      </c>
    </row>
    <row r="43" spans="1:13">
      <c r="A43" s="214" t="s">
        <v>148</v>
      </c>
      <c r="B43" s="215" t="s">
        <v>150</v>
      </c>
      <c r="C43" s="215" t="s">
        <v>151</v>
      </c>
      <c r="D43" s="215"/>
      <c r="E43" s="216"/>
      <c r="F43" s="36"/>
      <c r="G43" s="22">
        <f>+F43*0.1</f>
        <v>0</v>
      </c>
      <c r="H43" s="218">
        <f t="shared" si="6"/>
        <v>0</v>
      </c>
      <c r="I43" s="218"/>
      <c r="J43" s="290" t="s">
        <v>183</v>
      </c>
      <c r="K43" s="199" t="s">
        <v>109</v>
      </c>
      <c r="L43" s="282"/>
      <c r="M43" s="285" t="s">
        <v>301</v>
      </c>
    </row>
    <row r="44" spans="1:13">
      <c r="A44" s="310" t="s">
        <v>303</v>
      </c>
      <c r="B44" s="311"/>
      <c r="C44" s="311" t="s">
        <v>304</v>
      </c>
      <c r="D44" s="311"/>
      <c r="E44" s="312"/>
      <c r="F44" s="79"/>
      <c r="G44" s="80">
        <f t="shared" ref="G44" si="7">+F44*0.1</f>
        <v>0</v>
      </c>
      <c r="H44" s="313">
        <f t="shared" si="6"/>
        <v>0</v>
      </c>
      <c r="I44" s="313"/>
      <c r="J44" s="168" t="s">
        <v>305</v>
      </c>
      <c r="K44" s="149" t="s">
        <v>306</v>
      </c>
      <c r="L44" s="307"/>
      <c r="M44" s="283"/>
    </row>
  </sheetData>
  <autoFilter ref="A3:M3"/>
  <mergeCells count="2">
    <mergeCell ref="A1:M1"/>
    <mergeCell ref="A38:B3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8"/>
  <sheetViews>
    <sheetView showGridLines="0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9" defaultRowHeight="16.5"/>
  <cols>
    <col min="1" max="1" width="7.5" bestFit="1" customWidth="1"/>
    <col min="2" max="2" width="20" customWidth="1"/>
    <col min="3" max="3" width="29.25" bestFit="1" customWidth="1"/>
    <col min="4" max="4" width="15.375" bestFit="1" customWidth="1"/>
    <col min="5" max="5" width="12.375" style="2" bestFit="1" customWidth="1"/>
    <col min="6" max="6" width="14.875" style="2" bestFit="1" customWidth="1"/>
    <col min="7" max="7" width="13.625" style="2" bestFit="1" customWidth="1"/>
    <col min="8" max="8" width="14.875" style="2" bestFit="1" customWidth="1"/>
    <col min="9" max="9" width="14.875" style="2" customWidth="1"/>
    <col min="10" max="11" width="10.75" style="2" customWidth="1"/>
    <col min="12" max="12" width="19.375" style="2" bestFit="1" customWidth="1"/>
    <col min="13" max="13" width="47.375" customWidth="1"/>
    <col min="14" max="14" width="9.5" style="40" bestFit="1" customWidth="1"/>
    <col min="15" max="15" width="9.25" style="40" bestFit="1" customWidth="1"/>
    <col min="16" max="16384" width="9" style="40"/>
  </cols>
  <sheetData>
    <row r="1" spans="1:13" ht="38.25">
      <c r="A1" s="363" t="s">
        <v>334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63"/>
    </row>
    <row r="2" spans="1:13">
      <c r="M2" s="44" t="s">
        <v>333</v>
      </c>
    </row>
    <row r="3" spans="1:13" s="38" customFormat="1">
      <c r="A3" s="5" t="s">
        <v>12</v>
      </c>
      <c r="B3" s="5" t="s">
        <v>0</v>
      </c>
      <c r="C3" s="5" t="s">
        <v>223</v>
      </c>
      <c r="D3" s="5" t="s">
        <v>231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50</v>
      </c>
      <c r="J3" s="1" t="s">
        <v>179</v>
      </c>
      <c r="K3" s="1" t="s">
        <v>291</v>
      </c>
      <c r="L3" s="1" t="s">
        <v>290</v>
      </c>
      <c r="M3" s="5" t="s">
        <v>23</v>
      </c>
    </row>
    <row r="4" spans="1:13" s="98" customFormat="1" ht="24" customHeight="1">
      <c r="A4" s="14">
        <f>ROW()-3</f>
        <v>1</v>
      </c>
      <c r="B4" s="14" t="s">
        <v>13</v>
      </c>
      <c r="C4" s="14" t="s">
        <v>242</v>
      </c>
      <c r="D4" s="14"/>
      <c r="E4" s="15">
        <v>990</v>
      </c>
      <c r="F4" s="15">
        <f>990*200</f>
        <v>198000</v>
      </c>
      <c r="G4" s="18">
        <f t="shared" ref="G4:G38" si="0">+F4*0.1</f>
        <v>19800</v>
      </c>
      <c r="H4" s="15">
        <f t="shared" ref="H4:H36" si="1">+F4+G4</f>
        <v>217800</v>
      </c>
      <c r="I4" s="60">
        <f>H4-SUMIF('2023.10'!$B:$B,B4,'2023.07'!H:H)</f>
        <v>217800</v>
      </c>
      <c r="J4" s="194" t="s">
        <v>175</v>
      </c>
      <c r="K4" s="194" t="s">
        <v>110</v>
      </c>
      <c r="L4" s="278">
        <v>45219</v>
      </c>
      <c r="M4" s="172"/>
    </row>
    <row r="5" spans="1:13" s="98" customFormat="1" ht="24" customHeight="1">
      <c r="A5" s="14">
        <f t="shared" ref="A5:A38" si="2">ROW()-3</f>
        <v>2</v>
      </c>
      <c r="B5" s="14" t="s">
        <v>5</v>
      </c>
      <c r="C5" s="14" t="s">
        <v>34</v>
      </c>
      <c r="D5" s="14"/>
      <c r="E5" s="15">
        <v>459920</v>
      </c>
      <c r="F5" s="15">
        <v>34519300</v>
      </c>
      <c r="G5" s="18">
        <f t="shared" si="0"/>
        <v>3451930</v>
      </c>
      <c r="H5" s="15">
        <f t="shared" si="1"/>
        <v>37971230</v>
      </c>
      <c r="I5" s="60">
        <f>H5-SUMIF('2023.10'!$B:$B,B5,'2023.07'!H:H)</f>
        <v>-1703350</v>
      </c>
      <c r="J5" s="194" t="s">
        <v>175</v>
      </c>
      <c r="K5" s="194" t="s">
        <v>109</v>
      </c>
      <c r="L5" s="278">
        <v>45230</v>
      </c>
      <c r="M5" s="16"/>
    </row>
    <row r="6" spans="1:13" s="98" customFormat="1" ht="24" customHeight="1">
      <c r="A6" s="14">
        <f t="shared" si="2"/>
        <v>3</v>
      </c>
      <c r="B6" s="14" t="s">
        <v>11</v>
      </c>
      <c r="C6" s="14" t="s">
        <v>222</v>
      </c>
      <c r="D6" s="14" t="s">
        <v>28</v>
      </c>
      <c r="E6" s="15"/>
      <c r="F6" s="15">
        <v>40700100</v>
      </c>
      <c r="G6" s="18">
        <f t="shared" si="0"/>
        <v>4070010</v>
      </c>
      <c r="H6" s="15">
        <f t="shared" si="1"/>
        <v>44770110</v>
      </c>
      <c r="I6" s="60">
        <f>H6-SUMIF('2023.10'!$B:$B,B6,'2023.07'!H:H)</f>
        <v>-11581212.5</v>
      </c>
      <c r="J6" s="272" t="s">
        <v>183</v>
      </c>
      <c r="K6" s="194" t="s">
        <v>109</v>
      </c>
      <c r="L6" s="278">
        <v>45230</v>
      </c>
      <c r="M6" s="292" t="s">
        <v>300</v>
      </c>
    </row>
    <row r="7" spans="1:13" s="98" customFormat="1" ht="24" customHeight="1">
      <c r="A7" s="14">
        <f t="shared" si="2"/>
        <v>4</v>
      </c>
      <c r="B7" s="14" t="s">
        <v>332</v>
      </c>
      <c r="C7" s="14" t="s">
        <v>222</v>
      </c>
      <c r="D7" s="14" t="s">
        <v>234</v>
      </c>
      <c r="E7" s="15">
        <v>138490</v>
      </c>
      <c r="F7" s="15">
        <v>13206900</v>
      </c>
      <c r="G7" s="18">
        <f t="shared" si="0"/>
        <v>1320690</v>
      </c>
      <c r="H7" s="15">
        <f t="shared" si="1"/>
        <v>14527590</v>
      </c>
      <c r="I7" s="60">
        <f>H7-SUMIF('2023.10'!$B:$B,B7,'2023.07'!H:H)</f>
        <v>11435490</v>
      </c>
      <c r="J7" s="194" t="s">
        <v>175</v>
      </c>
      <c r="K7" s="194" t="s">
        <v>109</v>
      </c>
      <c r="L7" s="278">
        <v>45230</v>
      </c>
      <c r="M7" s="292"/>
    </row>
    <row r="8" spans="1:13" s="98" customFormat="1" ht="24" customHeight="1">
      <c r="A8" s="14">
        <f t="shared" si="2"/>
        <v>5</v>
      </c>
      <c r="B8" s="17" t="s">
        <v>2</v>
      </c>
      <c r="C8" s="14" t="s">
        <v>222</v>
      </c>
      <c r="D8" s="14" t="s">
        <v>34</v>
      </c>
      <c r="E8" s="15"/>
      <c r="F8" s="15">
        <v>2891900</v>
      </c>
      <c r="G8" s="18">
        <f t="shared" si="0"/>
        <v>289190</v>
      </c>
      <c r="H8" s="15">
        <f t="shared" si="1"/>
        <v>3181090</v>
      </c>
      <c r="I8" s="60">
        <f>H8-SUMIF('2023.10'!$B:$B,B8,'2023.07'!H:H)</f>
        <v>3181090</v>
      </c>
      <c r="J8" s="194" t="s">
        <v>175</v>
      </c>
      <c r="K8" s="194" t="s">
        <v>109</v>
      </c>
      <c r="L8" s="278">
        <v>45230</v>
      </c>
      <c r="M8" s="116"/>
    </row>
    <row r="9" spans="1:13" s="98" customFormat="1" ht="24" customHeight="1">
      <c r="A9" s="129">
        <f t="shared" si="2"/>
        <v>6</v>
      </c>
      <c r="B9" s="129" t="s">
        <v>9</v>
      </c>
      <c r="C9" s="129" t="s">
        <v>28</v>
      </c>
      <c r="D9" s="129"/>
      <c r="E9" s="130"/>
      <c r="F9" s="130"/>
      <c r="G9" s="130">
        <f t="shared" si="0"/>
        <v>0</v>
      </c>
      <c r="H9" s="130">
        <f t="shared" si="1"/>
        <v>0</v>
      </c>
      <c r="I9" s="322">
        <f>H9-SUMIF('2023.10'!$B:$B,B9,'2023.07'!H:H)</f>
        <v>-5400230</v>
      </c>
      <c r="J9" s="323"/>
      <c r="K9" s="323"/>
      <c r="L9" s="324"/>
      <c r="M9" s="138"/>
    </row>
    <row r="10" spans="1:13" s="98" customFormat="1" ht="24" customHeight="1">
      <c r="A10" s="14">
        <f t="shared" si="2"/>
        <v>7</v>
      </c>
      <c r="B10" s="14" t="s">
        <v>1</v>
      </c>
      <c r="C10" s="14" t="s">
        <v>222</v>
      </c>
      <c r="D10" s="14" t="s">
        <v>224</v>
      </c>
      <c r="E10" s="212">
        <v>25035</v>
      </c>
      <c r="F10" s="15">
        <v>5507700</v>
      </c>
      <c r="G10" s="18">
        <f t="shared" si="0"/>
        <v>550770</v>
      </c>
      <c r="H10" s="15">
        <f t="shared" si="1"/>
        <v>6058470</v>
      </c>
      <c r="I10" s="60">
        <f>H10-SUMIF('2023.10'!$B:$B,B10,'2023.07'!H:H)</f>
        <v>4090570</v>
      </c>
      <c r="J10" s="194" t="s">
        <v>175</v>
      </c>
      <c r="K10" s="194" t="s">
        <v>109</v>
      </c>
      <c r="L10" s="278">
        <v>45230</v>
      </c>
      <c r="M10" s="225"/>
    </row>
    <row r="11" spans="1:13" s="98" customFormat="1" ht="24" customHeight="1">
      <c r="A11" s="248">
        <f t="shared" si="2"/>
        <v>8</v>
      </c>
      <c r="B11" s="327" t="s">
        <v>197</v>
      </c>
      <c r="C11" s="327" t="s">
        <v>104</v>
      </c>
      <c r="D11" s="327"/>
      <c r="E11" s="328">
        <v>60770</v>
      </c>
      <c r="F11" s="329">
        <v>1823100</v>
      </c>
      <c r="G11" s="329">
        <f t="shared" si="0"/>
        <v>182310</v>
      </c>
      <c r="H11" s="329">
        <f t="shared" si="1"/>
        <v>2005410</v>
      </c>
      <c r="I11" s="330">
        <f>H11-SUMIF('2023.10'!$B:$B,B11,'2023.07'!H:H)</f>
        <v>-29286290</v>
      </c>
      <c r="J11" s="240" t="s">
        <v>175</v>
      </c>
      <c r="K11" s="240" t="s">
        <v>109</v>
      </c>
      <c r="L11" s="331">
        <v>45230</v>
      </c>
      <c r="M11" s="332"/>
    </row>
    <row r="12" spans="1:13" s="98" customFormat="1" ht="24" customHeight="1">
      <c r="A12" s="14">
        <f t="shared" si="2"/>
        <v>9</v>
      </c>
      <c r="B12" s="14" t="s">
        <v>69</v>
      </c>
      <c r="C12" s="14" t="s">
        <v>46</v>
      </c>
      <c r="D12" s="14"/>
      <c r="E12" s="15">
        <v>20902</v>
      </c>
      <c r="F12" s="15">
        <v>29262800</v>
      </c>
      <c r="G12" s="18">
        <f t="shared" si="0"/>
        <v>2926280</v>
      </c>
      <c r="H12" s="15">
        <f t="shared" si="1"/>
        <v>32189080</v>
      </c>
      <c r="I12" s="60">
        <f>H12-SUMIF('2023.10'!$B:$B,B12,'2023.07'!H:H)</f>
        <v>26265690</v>
      </c>
      <c r="J12" s="194" t="s">
        <v>175</v>
      </c>
      <c r="K12" s="194" t="s">
        <v>109</v>
      </c>
      <c r="L12" s="278">
        <v>45230</v>
      </c>
      <c r="M12" s="116" t="s">
        <v>286</v>
      </c>
    </row>
    <row r="13" spans="1:13" s="98" customFormat="1" ht="24" customHeight="1">
      <c r="A13" s="14">
        <f t="shared" si="2"/>
        <v>10</v>
      </c>
      <c r="B13" s="14" t="s">
        <v>69</v>
      </c>
      <c r="C13" s="14" t="s">
        <v>265</v>
      </c>
      <c r="D13" s="14"/>
      <c r="E13" s="15">
        <v>14865</v>
      </c>
      <c r="F13" s="15">
        <v>4310850</v>
      </c>
      <c r="G13" s="18">
        <f t="shared" si="0"/>
        <v>431085</v>
      </c>
      <c r="H13" s="15">
        <f t="shared" si="1"/>
        <v>4741935</v>
      </c>
      <c r="I13" s="60">
        <f>H13-SUMIF('2023.10'!$B:$B,B13,'2023.07'!H:H)</f>
        <v>-1181455</v>
      </c>
      <c r="J13" s="194" t="s">
        <v>175</v>
      </c>
      <c r="K13" s="194" t="s">
        <v>109</v>
      </c>
      <c r="L13" s="278">
        <v>45230</v>
      </c>
      <c r="M13" s="292" t="s">
        <v>298</v>
      </c>
    </row>
    <row r="14" spans="1:13" s="98" customFormat="1" ht="24" customHeight="1">
      <c r="A14" s="14">
        <f t="shared" si="2"/>
        <v>11</v>
      </c>
      <c r="B14" s="14" t="s">
        <v>7</v>
      </c>
      <c r="C14" s="14" t="s">
        <v>222</v>
      </c>
      <c r="D14" s="14" t="s">
        <v>225</v>
      </c>
      <c r="E14" s="15">
        <v>3320</v>
      </c>
      <c r="F14" s="15">
        <f>3320*140</f>
        <v>464800</v>
      </c>
      <c r="G14" s="18">
        <f t="shared" si="0"/>
        <v>46480</v>
      </c>
      <c r="H14" s="15">
        <f t="shared" si="1"/>
        <v>511280</v>
      </c>
      <c r="I14" s="60">
        <f>H14-SUMIF('2023.10'!$B:$B,B14,'2023.07'!H:H)</f>
        <v>-34650</v>
      </c>
      <c r="J14" s="193" t="s">
        <v>175</v>
      </c>
      <c r="K14" s="193" t="s">
        <v>109</v>
      </c>
      <c r="L14" s="278">
        <v>45230</v>
      </c>
      <c r="M14" s="116"/>
    </row>
    <row r="15" spans="1:13" s="98" customFormat="1" ht="24" customHeight="1">
      <c r="A15" s="14">
        <f t="shared" si="2"/>
        <v>12</v>
      </c>
      <c r="B15" s="14" t="s">
        <v>201</v>
      </c>
      <c r="C15" s="14" t="s">
        <v>92</v>
      </c>
      <c r="D15" s="219" t="s">
        <v>92</v>
      </c>
      <c r="E15" s="15"/>
      <c r="F15" s="15">
        <v>1951000</v>
      </c>
      <c r="G15" s="18">
        <f t="shared" si="0"/>
        <v>195100</v>
      </c>
      <c r="H15" s="15">
        <f t="shared" si="1"/>
        <v>2146100</v>
      </c>
      <c r="I15" s="60">
        <f>H15-SUMIF('2023.10'!$B:$B,B15,'2023.07'!H:H)</f>
        <v>-8079610</v>
      </c>
      <c r="J15" s="272" t="s">
        <v>183</v>
      </c>
      <c r="K15" s="194" t="s">
        <v>110</v>
      </c>
      <c r="L15" s="278">
        <v>45208</v>
      </c>
      <c r="M15" s="116" t="s">
        <v>288</v>
      </c>
    </row>
    <row r="16" spans="1:13" s="98" customFormat="1" ht="24" customHeight="1">
      <c r="A16" s="14">
        <f t="shared" si="2"/>
        <v>13</v>
      </c>
      <c r="B16" s="14" t="s">
        <v>201</v>
      </c>
      <c r="C16" s="14" t="s">
        <v>92</v>
      </c>
      <c r="D16" s="219" t="s">
        <v>92</v>
      </c>
      <c r="E16" s="15"/>
      <c r="F16" s="15">
        <v>455750</v>
      </c>
      <c r="G16" s="18">
        <f t="shared" si="0"/>
        <v>45575</v>
      </c>
      <c r="H16" s="15">
        <f t="shared" si="1"/>
        <v>501325</v>
      </c>
      <c r="I16" s="60">
        <f>H16-SUMIF('2023.10'!$B:$B,B16,'2023.07'!H:H)</f>
        <v>-9724385</v>
      </c>
      <c r="J16" s="272" t="s">
        <v>183</v>
      </c>
      <c r="K16" s="194" t="s">
        <v>110</v>
      </c>
      <c r="L16" s="278">
        <v>45223</v>
      </c>
      <c r="M16" s="116" t="s">
        <v>288</v>
      </c>
    </row>
    <row r="17" spans="1:15" s="98" customFormat="1" ht="24" customHeight="1">
      <c r="A17" s="14">
        <f t="shared" si="2"/>
        <v>14</v>
      </c>
      <c r="B17" s="14" t="s">
        <v>201</v>
      </c>
      <c r="C17" s="14" t="s">
        <v>39</v>
      </c>
      <c r="D17" s="14"/>
      <c r="E17" s="15">
        <v>2970</v>
      </c>
      <c r="F17" s="15">
        <f>2970*1600</f>
        <v>4752000</v>
      </c>
      <c r="G17" s="18">
        <f t="shared" si="0"/>
        <v>475200</v>
      </c>
      <c r="H17" s="15">
        <f t="shared" si="1"/>
        <v>5227200</v>
      </c>
      <c r="I17" s="60">
        <f>H17-SUMIF('2023.10'!$B:$B,B17,'2023.07'!H:H)</f>
        <v>-4998510</v>
      </c>
      <c r="J17" s="272" t="s">
        <v>183</v>
      </c>
      <c r="K17" s="194" t="s">
        <v>110</v>
      </c>
      <c r="L17" s="278">
        <v>45208</v>
      </c>
      <c r="M17" s="116" t="s">
        <v>288</v>
      </c>
    </row>
    <row r="18" spans="1:15" s="98" customFormat="1" ht="24" customHeight="1">
      <c r="A18" s="14">
        <f t="shared" si="2"/>
        <v>15</v>
      </c>
      <c r="B18" s="14" t="s">
        <v>201</v>
      </c>
      <c r="C18" s="14" t="s">
        <v>92</v>
      </c>
      <c r="D18" s="14"/>
      <c r="E18" s="15"/>
      <c r="F18" s="15">
        <v>6793700</v>
      </c>
      <c r="G18" s="18">
        <f t="shared" si="0"/>
        <v>679370</v>
      </c>
      <c r="H18" s="15">
        <f t="shared" si="1"/>
        <v>7473070</v>
      </c>
      <c r="I18" s="60">
        <f>H18-SUMIF('2023.10'!$B:$B,B18,'2023.07'!H:H)</f>
        <v>-2752640</v>
      </c>
      <c r="J18" s="272" t="s">
        <v>183</v>
      </c>
      <c r="K18" s="194" t="s">
        <v>110</v>
      </c>
      <c r="L18" s="278">
        <v>45225</v>
      </c>
      <c r="M18" s="136" t="s">
        <v>288</v>
      </c>
    </row>
    <row r="19" spans="1:15" s="98" customFormat="1" ht="24" customHeight="1">
      <c r="A19" s="14">
        <f t="shared" si="2"/>
        <v>16</v>
      </c>
      <c r="B19" s="14" t="s">
        <v>201</v>
      </c>
      <c r="C19" s="14" t="s">
        <v>39</v>
      </c>
      <c r="D19" s="14"/>
      <c r="E19" s="15">
        <v>3796</v>
      </c>
      <c r="F19" s="15">
        <f>3760*1650</f>
        <v>6204000</v>
      </c>
      <c r="G19" s="18">
        <f t="shared" si="0"/>
        <v>620400</v>
      </c>
      <c r="H19" s="15">
        <f t="shared" si="1"/>
        <v>6824400</v>
      </c>
      <c r="I19" s="60">
        <f>H19-SUMIF('2023.10'!$B:$B,B19,'2023.07'!H:H)</f>
        <v>-3401310</v>
      </c>
      <c r="J19" s="272" t="s">
        <v>183</v>
      </c>
      <c r="K19" s="194" t="s">
        <v>110</v>
      </c>
      <c r="L19" s="278">
        <v>45225</v>
      </c>
      <c r="M19" s="136" t="s">
        <v>288</v>
      </c>
    </row>
    <row r="20" spans="1:15" s="98" customFormat="1" ht="24" customHeight="1">
      <c r="A20" s="8">
        <f t="shared" si="2"/>
        <v>17</v>
      </c>
      <c r="B20" s="8" t="s">
        <v>201</v>
      </c>
      <c r="C20" s="8" t="s">
        <v>204</v>
      </c>
      <c r="D20" s="8"/>
      <c r="E20" s="36"/>
      <c r="F20" s="36"/>
      <c r="G20" s="22">
        <f t="shared" si="0"/>
        <v>0</v>
      </c>
      <c r="H20" s="36">
        <f t="shared" si="1"/>
        <v>0</v>
      </c>
      <c r="I20" s="58">
        <f>H20-SUMIF('2023.10'!$B:$B,B20,'2023.07'!H:H)</f>
        <v>-10225710</v>
      </c>
      <c r="J20" s="204" t="s">
        <v>183</v>
      </c>
      <c r="K20" s="199" t="s">
        <v>110</v>
      </c>
      <c r="L20" s="279"/>
      <c r="M20" s="136" t="s">
        <v>288</v>
      </c>
    </row>
    <row r="21" spans="1:15" s="98" customFormat="1" ht="24" customHeight="1">
      <c r="A21" s="17">
        <f t="shared" si="2"/>
        <v>18</v>
      </c>
      <c r="B21" s="17" t="s">
        <v>75</v>
      </c>
      <c r="C21" s="17" t="s">
        <v>57</v>
      </c>
      <c r="D21" s="19"/>
      <c r="E21" s="107">
        <v>4420</v>
      </c>
      <c r="F21" s="107">
        <f>4420*250</f>
        <v>1105000</v>
      </c>
      <c r="G21" s="18">
        <f t="shared" si="0"/>
        <v>110500</v>
      </c>
      <c r="H21" s="107">
        <f t="shared" si="1"/>
        <v>1215500</v>
      </c>
      <c r="I21" s="293">
        <f>H21-SUMIF('2023.10'!$B:$B,B21,'2023.07'!H:H)</f>
        <v>-74250</v>
      </c>
      <c r="J21" s="272" t="s">
        <v>183</v>
      </c>
      <c r="K21" s="287" t="s">
        <v>110</v>
      </c>
      <c r="L21" s="288">
        <v>45222</v>
      </c>
      <c r="M21" s="171"/>
      <c r="N21" s="102"/>
      <c r="O21" s="100"/>
    </row>
    <row r="22" spans="1:15" s="98" customFormat="1" ht="24" customHeight="1">
      <c r="A22" s="11">
        <f t="shared" si="2"/>
        <v>19</v>
      </c>
      <c r="B22" s="11" t="s">
        <v>75</v>
      </c>
      <c r="C22" s="11" t="s">
        <v>57</v>
      </c>
      <c r="D22" s="11"/>
      <c r="E22" s="132"/>
      <c r="F22" s="132"/>
      <c r="G22" s="22">
        <f t="shared" si="0"/>
        <v>0</v>
      </c>
      <c r="H22" s="132">
        <f t="shared" si="1"/>
        <v>0</v>
      </c>
      <c r="I22" s="58">
        <f>H22-SUMIF('2023.10'!$B:$B,B22,'2023.07'!H:H)</f>
        <v>-1289750</v>
      </c>
      <c r="J22" s="204" t="s">
        <v>183</v>
      </c>
      <c r="K22" s="199" t="s">
        <v>110</v>
      </c>
      <c r="L22" s="279"/>
      <c r="M22" s="201"/>
      <c r="N22" s="102"/>
      <c r="O22" s="100"/>
    </row>
    <row r="23" spans="1:15" s="98" customFormat="1" ht="24" customHeight="1">
      <c r="A23" s="8">
        <f t="shared" si="2"/>
        <v>20</v>
      </c>
      <c r="B23" s="8" t="s">
        <v>267</v>
      </c>
      <c r="C23" s="133" t="s">
        <v>309</v>
      </c>
      <c r="D23" s="8"/>
      <c r="E23" s="36"/>
      <c r="F23" s="36"/>
      <c r="G23" s="22">
        <f t="shared" si="0"/>
        <v>0</v>
      </c>
      <c r="H23" s="36">
        <f t="shared" si="1"/>
        <v>0</v>
      </c>
      <c r="I23" s="58">
        <f>H23-SUMIF('2023.10'!$B:$B,B23,'2023.07'!H:H)</f>
        <v>-11059125</v>
      </c>
      <c r="J23" s="325" t="s">
        <v>175</v>
      </c>
      <c r="K23" s="199" t="s">
        <v>110</v>
      </c>
      <c r="L23" s="279"/>
      <c r="M23" s="321" t="s">
        <v>297</v>
      </c>
    </row>
    <row r="24" spans="1:15" s="98" customFormat="1" ht="24" customHeight="1">
      <c r="A24" s="8">
        <f t="shared" si="2"/>
        <v>21</v>
      </c>
      <c r="B24" s="8" t="s">
        <v>267</v>
      </c>
      <c r="C24" s="133" t="s">
        <v>310</v>
      </c>
      <c r="D24" s="8"/>
      <c r="E24" s="36"/>
      <c r="F24" s="36"/>
      <c r="G24" s="22">
        <f t="shared" si="0"/>
        <v>0</v>
      </c>
      <c r="H24" s="36">
        <f t="shared" si="1"/>
        <v>0</v>
      </c>
      <c r="I24" s="58">
        <f>H24-SUMIF('2023.10'!$B:$B,B24,'2023.07'!H:H)</f>
        <v>-11059125</v>
      </c>
      <c r="J24" s="325" t="s">
        <v>175</v>
      </c>
      <c r="K24" s="199" t="s">
        <v>110</v>
      </c>
      <c r="L24" s="279"/>
      <c r="M24" s="321" t="s">
        <v>311</v>
      </c>
    </row>
    <row r="25" spans="1:15" s="98" customFormat="1" ht="24" customHeight="1">
      <c r="A25" s="14">
        <f t="shared" si="2"/>
        <v>22</v>
      </c>
      <c r="B25" s="14" t="s">
        <v>267</v>
      </c>
      <c r="C25" s="213" t="s">
        <v>309</v>
      </c>
      <c r="D25" s="14" t="s">
        <v>335</v>
      </c>
      <c r="E25" s="15">
        <v>975</v>
      </c>
      <c r="F25" s="15">
        <f>975*1450</f>
        <v>1413750</v>
      </c>
      <c r="G25" s="18">
        <f t="shared" si="0"/>
        <v>141375</v>
      </c>
      <c r="H25" s="15">
        <f t="shared" si="1"/>
        <v>1555125</v>
      </c>
      <c r="I25" s="60">
        <f>H25-SUMIF('2023.10'!$B:$B,B25,'2023.07'!H:H)</f>
        <v>-9504000</v>
      </c>
      <c r="J25" s="193" t="s">
        <v>175</v>
      </c>
      <c r="K25" s="194" t="s">
        <v>110</v>
      </c>
      <c r="L25" s="278">
        <v>45208</v>
      </c>
      <c r="M25" s="292"/>
    </row>
    <row r="26" spans="1:15" s="98" customFormat="1" ht="24" customHeight="1">
      <c r="A26" s="14">
        <f t="shared" si="2"/>
        <v>23</v>
      </c>
      <c r="B26" s="14" t="s">
        <v>267</v>
      </c>
      <c r="C26" s="213" t="s">
        <v>308</v>
      </c>
      <c r="D26" s="14" t="s">
        <v>336</v>
      </c>
      <c r="E26" s="15">
        <v>3530</v>
      </c>
      <c r="F26" s="15">
        <f>3530*520</f>
        <v>1835600</v>
      </c>
      <c r="G26" s="18">
        <f t="shared" si="0"/>
        <v>183560</v>
      </c>
      <c r="H26" s="15">
        <f t="shared" si="1"/>
        <v>2019160</v>
      </c>
      <c r="I26" s="60">
        <f>H26-SUMIF('2023.10'!$B:$B,B26,'2023.07'!H:H)</f>
        <v>-9039965</v>
      </c>
      <c r="J26" s="193" t="s">
        <v>175</v>
      </c>
      <c r="K26" s="194" t="s">
        <v>110</v>
      </c>
      <c r="L26" s="278">
        <v>45208</v>
      </c>
      <c r="M26" s="292"/>
    </row>
    <row r="27" spans="1:15" s="98" customFormat="1" ht="24" customHeight="1">
      <c r="A27" s="14">
        <f t="shared" si="2"/>
        <v>24</v>
      </c>
      <c r="B27" s="14" t="s">
        <v>267</v>
      </c>
      <c r="C27" s="213" t="s">
        <v>310</v>
      </c>
      <c r="D27" s="14" t="s">
        <v>337</v>
      </c>
      <c r="E27" s="15">
        <v>858</v>
      </c>
      <c r="F27" s="15">
        <f>858*2250</f>
        <v>1930500</v>
      </c>
      <c r="G27" s="18">
        <f t="shared" si="0"/>
        <v>193050</v>
      </c>
      <c r="H27" s="15">
        <f t="shared" si="1"/>
        <v>2123550</v>
      </c>
      <c r="I27" s="60">
        <f>H27-SUMIF('2023.10'!$B:$B,B27,'2023.07'!H:H)</f>
        <v>-8935575</v>
      </c>
      <c r="J27" s="193" t="s">
        <v>175</v>
      </c>
      <c r="K27" s="194" t="s">
        <v>110</v>
      </c>
      <c r="L27" s="278">
        <v>45208</v>
      </c>
      <c r="M27" s="292"/>
    </row>
    <row r="28" spans="1:15" s="98" customFormat="1" ht="24" customHeight="1">
      <c r="A28" s="14">
        <f t="shared" si="2"/>
        <v>25</v>
      </c>
      <c r="B28" s="14" t="s">
        <v>268</v>
      </c>
      <c r="C28" s="14" t="s">
        <v>222</v>
      </c>
      <c r="D28" s="14" t="s">
        <v>269</v>
      </c>
      <c r="E28" s="15">
        <v>19150</v>
      </c>
      <c r="F28" s="15">
        <v>7817650</v>
      </c>
      <c r="G28" s="18">
        <f t="shared" si="0"/>
        <v>781765</v>
      </c>
      <c r="H28" s="15">
        <f t="shared" si="1"/>
        <v>8599415</v>
      </c>
      <c r="I28" s="60">
        <f>H28-SUMIF('2023.10'!$B:$B,B28,'2023.07'!H:H)</f>
        <v>3099415</v>
      </c>
      <c r="J28" s="193" t="s">
        <v>175</v>
      </c>
      <c r="K28" s="194" t="s">
        <v>109</v>
      </c>
      <c r="L28" s="278">
        <v>45230</v>
      </c>
      <c r="M28" s="294" t="s">
        <v>299</v>
      </c>
    </row>
    <row r="29" spans="1:15" s="277" customFormat="1" ht="24" customHeight="1">
      <c r="A29" s="17">
        <f t="shared" si="2"/>
        <v>26</v>
      </c>
      <c r="B29" s="17" t="s">
        <v>328</v>
      </c>
      <c r="C29" s="316" t="s">
        <v>222</v>
      </c>
      <c r="D29" s="17" t="s">
        <v>330</v>
      </c>
      <c r="E29" s="18">
        <v>3570</v>
      </c>
      <c r="F29" s="18">
        <f>3570*600</f>
        <v>2142000</v>
      </c>
      <c r="G29" s="18">
        <f t="shared" ref="G29:G30" si="3">+F29*0.1</f>
        <v>214200</v>
      </c>
      <c r="H29" s="18">
        <f t="shared" ref="H29:H30" si="4">+F29+G29</f>
        <v>2356200</v>
      </c>
      <c r="I29" s="317">
        <f>H29-SUMIF('2023.10'!$B:$B,B29,'2023.07'!H:H)</f>
        <v>-169965537.5</v>
      </c>
      <c r="J29" s="318" t="s">
        <v>175</v>
      </c>
      <c r="K29" s="318" t="s">
        <v>110</v>
      </c>
      <c r="L29" s="319">
        <v>45205</v>
      </c>
      <c r="M29" s="195" t="s">
        <v>331</v>
      </c>
    </row>
    <row r="30" spans="1:15" s="277" customFormat="1" ht="24" customHeight="1">
      <c r="A30" s="17">
        <f t="shared" si="2"/>
        <v>27</v>
      </c>
      <c r="B30" s="17" t="s">
        <v>328</v>
      </c>
      <c r="C30" s="316" t="s">
        <v>222</v>
      </c>
      <c r="D30" s="17" t="s">
        <v>330</v>
      </c>
      <c r="E30" s="18">
        <v>2020</v>
      </c>
      <c r="F30" s="18">
        <f>2020*600</f>
        <v>1212000</v>
      </c>
      <c r="G30" s="18">
        <f t="shared" si="3"/>
        <v>121200</v>
      </c>
      <c r="H30" s="18">
        <f t="shared" si="4"/>
        <v>1333200</v>
      </c>
      <c r="I30" s="317">
        <f>H30-SUMIF('2023.10'!$B:$B,B30,'2023.07'!H:H)</f>
        <v>-170988537.5</v>
      </c>
      <c r="J30" s="318" t="s">
        <v>175</v>
      </c>
      <c r="K30" s="318" t="s">
        <v>110</v>
      </c>
      <c r="L30" s="319">
        <v>45210</v>
      </c>
      <c r="M30" s="195" t="s">
        <v>331</v>
      </c>
    </row>
    <row r="31" spans="1:15" s="277" customFormat="1" ht="24" customHeight="1">
      <c r="A31" s="17">
        <f t="shared" si="2"/>
        <v>28</v>
      </c>
      <c r="B31" s="17" t="s">
        <v>328</v>
      </c>
      <c r="C31" s="316" t="s">
        <v>222</v>
      </c>
      <c r="D31" s="17" t="s">
        <v>330</v>
      </c>
      <c r="E31" s="18">
        <v>2150</v>
      </c>
      <c r="F31" s="18">
        <v>1290000</v>
      </c>
      <c r="G31" s="18">
        <f t="shared" si="0"/>
        <v>129000</v>
      </c>
      <c r="H31" s="18">
        <f t="shared" si="1"/>
        <v>1419000</v>
      </c>
      <c r="I31" s="317">
        <f>H31-SUMIF('2023.10'!$B:$B,B31,'2023.07'!H:H)</f>
        <v>-170902737.5</v>
      </c>
      <c r="J31" s="318" t="s">
        <v>175</v>
      </c>
      <c r="K31" s="318" t="s">
        <v>110</v>
      </c>
      <c r="L31" s="319">
        <v>45218</v>
      </c>
      <c r="M31" s="195" t="s">
        <v>331</v>
      </c>
    </row>
    <row r="32" spans="1:15" s="101" customFormat="1" ht="24" customHeight="1">
      <c r="A32" s="11">
        <f t="shared" si="2"/>
        <v>29</v>
      </c>
      <c r="B32" s="11" t="s">
        <v>91</v>
      </c>
      <c r="C32" s="8" t="s">
        <v>222</v>
      </c>
      <c r="D32" s="11" t="s">
        <v>134</v>
      </c>
      <c r="E32" s="22"/>
      <c r="F32" s="22"/>
      <c r="G32" s="22">
        <f t="shared" si="0"/>
        <v>0</v>
      </c>
      <c r="H32" s="132">
        <f t="shared" si="1"/>
        <v>0</v>
      </c>
      <c r="I32" s="58">
        <f>H32-SUMIF('2023.10'!$B:$B,B32,'2023.07'!H:H)</f>
        <v>-6253830</v>
      </c>
      <c r="J32" s="199" t="s">
        <v>175</v>
      </c>
      <c r="K32" s="199" t="s">
        <v>110</v>
      </c>
      <c r="L32" s="279"/>
      <c r="M32" s="274"/>
    </row>
    <row r="33" spans="1:13" s="101" customFormat="1" ht="24" customHeight="1">
      <c r="A33" s="11">
        <f t="shared" si="2"/>
        <v>30</v>
      </c>
      <c r="B33" s="11" t="s">
        <v>91</v>
      </c>
      <c r="C33" s="8" t="s">
        <v>222</v>
      </c>
      <c r="D33" s="326" t="s">
        <v>323</v>
      </c>
      <c r="E33" s="22"/>
      <c r="F33" s="22"/>
      <c r="G33" s="22">
        <f t="shared" si="0"/>
        <v>0</v>
      </c>
      <c r="H33" s="132">
        <f t="shared" si="1"/>
        <v>0</v>
      </c>
      <c r="I33" s="58">
        <f>H33-SUMIF('2023.10'!$B:$B,B33,'2023.07'!H:H)</f>
        <v>-6253830</v>
      </c>
      <c r="J33" s="199" t="s">
        <v>175</v>
      </c>
      <c r="K33" s="199" t="s">
        <v>110</v>
      </c>
      <c r="L33" s="279"/>
      <c r="M33" s="274"/>
    </row>
    <row r="34" spans="1:13" s="101" customFormat="1" ht="24" customHeight="1">
      <c r="A34" s="11">
        <f t="shared" si="2"/>
        <v>31</v>
      </c>
      <c r="B34" s="11" t="s">
        <v>91</v>
      </c>
      <c r="C34" s="8" t="s">
        <v>222</v>
      </c>
      <c r="D34" s="326" t="s">
        <v>324</v>
      </c>
      <c r="E34" s="22"/>
      <c r="F34" s="22"/>
      <c r="G34" s="22">
        <f t="shared" si="0"/>
        <v>0</v>
      </c>
      <c r="H34" s="132">
        <f t="shared" si="1"/>
        <v>0</v>
      </c>
      <c r="I34" s="58">
        <f>H34-SUMIF('2023.10'!$B:$B,B34,'2023.07'!H:H)</f>
        <v>-6253830</v>
      </c>
      <c r="J34" s="199" t="s">
        <v>175</v>
      </c>
      <c r="K34" s="199" t="s">
        <v>110</v>
      </c>
      <c r="L34" s="279"/>
      <c r="M34" s="274"/>
    </row>
    <row r="35" spans="1:13" s="98" customFormat="1" ht="24" customHeight="1">
      <c r="A35" s="17">
        <f t="shared" si="2"/>
        <v>32</v>
      </c>
      <c r="B35" s="17" t="s">
        <v>4</v>
      </c>
      <c r="C35" s="14" t="s">
        <v>222</v>
      </c>
      <c r="D35" s="17" t="s">
        <v>30</v>
      </c>
      <c r="E35" s="124"/>
      <c r="F35" s="18">
        <v>5000000</v>
      </c>
      <c r="G35" s="18">
        <f t="shared" si="0"/>
        <v>500000</v>
      </c>
      <c r="H35" s="107">
        <f t="shared" si="1"/>
        <v>5500000</v>
      </c>
      <c r="I35" s="60">
        <f>H35-SUMIF('2023.10'!$B:$B,B35,'2023.07'!H:H)</f>
        <v>5500000</v>
      </c>
      <c r="J35" s="194" t="s">
        <v>175</v>
      </c>
      <c r="K35" s="194" t="s">
        <v>109</v>
      </c>
      <c r="L35" s="278">
        <v>45230</v>
      </c>
      <c r="M35" s="195"/>
    </row>
    <row r="36" spans="1:13" s="98" customFormat="1" ht="24" customHeight="1">
      <c r="A36" s="83">
        <f t="shared" si="2"/>
        <v>33</v>
      </c>
      <c r="B36" s="83" t="s">
        <v>4</v>
      </c>
      <c r="C36" s="78" t="s">
        <v>151</v>
      </c>
      <c r="D36" s="83"/>
      <c r="E36" s="80"/>
      <c r="F36" s="80"/>
      <c r="G36" s="80">
        <f t="shared" si="0"/>
        <v>0</v>
      </c>
      <c r="H36" s="88">
        <f t="shared" si="1"/>
        <v>0</v>
      </c>
      <c r="I36" s="81">
        <f>H36-SUMIF('2023.10'!$B:$B,B36,'2023.07'!H:H)</f>
        <v>0</v>
      </c>
      <c r="J36" s="149" t="s">
        <v>175</v>
      </c>
      <c r="K36" s="149" t="s">
        <v>109</v>
      </c>
      <c r="L36" s="307"/>
      <c r="M36" s="309"/>
    </row>
    <row r="37" spans="1:13" s="98" customFormat="1" ht="24" hidden="1" customHeight="1">
      <c r="A37" s="11"/>
      <c r="B37" s="11"/>
      <c r="C37" s="11"/>
      <c r="D37" s="11"/>
      <c r="E37" s="22"/>
      <c r="F37" s="22"/>
      <c r="G37" s="22">
        <f t="shared" si="0"/>
        <v>0</v>
      </c>
      <c r="H37" s="22"/>
      <c r="I37" s="58">
        <f>H37-SUMIF('2023.10'!$B:$B,B37,'2023.07'!H:H)</f>
        <v>0</v>
      </c>
      <c r="J37" s="199"/>
      <c r="K37" s="199"/>
      <c r="L37" s="279"/>
      <c r="M37" s="131"/>
    </row>
    <row r="38" spans="1:13" s="101" customFormat="1" ht="24" hidden="1" customHeight="1">
      <c r="A38" s="129">
        <f t="shared" si="2"/>
        <v>35</v>
      </c>
      <c r="B38" s="129" t="s">
        <v>37</v>
      </c>
      <c r="C38" s="129" t="s">
        <v>47</v>
      </c>
      <c r="D38" s="129"/>
      <c r="E38" s="130"/>
      <c r="F38" s="130"/>
      <c r="G38" s="130">
        <f t="shared" si="0"/>
        <v>0</v>
      </c>
      <c r="H38" s="130">
        <f>+F38+G38</f>
        <v>0</v>
      </c>
      <c r="I38" s="58">
        <f>H38-SUMIF('2023.10'!$B:$B,B38,'2023.07'!H:H)</f>
        <v>0</v>
      </c>
      <c r="J38" s="199"/>
      <c r="K38" s="199"/>
      <c r="L38" s="279"/>
      <c r="M38" s="138"/>
    </row>
    <row r="39" spans="1:13" s="39" customFormat="1" ht="24" customHeight="1">
      <c r="A39" s="364" t="s">
        <v>18</v>
      </c>
      <c r="B39" s="365"/>
      <c r="C39" s="320"/>
      <c r="D39" s="320"/>
      <c r="E39" s="139">
        <f>SUM(E4:E38)</f>
        <v>767731</v>
      </c>
      <c r="F39" s="139">
        <f>SUM(F4:F38)</f>
        <v>176788400</v>
      </c>
      <c r="G39" s="139">
        <f>SUM(G4:G38)</f>
        <v>17678840</v>
      </c>
      <c r="H39" s="139">
        <f>SUM(H4:H38)</f>
        <v>194467240</v>
      </c>
      <c r="I39" s="203">
        <f>H39-'2023.06'!I31</f>
        <v>347056930</v>
      </c>
      <c r="J39" s="204"/>
      <c r="K39" s="204"/>
      <c r="L39" s="281"/>
      <c r="M39" s="37"/>
    </row>
    <row r="40" spans="1:13">
      <c r="A40" s="40"/>
      <c r="B40" s="40"/>
      <c r="C40" s="40"/>
      <c r="D40" s="40"/>
      <c r="E40" s="205"/>
      <c r="F40" s="205"/>
      <c r="G40" s="205"/>
      <c r="H40" s="205"/>
      <c r="I40" s="205"/>
      <c r="J40" s="205"/>
      <c r="K40" s="205"/>
      <c r="L40" s="205"/>
      <c r="M40" s="40"/>
    </row>
    <row r="41" spans="1:13">
      <c r="A41" s="40"/>
      <c r="B41" s="206" t="s">
        <v>50</v>
      </c>
      <c r="C41" s="40"/>
      <c r="D41" s="40"/>
      <c r="E41" s="205"/>
      <c r="F41" s="207">
        <f>F39-'2022.10'!E20</f>
        <v>25817575</v>
      </c>
      <c r="G41" s="207">
        <f>G39-'2022.10'!F20</f>
        <v>2581757.5</v>
      </c>
      <c r="H41" s="207">
        <f>H39-'2022.10'!G20</f>
        <v>28399332.5</v>
      </c>
      <c r="I41" s="207"/>
      <c r="J41" s="207"/>
      <c r="K41" s="207"/>
      <c r="L41" s="207"/>
      <c r="M41" s="208"/>
    </row>
    <row r="42" spans="1:13" ht="15.75" customHeight="1">
      <c r="A42" s="40"/>
      <c r="B42" s="40"/>
      <c r="C42" s="40"/>
      <c r="D42" s="40"/>
      <c r="E42" s="40"/>
      <c r="F42" s="205"/>
      <c r="G42" s="205"/>
      <c r="H42" s="205"/>
      <c r="I42" s="205"/>
      <c r="J42" s="205"/>
      <c r="K42" s="205"/>
      <c r="L42" s="205"/>
      <c r="M42" s="40"/>
    </row>
    <row r="43" spans="1:13">
      <c r="A43" s="214" t="s">
        <v>148</v>
      </c>
      <c r="B43" s="215" t="s">
        <v>149</v>
      </c>
      <c r="C43" s="215" t="s">
        <v>151</v>
      </c>
      <c r="D43" s="215"/>
      <c r="E43" s="216"/>
      <c r="F43" s="217"/>
      <c r="G43" s="22">
        <f t="shared" ref="G43" si="5">+F43*0.1</f>
        <v>0</v>
      </c>
      <c r="H43" s="218">
        <f t="shared" ref="H43:H48" si="6">F43+G43</f>
        <v>0</v>
      </c>
      <c r="I43" s="218">
        <f>H43-'2023.06'!H35</f>
        <v>0</v>
      </c>
      <c r="J43" s="290" t="s">
        <v>183</v>
      </c>
      <c r="K43" s="199" t="s">
        <v>109</v>
      </c>
      <c r="L43" s="282"/>
      <c r="M43" s="285" t="s">
        <v>301</v>
      </c>
    </row>
    <row r="44" spans="1:13">
      <c r="A44" s="214" t="s">
        <v>148</v>
      </c>
      <c r="B44" s="215" t="s">
        <v>150</v>
      </c>
      <c r="C44" s="215" t="s">
        <v>151</v>
      </c>
      <c r="D44" s="215"/>
      <c r="E44" s="216"/>
      <c r="F44" s="36"/>
      <c r="G44" s="22">
        <f>+F44*0.1</f>
        <v>0</v>
      </c>
      <c r="H44" s="218">
        <f t="shared" si="6"/>
        <v>0</v>
      </c>
      <c r="I44" s="218"/>
      <c r="J44" s="290" t="s">
        <v>183</v>
      </c>
      <c r="K44" s="199" t="s">
        <v>109</v>
      </c>
      <c r="L44" s="282"/>
      <c r="M44" s="285" t="s">
        <v>301</v>
      </c>
    </row>
    <row r="45" spans="1:13">
      <c r="A45" s="181" t="s">
        <v>148</v>
      </c>
      <c r="B45" s="182"/>
      <c r="C45" s="182" t="s">
        <v>151</v>
      </c>
      <c r="D45" s="182"/>
      <c r="E45" s="187"/>
      <c r="F45" s="15"/>
      <c r="G45" s="22">
        <f t="shared" ref="G45:G47" si="7">+F45*0.1</f>
        <v>0</v>
      </c>
      <c r="H45" s="184">
        <f>F45+G45</f>
        <v>0</v>
      </c>
      <c r="I45" s="184"/>
      <c r="J45" s="272" t="s">
        <v>183</v>
      </c>
      <c r="K45" s="194" t="s">
        <v>110</v>
      </c>
      <c r="L45" s="278"/>
      <c r="M45" s="291"/>
    </row>
    <row r="46" spans="1:13">
      <c r="A46" s="181" t="s">
        <v>148</v>
      </c>
      <c r="B46" s="182"/>
      <c r="C46" s="182" t="s">
        <v>151</v>
      </c>
      <c r="D46" s="182"/>
      <c r="E46" s="187"/>
      <c r="F46" s="15"/>
      <c r="G46" s="22">
        <f t="shared" si="7"/>
        <v>0</v>
      </c>
      <c r="H46" s="184">
        <f t="shared" si="6"/>
        <v>0</v>
      </c>
      <c r="I46" s="184"/>
      <c r="J46" s="272" t="s">
        <v>183</v>
      </c>
      <c r="K46" s="194" t="s">
        <v>110</v>
      </c>
      <c r="L46" s="278"/>
      <c r="M46" s="303"/>
    </row>
    <row r="47" spans="1:13">
      <c r="A47" s="181" t="s">
        <v>303</v>
      </c>
      <c r="B47" s="182"/>
      <c r="C47" s="182" t="s">
        <v>304</v>
      </c>
      <c r="D47" s="182"/>
      <c r="E47" s="187"/>
      <c r="F47" s="15"/>
      <c r="G47" s="22">
        <f t="shared" si="7"/>
        <v>0</v>
      </c>
      <c r="H47" s="184">
        <f t="shared" si="6"/>
        <v>0</v>
      </c>
      <c r="I47" s="184"/>
      <c r="J47" s="272" t="s">
        <v>305</v>
      </c>
      <c r="K47" s="194" t="s">
        <v>306</v>
      </c>
      <c r="L47" s="278"/>
      <c r="M47" s="291"/>
    </row>
    <row r="48" spans="1:13">
      <c r="A48" s="310" t="s">
        <v>303</v>
      </c>
      <c r="B48" s="311"/>
      <c r="C48" s="311" t="s">
        <v>304</v>
      </c>
      <c r="D48" s="311"/>
      <c r="E48" s="312"/>
      <c r="F48" s="79"/>
      <c r="G48" s="80"/>
      <c r="H48" s="313">
        <f t="shared" si="6"/>
        <v>0</v>
      </c>
      <c r="I48" s="313"/>
      <c r="J48" s="168" t="s">
        <v>305</v>
      </c>
      <c r="K48" s="149" t="s">
        <v>306</v>
      </c>
      <c r="L48" s="307"/>
      <c r="M48" s="283"/>
    </row>
  </sheetData>
  <autoFilter ref="A3:M3"/>
  <mergeCells count="2">
    <mergeCell ref="A1:M1"/>
    <mergeCell ref="A39:B3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6"/>
  <sheetViews>
    <sheetView showGridLines="0" workbookViewId="0">
      <pane xSplit="2" ySplit="3" topLeftCell="C10" activePane="bottomRight" state="frozen"/>
      <selection pane="topRight" activeCell="C1" sqref="C1"/>
      <selection pane="bottomLeft" activeCell="A2" sqref="A2"/>
      <selection pane="bottomRight" activeCell="H19" sqref="H19"/>
    </sheetView>
  </sheetViews>
  <sheetFormatPr defaultColWidth="9" defaultRowHeight="16.5"/>
  <cols>
    <col min="1" max="1" width="7.5" bestFit="1" customWidth="1"/>
    <col min="2" max="2" width="20" customWidth="1"/>
    <col min="3" max="3" width="29.25" bestFit="1" customWidth="1"/>
    <col min="4" max="4" width="15.375" bestFit="1" customWidth="1"/>
    <col min="5" max="5" width="12.375" style="2" bestFit="1" customWidth="1"/>
    <col min="6" max="6" width="14.875" style="2" bestFit="1" customWidth="1"/>
    <col min="7" max="7" width="13.625" style="2" bestFit="1" customWidth="1"/>
    <col min="8" max="8" width="14.875" style="2" bestFit="1" customWidth="1"/>
    <col min="9" max="9" width="14.875" style="2" customWidth="1"/>
    <col min="10" max="11" width="10.75" style="2" customWidth="1"/>
    <col min="12" max="12" width="19.375" style="2" bestFit="1" customWidth="1"/>
    <col min="13" max="13" width="47.375" customWidth="1"/>
    <col min="14" max="14" width="9.5" style="40" bestFit="1" customWidth="1"/>
    <col min="15" max="15" width="9.25" style="40" bestFit="1" customWidth="1"/>
    <col min="16" max="16384" width="9" style="40"/>
  </cols>
  <sheetData>
    <row r="1" spans="1:13" ht="38.25">
      <c r="A1" s="363" t="s">
        <v>319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63"/>
    </row>
    <row r="2" spans="1:13">
      <c r="M2" s="44" t="s">
        <v>320</v>
      </c>
    </row>
    <row r="3" spans="1:13" s="38" customFormat="1">
      <c r="A3" s="5" t="s">
        <v>12</v>
      </c>
      <c r="B3" s="5" t="s">
        <v>0</v>
      </c>
      <c r="C3" s="5" t="s">
        <v>223</v>
      </c>
      <c r="D3" s="5" t="s">
        <v>231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50</v>
      </c>
      <c r="J3" s="1" t="s">
        <v>179</v>
      </c>
      <c r="K3" s="1" t="s">
        <v>291</v>
      </c>
      <c r="L3" s="1" t="s">
        <v>290</v>
      </c>
      <c r="M3" s="5" t="s">
        <v>23</v>
      </c>
    </row>
    <row r="4" spans="1:13" s="98" customFormat="1" ht="24" customHeight="1">
      <c r="A4" s="8">
        <f>ROW()-3</f>
        <v>1</v>
      </c>
      <c r="B4" s="8" t="s">
        <v>13</v>
      </c>
      <c r="C4" s="8" t="s">
        <v>242</v>
      </c>
      <c r="D4" s="8"/>
      <c r="E4" s="36"/>
      <c r="F4" s="36"/>
      <c r="G4" s="22">
        <f t="shared" ref="G4:G36" si="0">+F4*0.1</f>
        <v>0</v>
      </c>
      <c r="H4" s="36">
        <f t="shared" ref="H4:H34" si="1">+F4+G4</f>
        <v>0</v>
      </c>
      <c r="I4" s="58">
        <f>H4-SUMIF('2023.09'!$B:$B,B4,'2023.07'!H:H)</f>
        <v>0</v>
      </c>
      <c r="J4" s="199" t="s">
        <v>175</v>
      </c>
      <c r="K4" s="199" t="s">
        <v>110</v>
      </c>
      <c r="L4" s="279"/>
      <c r="M4" s="200"/>
    </row>
    <row r="5" spans="1:13" s="98" customFormat="1" ht="24" customHeight="1">
      <c r="A5" s="14">
        <f t="shared" ref="A5:A36" si="2">ROW()-3</f>
        <v>2</v>
      </c>
      <c r="B5" s="14" t="s">
        <v>5</v>
      </c>
      <c r="C5" s="14" t="s">
        <v>34</v>
      </c>
      <c r="D5" s="14"/>
      <c r="E5" s="15">
        <v>589715</v>
      </c>
      <c r="F5" s="15">
        <v>44246175</v>
      </c>
      <c r="G5" s="18">
        <f t="shared" si="0"/>
        <v>4424617.5</v>
      </c>
      <c r="H5" s="15">
        <f t="shared" si="1"/>
        <v>48670792.5</v>
      </c>
      <c r="I5" s="60">
        <f>H5-SUMIF('2023.09'!$B:$B,B5,'2023.07'!H:H)</f>
        <v>8996212.5</v>
      </c>
      <c r="J5" s="194" t="s">
        <v>175</v>
      </c>
      <c r="K5" s="194" t="s">
        <v>278</v>
      </c>
      <c r="L5" s="278">
        <v>45199</v>
      </c>
      <c r="M5" s="16"/>
    </row>
    <row r="6" spans="1:13" s="98" customFormat="1" ht="24" customHeight="1">
      <c r="A6" s="14">
        <f t="shared" si="2"/>
        <v>3</v>
      </c>
      <c r="B6" s="14" t="s">
        <v>11</v>
      </c>
      <c r="C6" s="14" t="s">
        <v>222</v>
      </c>
      <c r="D6" s="14" t="s">
        <v>28</v>
      </c>
      <c r="E6" s="15">
        <v>473740</v>
      </c>
      <c r="F6" s="15">
        <v>43399475</v>
      </c>
      <c r="G6" s="18">
        <f t="shared" ref="G6" si="3">+F6*0.1</f>
        <v>4339947.5</v>
      </c>
      <c r="H6" s="15">
        <f t="shared" ref="H6" si="4">+F6+G6</f>
        <v>47739422.5</v>
      </c>
      <c r="I6" s="60">
        <f>H6-SUMIF('2023.09'!$B:$B,B6,'2023.07'!H:H)</f>
        <v>-8611900</v>
      </c>
      <c r="J6" s="272" t="s">
        <v>183</v>
      </c>
      <c r="K6" s="194" t="s">
        <v>109</v>
      </c>
      <c r="L6" s="278">
        <v>45199</v>
      </c>
      <c r="M6" s="292" t="s">
        <v>300</v>
      </c>
    </row>
    <row r="7" spans="1:13" s="98" customFormat="1" ht="24" customHeight="1">
      <c r="A7" s="14">
        <f t="shared" si="2"/>
        <v>4</v>
      </c>
      <c r="B7" s="14" t="s">
        <v>332</v>
      </c>
      <c r="C7" s="14" t="s">
        <v>222</v>
      </c>
      <c r="D7" s="14" t="s">
        <v>234</v>
      </c>
      <c r="E7" s="15">
        <v>82620</v>
      </c>
      <c r="F7" s="15">
        <v>7878350</v>
      </c>
      <c r="G7" s="18">
        <f t="shared" si="0"/>
        <v>787835</v>
      </c>
      <c r="H7" s="15">
        <f t="shared" si="1"/>
        <v>8666185</v>
      </c>
      <c r="I7" s="60">
        <f>H7-SUMIF('2023.09'!$B:$B,B7,'2023.07'!H:H)</f>
        <v>5574085</v>
      </c>
      <c r="J7" s="194" t="s">
        <v>175</v>
      </c>
      <c r="K7" s="194" t="s">
        <v>278</v>
      </c>
      <c r="L7" s="278">
        <v>45199</v>
      </c>
      <c r="M7" s="292"/>
    </row>
    <row r="8" spans="1:13" s="98" customFormat="1" ht="24" customHeight="1">
      <c r="A8" s="14">
        <f t="shared" si="2"/>
        <v>5</v>
      </c>
      <c r="B8" s="17" t="s">
        <v>2</v>
      </c>
      <c r="C8" s="14" t="s">
        <v>222</v>
      </c>
      <c r="D8" s="14" t="s">
        <v>34</v>
      </c>
      <c r="E8" s="15">
        <v>47383</v>
      </c>
      <c r="F8" s="15">
        <v>5073240</v>
      </c>
      <c r="G8" s="18">
        <f t="shared" si="0"/>
        <v>507324</v>
      </c>
      <c r="H8" s="15">
        <f t="shared" si="1"/>
        <v>5580564</v>
      </c>
      <c r="I8" s="60">
        <f>H8-SUMIF('2023.09'!$B:$B,B8,'2023.07'!H:H)</f>
        <v>5580564</v>
      </c>
      <c r="J8" s="194" t="s">
        <v>175</v>
      </c>
      <c r="K8" s="194" t="s">
        <v>279</v>
      </c>
      <c r="L8" s="278">
        <v>45199</v>
      </c>
      <c r="M8" s="116"/>
    </row>
    <row r="9" spans="1:13" s="98" customFormat="1" ht="24" customHeight="1">
      <c r="A9" s="12">
        <f t="shared" si="2"/>
        <v>6</v>
      </c>
      <c r="B9" s="12" t="s">
        <v>9</v>
      </c>
      <c r="C9" s="12" t="s">
        <v>28</v>
      </c>
      <c r="D9" s="12"/>
      <c r="E9" s="4"/>
      <c r="F9" s="4"/>
      <c r="G9" s="4">
        <f t="shared" si="0"/>
        <v>0</v>
      </c>
      <c r="H9" s="4">
        <f t="shared" si="1"/>
        <v>0</v>
      </c>
      <c r="I9" s="62">
        <f>H9-SUMIF('2023.09'!$B:$B,B9,'2023.07'!H:H)</f>
        <v>-5400230</v>
      </c>
      <c r="J9" s="244"/>
      <c r="K9" s="244"/>
      <c r="L9" s="280"/>
      <c r="M9" s="32"/>
    </row>
    <row r="10" spans="1:13" s="98" customFormat="1" ht="24" customHeight="1">
      <c r="A10" s="14">
        <f t="shared" si="2"/>
        <v>7</v>
      </c>
      <c r="B10" s="14" t="s">
        <v>1</v>
      </c>
      <c r="C10" s="14" t="s">
        <v>222</v>
      </c>
      <c r="D10" s="14" t="s">
        <v>224</v>
      </c>
      <c r="E10" s="212">
        <v>18725</v>
      </c>
      <c r="F10" s="15">
        <v>4119500</v>
      </c>
      <c r="G10" s="18">
        <f t="shared" si="0"/>
        <v>411950</v>
      </c>
      <c r="H10" s="15">
        <f t="shared" si="1"/>
        <v>4531450</v>
      </c>
      <c r="I10" s="60">
        <f>H10-SUMIF('2023.09'!$B:$B,B10,'2023.07'!H:H)</f>
        <v>2563550</v>
      </c>
      <c r="J10" s="194" t="s">
        <v>175</v>
      </c>
      <c r="K10" s="194" t="s">
        <v>109</v>
      </c>
      <c r="L10" s="278">
        <v>45199</v>
      </c>
      <c r="M10" s="225"/>
    </row>
    <row r="11" spans="1:13" s="98" customFormat="1" ht="24" customHeight="1">
      <c r="A11" s="8">
        <f t="shared" si="2"/>
        <v>8</v>
      </c>
      <c r="B11" s="220" t="s">
        <v>197</v>
      </c>
      <c r="C11" s="220" t="s">
        <v>104</v>
      </c>
      <c r="D11" s="220"/>
      <c r="E11" s="221"/>
      <c r="F11" s="222">
        <v>1894650</v>
      </c>
      <c r="G11" s="222">
        <f t="shared" si="0"/>
        <v>189465</v>
      </c>
      <c r="H11" s="222">
        <f t="shared" si="1"/>
        <v>2084115</v>
      </c>
      <c r="I11" s="223">
        <f>H11-SUMIF('2023.09'!$B:$B,B11,'2023.07'!H:H)</f>
        <v>-29207585</v>
      </c>
      <c r="J11" s="199" t="s">
        <v>293</v>
      </c>
      <c r="K11" s="199" t="s">
        <v>281</v>
      </c>
      <c r="L11" s="279">
        <v>45199</v>
      </c>
      <c r="M11" s="227"/>
    </row>
    <row r="12" spans="1:13" s="98" customFormat="1" ht="24" customHeight="1">
      <c r="A12" s="14">
        <f t="shared" si="2"/>
        <v>9</v>
      </c>
      <c r="B12" s="14" t="s">
        <v>69</v>
      </c>
      <c r="C12" s="14" t="s">
        <v>46</v>
      </c>
      <c r="D12" s="14"/>
      <c r="E12" s="15">
        <v>18730</v>
      </c>
      <c r="F12" s="15">
        <f>18730*1390</f>
        <v>26034700</v>
      </c>
      <c r="G12" s="18">
        <f t="shared" si="0"/>
        <v>2603470</v>
      </c>
      <c r="H12" s="15">
        <f t="shared" si="1"/>
        <v>28638170</v>
      </c>
      <c r="I12" s="60">
        <f>H12-SUMIF('2023.09'!$B:$B,B12,'2023.07'!H:H)</f>
        <v>22714780</v>
      </c>
      <c r="J12" s="194" t="s">
        <v>175</v>
      </c>
      <c r="K12" s="194" t="s">
        <v>281</v>
      </c>
      <c r="L12" s="278">
        <v>45199</v>
      </c>
      <c r="M12" s="116" t="s">
        <v>286</v>
      </c>
    </row>
    <row r="13" spans="1:13" s="98" customFormat="1" ht="24" customHeight="1">
      <c r="A13" s="14">
        <f t="shared" si="2"/>
        <v>10</v>
      </c>
      <c r="B13" s="14" t="s">
        <v>69</v>
      </c>
      <c r="C13" s="14" t="s">
        <v>266</v>
      </c>
      <c r="D13" s="14"/>
      <c r="E13" s="15">
        <v>17530</v>
      </c>
      <c r="F13" s="15">
        <f>17530*290</f>
        <v>5083700</v>
      </c>
      <c r="G13" s="18">
        <f t="shared" si="0"/>
        <v>508370</v>
      </c>
      <c r="H13" s="15">
        <f t="shared" si="1"/>
        <v>5592070</v>
      </c>
      <c r="I13" s="60">
        <f>H13-SUMIF('2023.09'!$B:$B,B13,'2023.07'!H:H)</f>
        <v>-331320</v>
      </c>
      <c r="J13" s="194" t="s">
        <v>175</v>
      </c>
      <c r="K13" s="194" t="s">
        <v>109</v>
      </c>
      <c r="L13" s="278">
        <v>45199</v>
      </c>
      <c r="M13" s="292" t="s">
        <v>298</v>
      </c>
    </row>
    <row r="14" spans="1:13" s="98" customFormat="1" ht="24" customHeight="1">
      <c r="A14" s="14">
        <f t="shared" si="2"/>
        <v>11</v>
      </c>
      <c r="B14" s="14" t="s">
        <v>7</v>
      </c>
      <c r="C14" s="14" t="s">
        <v>222</v>
      </c>
      <c r="D14" s="14" t="s">
        <v>225</v>
      </c>
      <c r="E14" s="15">
        <v>3660</v>
      </c>
      <c r="F14" s="15">
        <v>512400</v>
      </c>
      <c r="G14" s="18">
        <f t="shared" si="0"/>
        <v>51240</v>
      </c>
      <c r="H14" s="15">
        <f t="shared" si="1"/>
        <v>563640</v>
      </c>
      <c r="I14" s="60">
        <f>H14-SUMIF('2023.09'!$B:$B,B14,'2023.07'!H:H)</f>
        <v>17710</v>
      </c>
      <c r="J14" s="193" t="s">
        <v>175</v>
      </c>
      <c r="K14" s="193" t="s">
        <v>279</v>
      </c>
      <c r="L14" s="278">
        <v>45199</v>
      </c>
      <c r="M14" s="116"/>
    </row>
    <row r="15" spans="1:13" s="98" customFormat="1" ht="24" customHeight="1">
      <c r="A15" s="14">
        <f t="shared" si="2"/>
        <v>12</v>
      </c>
      <c r="B15" s="14" t="s">
        <v>201</v>
      </c>
      <c r="C15" s="14" t="s">
        <v>92</v>
      </c>
      <c r="D15" s="219" t="s">
        <v>92</v>
      </c>
      <c r="E15" s="15"/>
      <c r="F15" s="15">
        <v>413000</v>
      </c>
      <c r="G15" s="18">
        <f t="shared" si="0"/>
        <v>41300</v>
      </c>
      <c r="H15" s="15">
        <f t="shared" si="1"/>
        <v>454300</v>
      </c>
      <c r="I15" s="60">
        <f>H15-SUMIF('2023.09'!$B:$B,B15,'2023.07'!H:H)</f>
        <v>-9771410</v>
      </c>
      <c r="J15" s="272" t="s">
        <v>287</v>
      </c>
      <c r="K15" s="194" t="s">
        <v>283</v>
      </c>
      <c r="L15" s="278">
        <v>45187</v>
      </c>
      <c r="M15" s="116" t="s">
        <v>288</v>
      </c>
    </row>
    <row r="16" spans="1:13" s="98" customFormat="1" ht="24" customHeight="1">
      <c r="A16" s="14">
        <f t="shared" si="2"/>
        <v>13</v>
      </c>
      <c r="B16" s="14" t="s">
        <v>201</v>
      </c>
      <c r="C16" s="14" t="s">
        <v>92</v>
      </c>
      <c r="D16" s="219" t="s">
        <v>92</v>
      </c>
      <c r="E16" s="15"/>
      <c r="F16" s="15">
        <v>325000</v>
      </c>
      <c r="G16" s="18">
        <f t="shared" si="0"/>
        <v>32500</v>
      </c>
      <c r="H16" s="15">
        <f t="shared" si="1"/>
        <v>357500</v>
      </c>
      <c r="I16" s="60">
        <f>H16-SUMIF('2023.09'!$B:$B,B16,'2023.07'!H:H)</f>
        <v>-9868210</v>
      </c>
      <c r="J16" s="272" t="s">
        <v>287</v>
      </c>
      <c r="K16" s="194" t="s">
        <v>283</v>
      </c>
      <c r="L16" s="278">
        <v>45188</v>
      </c>
      <c r="M16" s="116" t="s">
        <v>288</v>
      </c>
    </row>
    <row r="17" spans="1:15" s="98" customFormat="1" ht="24" customHeight="1">
      <c r="A17" s="14">
        <f t="shared" si="2"/>
        <v>14</v>
      </c>
      <c r="B17" s="14" t="s">
        <v>201</v>
      </c>
      <c r="C17" s="14" t="s">
        <v>39</v>
      </c>
      <c r="D17" s="14"/>
      <c r="E17" s="15">
        <v>2444</v>
      </c>
      <c r="F17" s="15">
        <f>2444*1600</f>
        <v>3910400</v>
      </c>
      <c r="G17" s="18">
        <f t="shared" si="0"/>
        <v>391040</v>
      </c>
      <c r="H17" s="15">
        <f t="shared" si="1"/>
        <v>4301440</v>
      </c>
      <c r="I17" s="60">
        <f>H17-SUMIF('2023.09'!$B:$B,B17,'2023.07'!H:H)</f>
        <v>-5924270</v>
      </c>
      <c r="J17" s="272" t="s">
        <v>287</v>
      </c>
      <c r="K17" s="194" t="s">
        <v>283</v>
      </c>
      <c r="L17" s="278">
        <v>45180</v>
      </c>
      <c r="M17" s="116" t="s">
        <v>288</v>
      </c>
    </row>
    <row r="18" spans="1:15" s="98" customFormat="1" ht="24" customHeight="1">
      <c r="A18" s="78">
        <f t="shared" si="2"/>
        <v>15</v>
      </c>
      <c r="B18" s="78" t="s">
        <v>201</v>
      </c>
      <c r="C18" s="78" t="s">
        <v>92</v>
      </c>
      <c r="D18" s="78"/>
      <c r="E18" s="79"/>
      <c r="F18" s="79"/>
      <c r="G18" s="80">
        <f t="shared" si="0"/>
        <v>0</v>
      </c>
      <c r="H18" s="79">
        <f t="shared" si="1"/>
        <v>0</v>
      </c>
      <c r="I18" s="81">
        <f>H18-SUMIF('2023.09'!$B:$B,B18,'2023.07'!H:H)</f>
        <v>-10225710</v>
      </c>
      <c r="J18" s="168" t="s">
        <v>287</v>
      </c>
      <c r="K18" s="149" t="s">
        <v>283</v>
      </c>
      <c r="L18" s="307"/>
      <c r="M18" s="122" t="s">
        <v>288</v>
      </c>
    </row>
    <row r="19" spans="1:15" s="98" customFormat="1" ht="24" customHeight="1">
      <c r="A19" s="14">
        <f t="shared" si="2"/>
        <v>16</v>
      </c>
      <c r="B19" s="14" t="s">
        <v>201</v>
      </c>
      <c r="C19" s="14" t="s">
        <v>39</v>
      </c>
      <c r="D19" s="14"/>
      <c r="E19" s="15">
        <v>3448</v>
      </c>
      <c r="F19" s="15">
        <f>3448*1600</f>
        <v>5516800</v>
      </c>
      <c r="G19" s="18">
        <f t="shared" si="0"/>
        <v>551680</v>
      </c>
      <c r="H19" s="15">
        <f t="shared" si="1"/>
        <v>6068480</v>
      </c>
      <c r="I19" s="60">
        <f>H19-SUMIF('2023.09'!$B:$B,B19,'2023.07'!H:H)</f>
        <v>-4157230</v>
      </c>
      <c r="J19" s="272" t="s">
        <v>287</v>
      </c>
      <c r="K19" s="194" t="s">
        <v>283</v>
      </c>
      <c r="L19" s="278">
        <v>45195</v>
      </c>
      <c r="M19" s="116" t="s">
        <v>288</v>
      </c>
    </row>
    <row r="20" spans="1:15" s="98" customFormat="1" ht="24" customHeight="1">
      <c r="A20" s="8">
        <f t="shared" si="2"/>
        <v>17</v>
      </c>
      <c r="B20" s="8" t="s">
        <v>201</v>
      </c>
      <c r="C20" s="8" t="s">
        <v>204</v>
      </c>
      <c r="D20" s="8"/>
      <c r="E20" s="36"/>
      <c r="F20" s="36"/>
      <c r="G20" s="22">
        <f t="shared" si="0"/>
        <v>0</v>
      </c>
      <c r="H20" s="36">
        <f t="shared" si="1"/>
        <v>0</v>
      </c>
      <c r="I20" s="58">
        <f>H20-SUMIF('2023.09'!$B:$B,B20,'2023.07'!H:H)</f>
        <v>-10225710</v>
      </c>
      <c r="J20" s="290" t="s">
        <v>287</v>
      </c>
      <c r="K20" s="199" t="s">
        <v>283</v>
      </c>
      <c r="L20" s="279"/>
      <c r="M20" s="136" t="s">
        <v>288</v>
      </c>
    </row>
    <row r="21" spans="1:15" s="98" customFormat="1" ht="24" customHeight="1">
      <c r="A21" s="17">
        <f t="shared" si="2"/>
        <v>18</v>
      </c>
      <c r="B21" s="17" t="s">
        <v>75</v>
      </c>
      <c r="C21" s="17" t="s">
        <v>57</v>
      </c>
      <c r="D21" s="19"/>
      <c r="E21" s="107">
        <v>5150</v>
      </c>
      <c r="F21" s="107">
        <f>5150*250</f>
        <v>1287500</v>
      </c>
      <c r="G21" s="18">
        <f t="shared" si="0"/>
        <v>128750</v>
      </c>
      <c r="H21" s="107">
        <f t="shared" si="1"/>
        <v>1416250</v>
      </c>
      <c r="I21" s="293">
        <f>H21-SUMIF('2023.09'!$B:$B,B21,'2023.07'!H:H)</f>
        <v>126500</v>
      </c>
      <c r="J21" s="272" t="s">
        <v>183</v>
      </c>
      <c r="K21" s="287" t="s">
        <v>283</v>
      </c>
      <c r="L21" s="288">
        <v>45195</v>
      </c>
      <c r="M21" s="171"/>
      <c r="N21" s="102"/>
      <c r="O21" s="100"/>
    </row>
    <row r="22" spans="1:15" s="98" customFormat="1" ht="24" customHeight="1">
      <c r="A22" s="83">
        <f t="shared" si="2"/>
        <v>19</v>
      </c>
      <c r="B22" s="83" t="s">
        <v>75</v>
      </c>
      <c r="C22" s="83" t="s">
        <v>57</v>
      </c>
      <c r="D22" s="83"/>
      <c r="E22" s="88"/>
      <c r="F22" s="88"/>
      <c r="G22" s="80">
        <f t="shared" si="0"/>
        <v>0</v>
      </c>
      <c r="H22" s="88">
        <f t="shared" si="1"/>
        <v>0</v>
      </c>
      <c r="I22" s="81">
        <f>H22-SUMIF('2023.09'!$B:$B,B22,'2023.07'!H:H)</f>
        <v>-1289750</v>
      </c>
      <c r="J22" s="168" t="s">
        <v>183</v>
      </c>
      <c r="K22" s="149" t="s">
        <v>283</v>
      </c>
      <c r="L22" s="307"/>
      <c r="M22" s="188"/>
      <c r="N22" s="102"/>
      <c r="O22" s="100"/>
    </row>
    <row r="23" spans="1:15" s="98" customFormat="1" ht="24" customHeight="1">
      <c r="A23" s="78">
        <f t="shared" si="2"/>
        <v>20</v>
      </c>
      <c r="B23" s="78" t="s">
        <v>267</v>
      </c>
      <c r="C23" s="112" t="s">
        <v>309</v>
      </c>
      <c r="D23" s="78"/>
      <c r="E23" s="79"/>
      <c r="F23" s="79"/>
      <c r="G23" s="80">
        <f t="shared" si="0"/>
        <v>0</v>
      </c>
      <c r="H23" s="79">
        <f t="shared" si="1"/>
        <v>0</v>
      </c>
      <c r="I23" s="81">
        <f>H23-SUMIF('2023.09'!$B:$B,B23,'2023.07'!H:H)</f>
        <v>-11059125</v>
      </c>
      <c r="J23" s="306" t="s">
        <v>175</v>
      </c>
      <c r="K23" s="149" t="s">
        <v>283</v>
      </c>
      <c r="L23" s="307"/>
      <c r="M23" s="308" t="s">
        <v>297</v>
      </c>
    </row>
    <row r="24" spans="1:15" s="98" customFormat="1" ht="24" customHeight="1">
      <c r="A24" s="78">
        <f t="shared" si="2"/>
        <v>21</v>
      </c>
      <c r="B24" s="78" t="s">
        <v>267</v>
      </c>
      <c r="C24" s="112" t="s">
        <v>310</v>
      </c>
      <c r="D24" s="78"/>
      <c r="E24" s="79"/>
      <c r="F24" s="79"/>
      <c r="G24" s="80">
        <f t="shared" si="0"/>
        <v>0</v>
      </c>
      <c r="H24" s="79">
        <f t="shared" si="1"/>
        <v>0</v>
      </c>
      <c r="I24" s="81">
        <f>H24-SUMIF('2023.09'!$B:$B,B24,'2023.07'!H:H)</f>
        <v>-11059125</v>
      </c>
      <c r="J24" s="306" t="s">
        <v>175</v>
      </c>
      <c r="K24" s="149" t="s">
        <v>283</v>
      </c>
      <c r="L24" s="307"/>
      <c r="M24" s="308" t="s">
        <v>311</v>
      </c>
    </row>
    <row r="25" spans="1:15" s="98" customFormat="1" ht="24" customHeight="1">
      <c r="A25" s="78">
        <f t="shared" si="2"/>
        <v>22</v>
      </c>
      <c r="B25" s="78" t="s">
        <v>267</v>
      </c>
      <c r="C25" s="112" t="s">
        <v>309</v>
      </c>
      <c r="D25" s="78"/>
      <c r="E25" s="79"/>
      <c r="F25" s="79"/>
      <c r="G25" s="80">
        <f t="shared" si="0"/>
        <v>0</v>
      </c>
      <c r="H25" s="79">
        <f t="shared" si="1"/>
        <v>0</v>
      </c>
      <c r="I25" s="81">
        <f>H25-SUMIF('2023.09'!$B:$B,B25,'2023.07'!H:H)</f>
        <v>-11059125</v>
      </c>
      <c r="J25" s="306" t="s">
        <v>175</v>
      </c>
      <c r="K25" s="149" t="s">
        <v>283</v>
      </c>
      <c r="L25" s="307"/>
      <c r="M25" s="308"/>
    </row>
    <row r="26" spans="1:15" s="98" customFormat="1" ht="24" customHeight="1">
      <c r="A26" s="78">
        <f t="shared" si="2"/>
        <v>23</v>
      </c>
      <c r="B26" s="78" t="s">
        <v>267</v>
      </c>
      <c r="C26" s="112" t="s">
        <v>316</v>
      </c>
      <c r="D26" s="78"/>
      <c r="E26" s="79"/>
      <c r="F26" s="79"/>
      <c r="G26" s="80">
        <f t="shared" si="0"/>
        <v>0</v>
      </c>
      <c r="H26" s="79">
        <f t="shared" si="1"/>
        <v>0</v>
      </c>
      <c r="I26" s="81">
        <f>H26-SUMIF('2023.09'!$B:$B,B26,'2023.07'!H:H)</f>
        <v>-11059125</v>
      </c>
      <c r="J26" s="306" t="s">
        <v>175</v>
      </c>
      <c r="K26" s="149" t="s">
        <v>283</v>
      </c>
      <c r="L26" s="307"/>
      <c r="M26" s="308"/>
    </row>
    <row r="27" spans="1:15" s="98" customFormat="1" ht="24" customHeight="1">
      <c r="A27" s="78">
        <f t="shared" si="2"/>
        <v>24</v>
      </c>
      <c r="B27" s="78" t="s">
        <v>267</v>
      </c>
      <c r="C27" s="112" t="s">
        <v>310</v>
      </c>
      <c r="D27" s="78"/>
      <c r="E27" s="79"/>
      <c r="F27" s="79"/>
      <c r="G27" s="80">
        <f t="shared" si="0"/>
        <v>0</v>
      </c>
      <c r="H27" s="79">
        <f t="shared" si="1"/>
        <v>0</v>
      </c>
      <c r="I27" s="81">
        <f>H27-SUMIF('2023.09'!$B:$B,B27,'2023.07'!H:H)</f>
        <v>-11059125</v>
      </c>
      <c r="J27" s="306" t="s">
        <v>175</v>
      </c>
      <c r="K27" s="149" t="s">
        <v>283</v>
      </c>
      <c r="L27" s="307"/>
      <c r="M27" s="308"/>
    </row>
    <row r="28" spans="1:15" s="98" customFormat="1" ht="24" customHeight="1">
      <c r="A28" s="14">
        <f t="shared" si="2"/>
        <v>25</v>
      </c>
      <c r="B28" s="14" t="s">
        <v>268</v>
      </c>
      <c r="C28" s="14" t="s">
        <v>222</v>
      </c>
      <c r="D28" s="14" t="s">
        <v>269</v>
      </c>
      <c r="E28" s="15">
        <v>11860</v>
      </c>
      <c r="F28" s="15">
        <v>4979800</v>
      </c>
      <c r="G28" s="18">
        <f t="shared" si="0"/>
        <v>497980</v>
      </c>
      <c r="H28" s="15">
        <f t="shared" si="1"/>
        <v>5477780</v>
      </c>
      <c r="I28" s="60">
        <f>H28-SUMIF('2023.09'!$B:$B,B28,'2023.07'!H:H)</f>
        <v>-22220</v>
      </c>
      <c r="J28" s="193" t="s">
        <v>175</v>
      </c>
      <c r="K28" s="194" t="s">
        <v>285</v>
      </c>
      <c r="L28" s="278">
        <v>45199</v>
      </c>
      <c r="M28" s="294" t="s">
        <v>299</v>
      </c>
    </row>
    <row r="29" spans="1:15" s="277" customFormat="1" ht="24" customHeight="1">
      <c r="A29" s="17">
        <f t="shared" si="2"/>
        <v>26</v>
      </c>
      <c r="B29" s="17" t="s">
        <v>328</v>
      </c>
      <c r="C29" s="316" t="s">
        <v>329</v>
      </c>
      <c r="D29" s="17" t="s">
        <v>330</v>
      </c>
      <c r="E29" s="18">
        <v>2610</v>
      </c>
      <c r="F29" s="18">
        <f>2610*600</f>
        <v>1566000</v>
      </c>
      <c r="G29" s="18">
        <f t="shared" si="0"/>
        <v>156600</v>
      </c>
      <c r="H29" s="18">
        <f t="shared" si="1"/>
        <v>1722600</v>
      </c>
      <c r="I29" s="317">
        <f>H29-SUMIF('2023.09'!$B:$B,B29,'2023.07'!H:H)</f>
        <v>1722600</v>
      </c>
      <c r="J29" s="318" t="s">
        <v>175</v>
      </c>
      <c r="K29" s="318" t="s">
        <v>283</v>
      </c>
      <c r="L29" s="319">
        <v>45194</v>
      </c>
      <c r="M29" s="195" t="s">
        <v>331</v>
      </c>
    </row>
    <row r="30" spans="1:15" s="101" customFormat="1" ht="24" customHeight="1">
      <c r="A30" s="17">
        <f t="shared" si="2"/>
        <v>27</v>
      </c>
      <c r="B30" s="17" t="s">
        <v>91</v>
      </c>
      <c r="C30" s="14" t="s">
        <v>222</v>
      </c>
      <c r="D30" s="17" t="s">
        <v>134</v>
      </c>
      <c r="E30" s="18">
        <v>2880</v>
      </c>
      <c r="F30" s="18">
        <f>2880*500</f>
        <v>1440000</v>
      </c>
      <c r="G30" s="18">
        <f t="shared" ref="G30:G31" si="5">+F30*0.1</f>
        <v>144000</v>
      </c>
      <c r="H30" s="107">
        <f t="shared" ref="H30:H31" si="6">+F30+G30</f>
        <v>1584000</v>
      </c>
      <c r="I30" s="60">
        <f>H30-SUMIF('2023.09'!$B:$B,B30,'2023.07'!H:H)</f>
        <v>-170737737.5</v>
      </c>
      <c r="J30" s="194" t="s">
        <v>175</v>
      </c>
      <c r="K30" s="194" t="s">
        <v>283</v>
      </c>
      <c r="L30" s="278">
        <v>45170</v>
      </c>
      <c r="M30" s="236"/>
    </row>
    <row r="31" spans="1:15" s="101" customFormat="1" ht="24" customHeight="1">
      <c r="A31" s="17">
        <f t="shared" si="2"/>
        <v>28</v>
      </c>
      <c r="B31" s="17" t="s">
        <v>91</v>
      </c>
      <c r="C31" s="14" t="s">
        <v>222</v>
      </c>
      <c r="D31" s="315" t="s">
        <v>323</v>
      </c>
      <c r="E31" s="18"/>
      <c r="F31" s="18">
        <v>1112400</v>
      </c>
      <c r="G31" s="18">
        <f t="shared" si="5"/>
        <v>111240</v>
      </c>
      <c r="H31" s="107">
        <f t="shared" si="6"/>
        <v>1223640</v>
      </c>
      <c r="I31" s="60">
        <f>H31-SUMIF('2023.09'!$B:$B,B31,'2023.07'!H:H)</f>
        <v>-171098097.5</v>
      </c>
      <c r="J31" s="194" t="s">
        <v>175</v>
      </c>
      <c r="K31" s="194" t="s">
        <v>283</v>
      </c>
      <c r="L31" s="278">
        <v>45176</v>
      </c>
      <c r="M31" s="236"/>
    </row>
    <row r="32" spans="1:15" s="101" customFormat="1" ht="24" customHeight="1">
      <c r="A32" s="17">
        <f t="shared" si="2"/>
        <v>29</v>
      </c>
      <c r="B32" s="17" t="s">
        <v>91</v>
      </c>
      <c r="C32" s="14" t="s">
        <v>222</v>
      </c>
      <c r="D32" s="315" t="s">
        <v>324</v>
      </c>
      <c r="E32" s="18"/>
      <c r="F32" s="18">
        <v>3444000</v>
      </c>
      <c r="G32" s="18">
        <f t="shared" si="0"/>
        <v>344400</v>
      </c>
      <c r="H32" s="107">
        <f t="shared" si="1"/>
        <v>3788400</v>
      </c>
      <c r="I32" s="60">
        <f>H32-SUMIF('2023.09'!$B:$B,B32,'2023.07'!H:H)</f>
        <v>-168533337.5</v>
      </c>
      <c r="J32" s="194" t="s">
        <v>175</v>
      </c>
      <c r="K32" s="194" t="s">
        <v>283</v>
      </c>
      <c r="L32" s="278">
        <v>45176</v>
      </c>
      <c r="M32" s="236"/>
    </row>
    <row r="33" spans="1:13" s="98" customFormat="1" ht="24" customHeight="1">
      <c r="A33" s="17">
        <f t="shared" si="2"/>
        <v>30</v>
      </c>
      <c r="B33" s="17" t="s">
        <v>4</v>
      </c>
      <c r="C33" s="14" t="s">
        <v>222</v>
      </c>
      <c r="D33" s="17" t="s">
        <v>30</v>
      </c>
      <c r="E33" s="124"/>
      <c r="F33" s="18">
        <v>5000000</v>
      </c>
      <c r="G33" s="18">
        <f t="shared" si="0"/>
        <v>500000</v>
      </c>
      <c r="H33" s="107">
        <f t="shared" si="1"/>
        <v>5500000</v>
      </c>
      <c r="I33" s="60">
        <f>H33-SUMIF('2023.09'!$B:$B,B33,'2023.07'!H:H)</f>
        <v>-753830</v>
      </c>
      <c r="J33" s="194" t="s">
        <v>175</v>
      </c>
      <c r="K33" s="194" t="s">
        <v>109</v>
      </c>
      <c r="L33" s="278">
        <v>45199</v>
      </c>
      <c r="M33" s="195"/>
    </row>
    <row r="34" spans="1:13" s="98" customFormat="1" ht="24" customHeight="1">
      <c r="A34" s="83">
        <f t="shared" si="2"/>
        <v>31</v>
      </c>
      <c r="B34" s="83" t="s">
        <v>4</v>
      </c>
      <c r="C34" s="78" t="s">
        <v>151</v>
      </c>
      <c r="D34" s="83"/>
      <c r="E34" s="80"/>
      <c r="F34" s="80"/>
      <c r="G34" s="80">
        <f t="shared" si="0"/>
        <v>0</v>
      </c>
      <c r="H34" s="88">
        <f t="shared" si="1"/>
        <v>0</v>
      </c>
      <c r="I34" s="81">
        <f>H34-SUMIF('2023.09'!$B:$B,B34,'2023.07'!H:H)</f>
        <v>-6253830</v>
      </c>
      <c r="J34" s="149" t="s">
        <v>175</v>
      </c>
      <c r="K34" s="149" t="s">
        <v>279</v>
      </c>
      <c r="L34" s="307"/>
      <c r="M34" s="309"/>
    </row>
    <row r="35" spans="1:13" s="98" customFormat="1" ht="24" hidden="1" customHeight="1">
      <c r="A35" s="11"/>
      <c r="B35" s="11"/>
      <c r="C35" s="11"/>
      <c r="D35" s="11"/>
      <c r="E35" s="22"/>
      <c r="F35" s="22"/>
      <c r="G35" s="22">
        <f t="shared" si="0"/>
        <v>0</v>
      </c>
      <c r="H35" s="22"/>
      <c r="I35" s="58">
        <f>H35-SUMIF('2023.09'!$B:$B,B35,'2023.07'!H:H)</f>
        <v>0</v>
      </c>
      <c r="J35" s="199"/>
      <c r="K35" s="199"/>
      <c r="L35" s="279"/>
      <c r="M35" s="131"/>
    </row>
    <row r="36" spans="1:13" s="101" customFormat="1" ht="24" hidden="1" customHeight="1">
      <c r="A36" s="129">
        <f t="shared" si="2"/>
        <v>33</v>
      </c>
      <c r="B36" s="129" t="s">
        <v>37</v>
      </c>
      <c r="C36" s="129" t="s">
        <v>47</v>
      </c>
      <c r="D36" s="129"/>
      <c r="E36" s="130"/>
      <c r="F36" s="130"/>
      <c r="G36" s="130">
        <f t="shared" si="0"/>
        <v>0</v>
      </c>
      <c r="H36" s="130">
        <f>+F36+G36</f>
        <v>0</v>
      </c>
      <c r="I36" s="58">
        <f>H36-SUMIF('2023.09'!$B:$B,B36,'2023.07'!H:H)</f>
        <v>0</v>
      </c>
      <c r="J36" s="199"/>
      <c r="K36" s="199"/>
      <c r="L36" s="279"/>
      <c r="M36" s="138"/>
    </row>
    <row r="37" spans="1:13" s="39" customFormat="1" ht="24" customHeight="1">
      <c r="A37" s="364" t="s">
        <v>18</v>
      </c>
      <c r="B37" s="365"/>
      <c r="C37" s="304"/>
      <c r="D37" s="304"/>
      <c r="E37" s="139">
        <f>SUM(E4:E36)</f>
        <v>1280495</v>
      </c>
      <c r="F37" s="139">
        <f>SUM(F4:F36)</f>
        <v>167237090</v>
      </c>
      <c r="G37" s="139">
        <f>SUM(G4:G36)</f>
        <v>16723709</v>
      </c>
      <c r="H37" s="139">
        <f>SUM(H4:H36)</f>
        <v>183960799</v>
      </c>
      <c r="I37" s="203">
        <f>H37-'2023.06'!I31</f>
        <v>336550489</v>
      </c>
      <c r="J37" s="204"/>
      <c r="K37" s="204"/>
      <c r="L37" s="281"/>
      <c r="M37" s="37"/>
    </row>
    <row r="38" spans="1:13">
      <c r="A38" s="40"/>
      <c r="B38" s="40"/>
      <c r="C38" s="40"/>
      <c r="D38" s="40"/>
      <c r="E38" s="205"/>
      <c r="F38" s="205"/>
      <c r="G38" s="205"/>
      <c r="H38" s="205"/>
      <c r="I38" s="205"/>
      <c r="J38" s="205"/>
      <c r="K38" s="205"/>
      <c r="L38" s="205"/>
      <c r="M38" s="40"/>
    </row>
    <row r="39" spans="1:13">
      <c r="A39" s="40"/>
      <c r="B39" s="206" t="s">
        <v>50</v>
      </c>
      <c r="C39" s="40"/>
      <c r="D39" s="40"/>
      <c r="E39" s="205"/>
      <c r="F39" s="207">
        <f>F37-'2022.10'!E20</f>
        <v>16266265</v>
      </c>
      <c r="G39" s="207">
        <f>G37-'2022.10'!F20</f>
        <v>1626626.5</v>
      </c>
      <c r="H39" s="207">
        <f>H37-'2022.10'!G20</f>
        <v>17892891.5</v>
      </c>
      <c r="I39" s="207"/>
      <c r="J39" s="207"/>
      <c r="K39" s="207"/>
      <c r="L39" s="207"/>
      <c r="M39" s="208"/>
    </row>
    <row r="40" spans="1:13" ht="15.75" customHeight="1">
      <c r="A40" s="40"/>
      <c r="B40" s="40"/>
      <c r="C40" s="40"/>
      <c r="D40" s="40"/>
      <c r="E40" s="40"/>
      <c r="F40" s="205"/>
      <c r="G40" s="205"/>
      <c r="H40" s="205"/>
      <c r="I40" s="205"/>
      <c r="J40" s="205"/>
      <c r="K40" s="205"/>
      <c r="L40" s="205"/>
      <c r="M40" s="40"/>
    </row>
    <row r="41" spans="1:13">
      <c r="A41" s="214" t="s">
        <v>148</v>
      </c>
      <c r="B41" s="215" t="s">
        <v>149</v>
      </c>
      <c r="C41" s="215" t="s">
        <v>151</v>
      </c>
      <c r="D41" s="215"/>
      <c r="E41" s="216"/>
      <c r="F41" s="217"/>
      <c r="G41" s="22">
        <f t="shared" ref="G41" si="7">+F41*0.1</f>
        <v>0</v>
      </c>
      <c r="H41" s="218">
        <f t="shared" ref="H41:H46" si="8">F41+G41</f>
        <v>0</v>
      </c>
      <c r="I41" s="218">
        <f>H41-'2023.06'!H35</f>
        <v>0</v>
      </c>
      <c r="J41" s="290" t="s">
        <v>183</v>
      </c>
      <c r="K41" s="199" t="s">
        <v>109</v>
      </c>
      <c r="L41" s="282"/>
      <c r="M41" s="285" t="s">
        <v>301</v>
      </c>
    </row>
    <row r="42" spans="1:13">
      <c r="A42" s="214" t="s">
        <v>148</v>
      </c>
      <c r="B42" s="215" t="s">
        <v>150</v>
      </c>
      <c r="C42" s="215" t="s">
        <v>151</v>
      </c>
      <c r="D42" s="215"/>
      <c r="E42" s="216"/>
      <c r="F42" s="36"/>
      <c r="G42" s="22">
        <f>+F42*0.1</f>
        <v>0</v>
      </c>
      <c r="H42" s="218">
        <f t="shared" si="8"/>
        <v>0</v>
      </c>
      <c r="I42" s="218"/>
      <c r="J42" s="290" t="s">
        <v>183</v>
      </c>
      <c r="K42" s="199" t="s">
        <v>109</v>
      </c>
      <c r="L42" s="282"/>
      <c r="M42" s="285" t="s">
        <v>302</v>
      </c>
    </row>
    <row r="43" spans="1:13">
      <c r="A43" s="181" t="s">
        <v>148</v>
      </c>
      <c r="B43" s="182" t="s">
        <v>327</v>
      </c>
      <c r="C43" s="182" t="s">
        <v>151</v>
      </c>
      <c r="D43" s="182"/>
      <c r="E43" s="187">
        <v>100</v>
      </c>
      <c r="F43" s="15">
        <v>272727.27272727271</v>
      </c>
      <c r="G43" s="18">
        <v>27272.727272727294</v>
      </c>
      <c r="H43" s="184">
        <f>F43+G43</f>
        <v>300000</v>
      </c>
      <c r="I43" s="184"/>
      <c r="J43" s="272" t="s">
        <v>183</v>
      </c>
      <c r="K43" s="194" t="s">
        <v>276</v>
      </c>
      <c r="L43" s="278">
        <v>45188</v>
      </c>
      <c r="M43" s="291"/>
    </row>
    <row r="44" spans="1:13">
      <c r="A44" s="181" t="s">
        <v>148</v>
      </c>
      <c r="B44" s="182" t="s">
        <v>326</v>
      </c>
      <c r="C44" s="182" t="s">
        <v>151</v>
      </c>
      <c r="D44" s="182"/>
      <c r="E44" s="187">
        <v>50</v>
      </c>
      <c r="F44" s="15">
        <v>136364</v>
      </c>
      <c r="G44" s="18">
        <v>13636</v>
      </c>
      <c r="H44" s="184">
        <f t="shared" si="8"/>
        <v>150000</v>
      </c>
      <c r="I44" s="184"/>
      <c r="J44" s="272" t="s">
        <v>183</v>
      </c>
      <c r="K44" s="194" t="s">
        <v>110</v>
      </c>
      <c r="L44" s="278">
        <v>45173</v>
      </c>
      <c r="M44" s="303"/>
    </row>
    <row r="45" spans="1:13">
      <c r="A45" s="181" t="s">
        <v>303</v>
      </c>
      <c r="B45" s="182" t="s">
        <v>325</v>
      </c>
      <c r="C45" s="182" t="s">
        <v>304</v>
      </c>
      <c r="D45" s="182"/>
      <c r="E45" s="187">
        <v>50</v>
      </c>
      <c r="F45" s="15">
        <v>136364</v>
      </c>
      <c r="G45" s="18">
        <v>13636</v>
      </c>
      <c r="H45" s="184">
        <f t="shared" si="8"/>
        <v>150000</v>
      </c>
      <c r="I45" s="184"/>
      <c r="J45" s="272" t="s">
        <v>305</v>
      </c>
      <c r="K45" s="194" t="s">
        <v>306</v>
      </c>
      <c r="L45" s="278">
        <v>45176</v>
      </c>
      <c r="M45" s="291"/>
    </row>
    <row r="46" spans="1:13">
      <c r="A46" s="310" t="s">
        <v>303</v>
      </c>
      <c r="B46" s="311" t="s">
        <v>315</v>
      </c>
      <c r="C46" s="311" t="s">
        <v>304</v>
      </c>
      <c r="D46" s="311"/>
      <c r="E46" s="312"/>
      <c r="F46" s="79"/>
      <c r="G46" s="80"/>
      <c r="H46" s="313">
        <f t="shared" si="8"/>
        <v>0</v>
      </c>
      <c r="I46" s="313"/>
      <c r="J46" s="168" t="s">
        <v>305</v>
      </c>
      <c r="K46" s="149" t="s">
        <v>306</v>
      </c>
      <c r="L46" s="307"/>
      <c r="M46" s="283"/>
    </row>
  </sheetData>
  <autoFilter ref="A3:M3"/>
  <mergeCells count="2">
    <mergeCell ref="A1:M1"/>
    <mergeCell ref="A37:B3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7"/>
  <sheetViews>
    <sheetView showGridLines="0" workbookViewId="0">
      <pane xSplit="2" ySplit="3" topLeftCell="C25" activePane="bottomRight" state="frozen"/>
      <selection pane="topRight" activeCell="C1" sqref="C1"/>
      <selection pane="bottomLeft" activeCell="A2" sqref="A2"/>
      <selection pane="bottomRight" activeCell="C51" sqref="C51"/>
    </sheetView>
  </sheetViews>
  <sheetFormatPr defaultColWidth="9" defaultRowHeight="16.5"/>
  <cols>
    <col min="1" max="1" width="7.5" bestFit="1" customWidth="1"/>
    <col min="2" max="2" width="20" customWidth="1"/>
    <col min="3" max="3" width="29.25" bestFit="1" customWidth="1"/>
    <col min="4" max="4" width="15.375" bestFit="1" customWidth="1"/>
    <col min="5" max="5" width="12.375" style="2" bestFit="1" customWidth="1"/>
    <col min="6" max="6" width="14.875" style="2" bestFit="1" customWidth="1"/>
    <col min="7" max="7" width="13.625" style="2" bestFit="1" customWidth="1"/>
    <col min="8" max="8" width="14.875" style="2" bestFit="1" customWidth="1"/>
    <col min="9" max="9" width="14.875" style="2" customWidth="1"/>
    <col min="10" max="11" width="10.75" style="2" customWidth="1"/>
    <col min="12" max="12" width="19.375" style="2" bestFit="1" customWidth="1"/>
    <col min="13" max="13" width="47.375" customWidth="1"/>
    <col min="14" max="14" width="9.5" style="40" bestFit="1" customWidth="1"/>
    <col min="15" max="15" width="9.25" style="40" bestFit="1" customWidth="1"/>
    <col min="16" max="16384" width="9" style="40"/>
  </cols>
  <sheetData>
    <row r="1" spans="1:13" ht="38.25">
      <c r="A1" s="363" t="s">
        <v>312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63"/>
    </row>
    <row r="2" spans="1:13">
      <c r="M2" s="44" t="s">
        <v>313</v>
      </c>
    </row>
    <row r="3" spans="1:13" s="38" customFormat="1">
      <c r="A3" s="5" t="s">
        <v>12</v>
      </c>
      <c r="B3" s="5" t="s">
        <v>0</v>
      </c>
      <c r="C3" s="5" t="s">
        <v>223</v>
      </c>
      <c r="D3" s="5" t="s">
        <v>231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50</v>
      </c>
      <c r="J3" s="1" t="s">
        <v>179</v>
      </c>
      <c r="K3" s="1" t="s">
        <v>291</v>
      </c>
      <c r="L3" s="1" t="s">
        <v>290</v>
      </c>
      <c r="M3" s="5" t="s">
        <v>23</v>
      </c>
    </row>
    <row r="4" spans="1:13" s="98" customFormat="1" ht="24" customHeight="1">
      <c r="A4" s="8">
        <f>ROW()-3</f>
        <v>1</v>
      </c>
      <c r="B4" s="8" t="s">
        <v>13</v>
      </c>
      <c r="C4" s="8" t="s">
        <v>242</v>
      </c>
      <c r="D4" s="8"/>
      <c r="E4" s="36"/>
      <c r="F4" s="36"/>
      <c r="G4" s="22">
        <f t="shared" ref="G4:G35" si="0">+F4*0.1</f>
        <v>0</v>
      </c>
      <c r="H4" s="36">
        <f t="shared" ref="H4:H33" si="1">+F4+G4</f>
        <v>0</v>
      </c>
      <c r="I4" s="58">
        <f>H4-SUMIF('2023.08'!$B:$B,B4,'2023.07'!H:H)</f>
        <v>0</v>
      </c>
      <c r="J4" s="199" t="s">
        <v>175</v>
      </c>
      <c r="K4" s="199" t="s">
        <v>110</v>
      </c>
      <c r="L4" s="279"/>
      <c r="M4" s="200"/>
    </row>
    <row r="5" spans="1:13" s="98" customFormat="1" ht="24" customHeight="1">
      <c r="A5" s="14">
        <f t="shared" ref="A5:A35" si="2">ROW()-3</f>
        <v>2</v>
      </c>
      <c r="B5" s="14" t="s">
        <v>5</v>
      </c>
      <c r="C5" s="14" t="s">
        <v>34</v>
      </c>
      <c r="D5" s="14"/>
      <c r="E5" s="15">
        <v>546980</v>
      </c>
      <c r="F5" s="15">
        <v>43819000</v>
      </c>
      <c r="G5" s="18">
        <f t="shared" si="0"/>
        <v>4381900</v>
      </c>
      <c r="H5" s="15">
        <f t="shared" si="1"/>
        <v>48200900</v>
      </c>
      <c r="I5" s="60">
        <f>H5-SUMIF('2023.08'!$B:$B,B5,'2023.07'!H:H)</f>
        <v>8526320</v>
      </c>
      <c r="J5" s="194" t="s">
        <v>175</v>
      </c>
      <c r="K5" s="194" t="s">
        <v>278</v>
      </c>
      <c r="L5" s="278">
        <v>45169</v>
      </c>
      <c r="M5" s="16" t="s">
        <v>322</v>
      </c>
    </row>
    <row r="6" spans="1:13" s="98" customFormat="1" ht="24" customHeight="1">
      <c r="A6" s="14">
        <f t="shared" si="2"/>
        <v>3</v>
      </c>
      <c r="B6" s="14" t="s">
        <v>11</v>
      </c>
      <c r="C6" s="14" t="s">
        <v>222</v>
      </c>
      <c r="D6" s="14" t="s">
        <v>28</v>
      </c>
      <c r="E6" s="15">
        <v>484645</v>
      </c>
      <c r="F6" s="15">
        <v>45067825</v>
      </c>
      <c r="G6" s="18">
        <f t="shared" si="0"/>
        <v>4506782.5</v>
      </c>
      <c r="H6" s="15">
        <f t="shared" si="1"/>
        <v>49574607.5</v>
      </c>
      <c r="I6" s="60">
        <f>H6-SUMIF('2023.08'!$B:$B,B6,'2023.07'!H:H)</f>
        <v>-6776715</v>
      </c>
      <c r="J6" s="272" t="s">
        <v>183</v>
      </c>
      <c r="K6" s="194" t="s">
        <v>278</v>
      </c>
      <c r="L6" s="278">
        <v>45169</v>
      </c>
      <c r="M6" s="292" t="s">
        <v>300</v>
      </c>
    </row>
    <row r="7" spans="1:13" s="98" customFormat="1" ht="24" customHeight="1">
      <c r="A7" s="14">
        <f t="shared" si="2"/>
        <v>4</v>
      </c>
      <c r="B7" s="17" t="s">
        <v>2</v>
      </c>
      <c r="C7" s="14" t="s">
        <v>222</v>
      </c>
      <c r="D7" s="14" t="s">
        <v>34</v>
      </c>
      <c r="E7" s="15"/>
      <c r="F7" s="15">
        <v>2515450</v>
      </c>
      <c r="G7" s="18">
        <f t="shared" si="0"/>
        <v>251545</v>
      </c>
      <c r="H7" s="15">
        <f t="shared" si="1"/>
        <v>2766995</v>
      </c>
      <c r="I7" s="60">
        <f>H7-SUMIF('2023.08'!$B:$B,B7,'2023.07'!H:H)</f>
        <v>-325105</v>
      </c>
      <c r="J7" s="194" t="s">
        <v>175</v>
      </c>
      <c r="K7" s="194" t="s">
        <v>279</v>
      </c>
      <c r="L7" s="278">
        <v>45169</v>
      </c>
      <c r="M7" s="116"/>
    </row>
    <row r="8" spans="1:13" s="98" customFormat="1" ht="24" customHeight="1">
      <c r="A8" s="12">
        <f t="shared" si="2"/>
        <v>5</v>
      </c>
      <c r="B8" s="12" t="s">
        <v>9</v>
      </c>
      <c r="C8" s="12" t="s">
        <v>28</v>
      </c>
      <c r="D8" s="12"/>
      <c r="E8" s="4"/>
      <c r="F8" s="4"/>
      <c r="G8" s="4">
        <f t="shared" si="0"/>
        <v>0</v>
      </c>
      <c r="H8" s="4">
        <f t="shared" si="1"/>
        <v>0</v>
      </c>
      <c r="I8" s="62">
        <f>H8-SUMIF('2023.08'!$B:$B,B8,'2023.07'!H:H)</f>
        <v>0</v>
      </c>
      <c r="J8" s="244"/>
      <c r="K8" s="244"/>
      <c r="L8" s="280"/>
      <c r="M8" s="32"/>
    </row>
    <row r="9" spans="1:13" s="98" customFormat="1" ht="24" customHeight="1">
      <c r="A9" s="14">
        <f t="shared" si="2"/>
        <v>6</v>
      </c>
      <c r="B9" s="14" t="s">
        <v>1</v>
      </c>
      <c r="C9" s="14" t="s">
        <v>222</v>
      </c>
      <c r="D9" s="14" t="s">
        <v>224</v>
      </c>
      <c r="E9" s="212">
        <v>22585</v>
      </c>
      <c r="F9" s="15">
        <v>4968700</v>
      </c>
      <c r="G9" s="18">
        <f t="shared" si="0"/>
        <v>496870</v>
      </c>
      <c r="H9" s="15">
        <f t="shared" si="1"/>
        <v>5465570</v>
      </c>
      <c r="I9" s="60">
        <f>H9-SUMIF('2023.08'!$B:$B,B9,'2023.07'!H:H)</f>
        <v>65340</v>
      </c>
      <c r="J9" s="194" t="s">
        <v>175</v>
      </c>
      <c r="K9" s="194" t="s">
        <v>109</v>
      </c>
      <c r="L9" s="278">
        <v>45169</v>
      </c>
      <c r="M9" s="225"/>
    </row>
    <row r="10" spans="1:13" s="98" customFormat="1" ht="24" customHeight="1">
      <c r="A10" s="8">
        <f t="shared" si="2"/>
        <v>7</v>
      </c>
      <c r="B10" s="220" t="s">
        <v>197</v>
      </c>
      <c r="C10" s="220" t="s">
        <v>104</v>
      </c>
      <c r="D10" s="220"/>
      <c r="E10" s="221">
        <v>56215</v>
      </c>
      <c r="F10" s="222">
        <v>1686450</v>
      </c>
      <c r="G10" s="222">
        <f t="shared" si="0"/>
        <v>168645</v>
      </c>
      <c r="H10" s="222">
        <f t="shared" si="1"/>
        <v>1855095</v>
      </c>
      <c r="I10" s="223">
        <f>H10-SUMIF('2023.08'!$B:$B,B10,'2023.07'!H:H)</f>
        <v>-112805</v>
      </c>
      <c r="J10" s="199" t="s">
        <v>293</v>
      </c>
      <c r="K10" s="199" t="s">
        <v>281</v>
      </c>
      <c r="L10" s="279">
        <v>45169</v>
      </c>
      <c r="M10" s="227"/>
    </row>
    <row r="11" spans="1:13" s="98" customFormat="1" ht="24" customHeight="1">
      <c r="A11" s="14">
        <f t="shared" si="2"/>
        <v>8</v>
      </c>
      <c r="B11" s="14" t="s">
        <v>69</v>
      </c>
      <c r="C11" s="14" t="s">
        <v>46</v>
      </c>
      <c r="D11" s="14"/>
      <c r="E11" s="15">
        <v>21450</v>
      </c>
      <c r="F11" s="15">
        <v>28957500</v>
      </c>
      <c r="G11" s="18">
        <f t="shared" si="0"/>
        <v>2895750</v>
      </c>
      <c r="H11" s="15">
        <f t="shared" si="1"/>
        <v>31853250</v>
      </c>
      <c r="I11" s="60">
        <f>H11-SUMIF('2023.08'!$B:$B,B11,'2023.07'!H:H)</f>
        <v>-4855180</v>
      </c>
      <c r="J11" s="194" t="s">
        <v>175</v>
      </c>
      <c r="K11" s="194" t="s">
        <v>281</v>
      </c>
      <c r="L11" s="278">
        <v>45169</v>
      </c>
      <c r="M11" s="116" t="s">
        <v>286</v>
      </c>
    </row>
    <row r="12" spans="1:13" s="98" customFormat="1" ht="24" customHeight="1">
      <c r="A12" s="14">
        <f t="shared" si="2"/>
        <v>9</v>
      </c>
      <c r="B12" s="14" t="s">
        <v>69</v>
      </c>
      <c r="C12" s="14" t="s">
        <v>266</v>
      </c>
      <c r="D12" s="14"/>
      <c r="E12" s="15">
        <v>9680</v>
      </c>
      <c r="F12" s="15">
        <v>2807200</v>
      </c>
      <c r="G12" s="18">
        <f t="shared" si="0"/>
        <v>280720</v>
      </c>
      <c r="H12" s="15">
        <f t="shared" si="1"/>
        <v>3087920</v>
      </c>
      <c r="I12" s="60">
        <f>H12-SUMIF('2023.08'!$B:$B,B12,'2023.07'!H:H)</f>
        <v>-33620510</v>
      </c>
      <c r="J12" s="194" t="s">
        <v>175</v>
      </c>
      <c r="K12" s="194" t="s">
        <v>109</v>
      </c>
      <c r="L12" s="278">
        <v>45169</v>
      </c>
      <c r="M12" s="292" t="s">
        <v>298</v>
      </c>
    </row>
    <row r="13" spans="1:13" s="98" customFormat="1" ht="24" customHeight="1">
      <c r="A13" s="14">
        <f t="shared" si="2"/>
        <v>10</v>
      </c>
      <c r="B13" s="14" t="s">
        <v>7</v>
      </c>
      <c r="C13" s="14" t="s">
        <v>222</v>
      </c>
      <c r="D13" s="14" t="s">
        <v>225</v>
      </c>
      <c r="E13" s="15">
        <v>3080</v>
      </c>
      <c r="F13" s="15">
        <v>431200</v>
      </c>
      <c r="G13" s="18">
        <f t="shared" si="0"/>
        <v>43120</v>
      </c>
      <c r="H13" s="15">
        <f t="shared" si="1"/>
        <v>474320</v>
      </c>
      <c r="I13" s="60">
        <f>H13-SUMIF('2023.08'!$B:$B,B13,'2023.07'!H:H)</f>
        <v>-32340</v>
      </c>
      <c r="J13" s="193" t="s">
        <v>175</v>
      </c>
      <c r="K13" s="193" t="s">
        <v>279</v>
      </c>
      <c r="L13" s="305">
        <v>45169</v>
      </c>
      <c r="M13" s="116"/>
    </row>
    <row r="14" spans="1:13" s="98" customFormat="1" ht="24" customHeight="1">
      <c r="A14" s="14">
        <f t="shared" si="2"/>
        <v>11</v>
      </c>
      <c r="B14" s="14" t="s">
        <v>201</v>
      </c>
      <c r="C14" s="14" t="s">
        <v>92</v>
      </c>
      <c r="D14" s="219" t="s">
        <v>92</v>
      </c>
      <c r="E14" s="15"/>
      <c r="F14" s="15">
        <v>559000</v>
      </c>
      <c r="G14" s="18">
        <f t="shared" si="0"/>
        <v>55900</v>
      </c>
      <c r="H14" s="15">
        <f t="shared" si="1"/>
        <v>614900</v>
      </c>
      <c r="I14" s="60">
        <f>H14-SUMIF('2023.08'!$B:$B,B14,'2023.07'!H:H)</f>
        <v>-10156740</v>
      </c>
      <c r="J14" s="272" t="s">
        <v>287</v>
      </c>
      <c r="K14" s="194" t="s">
        <v>283</v>
      </c>
      <c r="L14" s="278">
        <v>45146</v>
      </c>
      <c r="M14" s="116" t="s">
        <v>288</v>
      </c>
    </row>
    <row r="15" spans="1:13" s="98" customFormat="1" ht="24" customHeight="1">
      <c r="A15" s="14">
        <f t="shared" si="2"/>
        <v>12</v>
      </c>
      <c r="B15" s="14" t="s">
        <v>201</v>
      </c>
      <c r="C15" s="14" t="s">
        <v>92</v>
      </c>
      <c r="D15" s="219" t="s">
        <v>92</v>
      </c>
      <c r="E15" s="15"/>
      <c r="F15" s="15">
        <v>469950</v>
      </c>
      <c r="G15" s="18">
        <f t="shared" si="0"/>
        <v>46995</v>
      </c>
      <c r="H15" s="15">
        <f t="shared" si="1"/>
        <v>516945</v>
      </c>
      <c r="I15" s="60">
        <f>H15-SUMIF('2023.08'!$B:$B,B15,'2023.07'!H:H)</f>
        <v>-10254695</v>
      </c>
      <c r="J15" s="272" t="s">
        <v>287</v>
      </c>
      <c r="K15" s="194" t="s">
        <v>283</v>
      </c>
      <c r="L15" s="278">
        <v>45161</v>
      </c>
      <c r="M15" s="116" t="s">
        <v>288</v>
      </c>
    </row>
    <row r="16" spans="1:13" s="98" customFormat="1" ht="24" customHeight="1">
      <c r="A16" s="14">
        <f t="shared" si="2"/>
        <v>13</v>
      </c>
      <c r="B16" s="14" t="s">
        <v>201</v>
      </c>
      <c r="C16" s="14" t="s">
        <v>39</v>
      </c>
      <c r="D16" s="14"/>
      <c r="E16" s="15">
        <v>3000</v>
      </c>
      <c r="F16" s="15">
        <v>4800000</v>
      </c>
      <c r="G16" s="18">
        <f t="shared" si="0"/>
        <v>480000</v>
      </c>
      <c r="H16" s="15">
        <f t="shared" si="1"/>
        <v>5280000</v>
      </c>
      <c r="I16" s="60">
        <f>H16-SUMIF('2023.08'!$B:$B,B16,'2023.07'!H:H)</f>
        <v>-5491640</v>
      </c>
      <c r="J16" s="272" t="s">
        <v>287</v>
      </c>
      <c r="K16" s="194" t="s">
        <v>283</v>
      </c>
      <c r="L16" s="278">
        <v>45146</v>
      </c>
      <c r="M16" s="116" t="s">
        <v>288</v>
      </c>
    </row>
    <row r="17" spans="1:15" s="98" customFormat="1" ht="24" customHeight="1">
      <c r="A17" s="14">
        <f t="shared" si="2"/>
        <v>14</v>
      </c>
      <c r="B17" s="14" t="s">
        <v>201</v>
      </c>
      <c r="C17" s="14" t="s">
        <v>92</v>
      </c>
      <c r="D17" s="14"/>
      <c r="E17" s="15"/>
      <c r="F17" s="15">
        <v>8760900</v>
      </c>
      <c r="G17" s="18">
        <f t="shared" si="0"/>
        <v>876090</v>
      </c>
      <c r="H17" s="15">
        <f t="shared" si="1"/>
        <v>9636990</v>
      </c>
      <c r="I17" s="60">
        <f>H17-SUMIF('2023.08'!$B:$B,B17,'2023.07'!H:H)</f>
        <v>-1134650</v>
      </c>
      <c r="J17" s="272" t="s">
        <v>287</v>
      </c>
      <c r="K17" s="194" t="s">
        <v>283</v>
      </c>
      <c r="L17" s="278">
        <v>45166</v>
      </c>
      <c r="M17" s="116" t="s">
        <v>288</v>
      </c>
    </row>
    <row r="18" spans="1:15" s="98" customFormat="1" ht="24" customHeight="1">
      <c r="A18" s="14">
        <f t="shared" si="2"/>
        <v>15</v>
      </c>
      <c r="B18" s="14" t="s">
        <v>201</v>
      </c>
      <c r="C18" s="14" t="s">
        <v>39</v>
      </c>
      <c r="D18" s="14"/>
      <c r="E18" s="15">
        <v>4635</v>
      </c>
      <c r="F18" s="15">
        <v>7416000</v>
      </c>
      <c r="G18" s="18">
        <f t="shared" si="0"/>
        <v>741600</v>
      </c>
      <c r="H18" s="15">
        <f t="shared" si="1"/>
        <v>8157600</v>
      </c>
      <c r="I18" s="60">
        <f>H18-SUMIF('2023.08'!$B:$B,B18,'2023.07'!H:H)</f>
        <v>-2614040</v>
      </c>
      <c r="J18" s="272" t="s">
        <v>287</v>
      </c>
      <c r="K18" s="194" t="s">
        <v>283</v>
      </c>
      <c r="L18" s="278">
        <v>45169</v>
      </c>
      <c r="M18" s="116" t="s">
        <v>288</v>
      </c>
    </row>
    <row r="19" spans="1:15" s="98" customFormat="1" ht="24" customHeight="1">
      <c r="A19" s="8">
        <f t="shared" si="2"/>
        <v>16</v>
      </c>
      <c r="B19" s="8" t="s">
        <v>201</v>
      </c>
      <c r="C19" s="8" t="s">
        <v>204</v>
      </c>
      <c r="D19" s="8"/>
      <c r="E19" s="36"/>
      <c r="F19" s="36"/>
      <c r="G19" s="22">
        <f t="shared" si="0"/>
        <v>0</v>
      </c>
      <c r="H19" s="36">
        <f t="shared" si="1"/>
        <v>0</v>
      </c>
      <c r="I19" s="58">
        <f>H19-SUMIF('2023.08'!$B:$B,B19,'2023.07'!H:H)</f>
        <v>-10771640</v>
      </c>
      <c r="J19" s="290" t="s">
        <v>287</v>
      </c>
      <c r="K19" s="199" t="s">
        <v>283</v>
      </c>
      <c r="L19" s="279"/>
      <c r="M19" s="136" t="s">
        <v>288</v>
      </c>
    </row>
    <row r="20" spans="1:15" s="98" customFormat="1" ht="24" customHeight="1">
      <c r="A20" s="17">
        <f t="shared" si="2"/>
        <v>17</v>
      </c>
      <c r="B20" s="17" t="s">
        <v>75</v>
      </c>
      <c r="C20" s="17" t="s">
        <v>57</v>
      </c>
      <c r="D20" s="19"/>
      <c r="E20" s="107">
        <v>4655</v>
      </c>
      <c r="F20" s="107">
        <f>4655*250</f>
        <v>1163750</v>
      </c>
      <c r="G20" s="18">
        <f t="shared" si="0"/>
        <v>116375</v>
      </c>
      <c r="H20" s="107">
        <f t="shared" si="1"/>
        <v>1280125</v>
      </c>
      <c r="I20" s="293">
        <f>H20-SUMIF('2023.08'!$B:$B,B20,'2023.07'!H:H)</f>
        <v>-9625</v>
      </c>
      <c r="J20" s="272" t="s">
        <v>183</v>
      </c>
      <c r="K20" s="287" t="s">
        <v>283</v>
      </c>
      <c r="L20" s="288">
        <v>45148</v>
      </c>
      <c r="M20" s="171"/>
      <c r="N20" s="102"/>
      <c r="O20" s="100"/>
    </row>
    <row r="21" spans="1:15" s="98" customFormat="1" ht="24" customHeight="1">
      <c r="A21" s="17">
        <f t="shared" si="2"/>
        <v>18</v>
      </c>
      <c r="B21" s="17" t="s">
        <v>75</v>
      </c>
      <c r="C21" s="17" t="s">
        <v>57</v>
      </c>
      <c r="D21" s="17"/>
      <c r="E21" s="107">
        <v>5155</v>
      </c>
      <c r="F21" s="107">
        <f>5155*250</f>
        <v>1288750</v>
      </c>
      <c r="G21" s="18">
        <f t="shared" si="0"/>
        <v>128875</v>
      </c>
      <c r="H21" s="107">
        <f t="shared" si="1"/>
        <v>1417625</v>
      </c>
      <c r="I21" s="60">
        <f>H21-SUMIF('2023.08'!$B:$B,B21,'2023.07'!H:H)</f>
        <v>127875</v>
      </c>
      <c r="J21" s="272" t="s">
        <v>183</v>
      </c>
      <c r="K21" s="194" t="s">
        <v>283</v>
      </c>
      <c r="L21" s="278">
        <v>45167</v>
      </c>
      <c r="M21" s="171"/>
      <c r="N21" s="102"/>
      <c r="O21" s="100"/>
    </row>
    <row r="22" spans="1:15" s="98" customFormat="1" ht="24" customHeight="1">
      <c r="A22" s="14">
        <f t="shared" si="2"/>
        <v>19</v>
      </c>
      <c r="B22" s="14" t="s">
        <v>267</v>
      </c>
      <c r="C22" s="213" t="s">
        <v>309</v>
      </c>
      <c r="D22" s="14"/>
      <c r="E22" s="15">
        <v>2000</v>
      </c>
      <c r="F22" s="15">
        <v>2800000</v>
      </c>
      <c r="G22" s="18">
        <f t="shared" si="0"/>
        <v>280000</v>
      </c>
      <c r="H22" s="15">
        <f t="shared" si="1"/>
        <v>3080000</v>
      </c>
      <c r="I22" s="60">
        <f>H22-SUMIF('2023.08'!$B:$B,B22,'2023.07'!H:H)</f>
        <v>-7979125</v>
      </c>
      <c r="J22" s="193" t="s">
        <v>175</v>
      </c>
      <c r="K22" s="194" t="s">
        <v>283</v>
      </c>
      <c r="L22" s="278">
        <v>45140</v>
      </c>
      <c r="M22" s="292" t="s">
        <v>297</v>
      </c>
    </row>
    <row r="23" spans="1:15" s="98" customFormat="1" ht="24" customHeight="1">
      <c r="A23" s="14">
        <f t="shared" si="2"/>
        <v>20</v>
      </c>
      <c r="B23" s="14" t="s">
        <v>267</v>
      </c>
      <c r="C23" s="213" t="s">
        <v>310</v>
      </c>
      <c r="D23" s="14"/>
      <c r="E23" s="15">
        <v>823</v>
      </c>
      <c r="F23" s="15">
        <v>1810600</v>
      </c>
      <c r="G23" s="18">
        <f t="shared" ref="G23:G24" si="3">+F23*0.1</f>
        <v>181060</v>
      </c>
      <c r="H23" s="15">
        <f t="shared" ref="H23:H24" si="4">+F23+G23</f>
        <v>1991660</v>
      </c>
      <c r="I23" s="60">
        <f>H23-SUMIF('2023.08'!$B:$B,B23,'2023.07'!H:H)</f>
        <v>-9067465</v>
      </c>
      <c r="J23" s="193" t="s">
        <v>175</v>
      </c>
      <c r="K23" s="194" t="s">
        <v>283</v>
      </c>
      <c r="L23" s="278">
        <v>45140</v>
      </c>
      <c r="M23" s="292" t="s">
        <v>311</v>
      </c>
    </row>
    <row r="24" spans="1:15" s="98" customFormat="1" ht="24" customHeight="1">
      <c r="A24" s="14">
        <f t="shared" si="2"/>
        <v>21</v>
      </c>
      <c r="B24" s="14" t="s">
        <v>267</v>
      </c>
      <c r="C24" s="213" t="s">
        <v>309</v>
      </c>
      <c r="D24" s="14"/>
      <c r="E24" s="15">
        <v>930</v>
      </c>
      <c r="F24" s="15">
        <f>930*1400</f>
        <v>1302000</v>
      </c>
      <c r="G24" s="18">
        <f t="shared" si="3"/>
        <v>130200</v>
      </c>
      <c r="H24" s="15">
        <f t="shared" si="4"/>
        <v>1432200</v>
      </c>
      <c r="I24" s="60">
        <f>H24-SUMIF('2023.08'!$B:$B,B24,'2023.07'!H:H)</f>
        <v>-9626925</v>
      </c>
      <c r="J24" s="193" t="s">
        <v>175</v>
      </c>
      <c r="K24" s="194" t="s">
        <v>283</v>
      </c>
      <c r="L24" s="278">
        <v>45168</v>
      </c>
      <c r="M24" s="292"/>
    </row>
    <row r="25" spans="1:15" s="98" customFormat="1" ht="24" customHeight="1">
      <c r="A25" s="14">
        <f t="shared" si="2"/>
        <v>22</v>
      </c>
      <c r="B25" s="14" t="s">
        <v>267</v>
      </c>
      <c r="C25" s="213" t="s">
        <v>316</v>
      </c>
      <c r="D25" s="14"/>
      <c r="E25" s="15">
        <v>3170</v>
      </c>
      <c r="F25" s="15">
        <f>3170*470</f>
        <v>1489900</v>
      </c>
      <c r="G25" s="18">
        <f t="shared" ref="G25" si="5">+F25*0.1</f>
        <v>148990</v>
      </c>
      <c r="H25" s="15">
        <f t="shared" ref="H25" si="6">+F25+G25</f>
        <v>1638890</v>
      </c>
      <c r="I25" s="60">
        <f>H25-SUMIF('2023.08'!$B:$B,B25,'2023.07'!H:H)</f>
        <v>-9420235</v>
      </c>
      <c r="J25" s="193" t="s">
        <v>175</v>
      </c>
      <c r="K25" s="194" t="s">
        <v>283</v>
      </c>
      <c r="L25" s="278">
        <v>45168</v>
      </c>
      <c r="M25" s="292"/>
    </row>
    <row r="26" spans="1:15" s="98" customFormat="1" ht="24" customHeight="1">
      <c r="A26" s="14">
        <f t="shared" si="2"/>
        <v>23</v>
      </c>
      <c r="B26" s="14" t="s">
        <v>267</v>
      </c>
      <c r="C26" s="213" t="s">
        <v>310</v>
      </c>
      <c r="D26" s="14"/>
      <c r="E26" s="15">
        <v>888</v>
      </c>
      <c r="F26" s="15">
        <f>888*2200</f>
        <v>1953600</v>
      </c>
      <c r="G26" s="18">
        <f t="shared" si="0"/>
        <v>195360</v>
      </c>
      <c r="H26" s="15">
        <f t="shared" si="1"/>
        <v>2148960</v>
      </c>
      <c r="I26" s="60">
        <f>H26-SUMIF('2023.08'!$B:$B,B26,'2023.07'!H:H)</f>
        <v>-8910165</v>
      </c>
      <c r="J26" s="193" t="s">
        <v>175</v>
      </c>
      <c r="K26" s="194" t="s">
        <v>283</v>
      </c>
      <c r="L26" s="278">
        <v>45166</v>
      </c>
      <c r="M26" s="292"/>
    </row>
    <row r="27" spans="1:15" s="98" customFormat="1" ht="24" customHeight="1">
      <c r="A27" s="14">
        <f t="shared" si="2"/>
        <v>24</v>
      </c>
      <c r="B27" s="14" t="s">
        <v>268</v>
      </c>
      <c r="C27" s="14" t="s">
        <v>222</v>
      </c>
      <c r="D27" s="14" t="s">
        <v>269</v>
      </c>
      <c r="E27" s="15">
        <v>18000</v>
      </c>
      <c r="F27" s="15">
        <v>7830000</v>
      </c>
      <c r="G27" s="18">
        <f t="shared" si="0"/>
        <v>783000</v>
      </c>
      <c r="H27" s="15">
        <f t="shared" si="1"/>
        <v>8613000</v>
      </c>
      <c r="I27" s="60">
        <f>H27-SUMIF('2023.08'!$B:$B,B27,'2023.07'!H:H)</f>
        <v>8613000</v>
      </c>
      <c r="J27" s="193" t="s">
        <v>175</v>
      </c>
      <c r="K27" s="194" t="s">
        <v>285</v>
      </c>
      <c r="L27" s="278">
        <v>45169</v>
      </c>
      <c r="M27" s="284" t="s">
        <v>299</v>
      </c>
    </row>
    <row r="28" spans="1:15" s="277" customFormat="1" ht="24" customHeight="1">
      <c r="A28" s="12">
        <f t="shared" si="2"/>
        <v>25</v>
      </c>
      <c r="B28" s="12" t="s">
        <v>133</v>
      </c>
      <c r="C28" s="276" t="s">
        <v>254</v>
      </c>
      <c r="D28" s="12" t="s">
        <v>256</v>
      </c>
      <c r="E28" s="4"/>
      <c r="F28" s="4"/>
      <c r="G28" s="4">
        <f t="shared" si="0"/>
        <v>0</v>
      </c>
      <c r="H28" s="4">
        <f t="shared" si="1"/>
        <v>0</v>
      </c>
      <c r="I28" s="62">
        <f>H28-SUMIF('2023.08'!$B:$B,B28,'2023.07'!H:H)</f>
        <v>-5500000</v>
      </c>
      <c r="J28" s="244" t="s">
        <v>175</v>
      </c>
      <c r="K28" s="244" t="s">
        <v>283</v>
      </c>
      <c r="L28" s="280"/>
      <c r="M28" s="254" t="s">
        <v>289</v>
      </c>
    </row>
    <row r="29" spans="1:15" s="101" customFormat="1" ht="24" customHeight="1">
      <c r="A29" s="17">
        <f t="shared" si="2"/>
        <v>26</v>
      </c>
      <c r="B29" s="17" t="s">
        <v>91</v>
      </c>
      <c r="C29" s="14" t="s">
        <v>222</v>
      </c>
      <c r="D29" s="17" t="s">
        <v>134</v>
      </c>
      <c r="E29" s="18">
        <v>2885</v>
      </c>
      <c r="F29" s="18">
        <f>2885*500</f>
        <v>1442500</v>
      </c>
      <c r="G29" s="18">
        <f t="shared" si="0"/>
        <v>144250</v>
      </c>
      <c r="H29" s="107">
        <f t="shared" si="1"/>
        <v>1586750</v>
      </c>
      <c r="I29" s="60">
        <f>H29-SUMIF('2023.08'!$B:$B,B29,'2023.07'!H:H)</f>
        <v>-170734987.5</v>
      </c>
      <c r="J29" s="194" t="s">
        <v>175</v>
      </c>
      <c r="K29" s="194" t="s">
        <v>283</v>
      </c>
      <c r="L29" s="278">
        <v>45142</v>
      </c>
      <c r="M29" s="236"/>
    </row>
    <row r="30" spans="1:15" s="101" customFormat="1" ht="24" customHeight="1">
      <c r="A30" s="17">
        <f t="shared" si="2"/>
        <v>27</v>
      </c>
      <c r="B30" s="17" t="s">
        <v>91</v>
      </c>
      <c r="C30" s="14" t="s">
        <v>222</v>
      </c>
      <c r="D30" s="17" t="s">
        <v>317</v>
      </c>
      <c r="E30" s="18"/>
      <c r="F30" s="18">
        <v>2629200</v>
      </c>
      <c r="G30" s="18">
        <f t="shared" ref="G30" si="7">+F30*0.1</f>
        <v>262920</v>
      </c>
      <c r="H30" s="107">
        <f t="shared" ref="H30" si="8">+F30+G30</f>
        <v>2892120</v>
      </c>
      <c r="I30" s="60">
        <f>H30-SUMIF('2023.08'!$B:$B,B30,'2023.07'!H:H)</f>
        <v>-169429617.5</v>
      </c>
      <c r="J30" s="194" t="s">
        <v>175</v>
      </c>
      <c r="K30" s="194" t="s">
        <v>283</v>
      </c>
      <c r="L30" s="278">
        <v>45167</v>
      </c>
      <c r="M30" s="173"/>
    </row>
    <row r="31" spans="1:15" s="101" customFormat="1" ht="24" customHeight="1">
      <c r="A31" s="17">
        <f t="shared" si="2"/>
        <v>28</v>
      </c>
      <c r="B31" s="17" t="s">
        <v>91</v>
      </c>
      <c r="C31" s="14" t="s">
        <v>222</v>
      </c>
      <c r="D31" s="17" t="s">
        <v>318</v>
      </c>
      <c r="E31" s="18"/>
      <c r="F31" s="18">
        <v>2872800</v>
      </c>
      <c r="G31" s="18">
        <f t="shared" si="0"/>
        <v>287280</v>
      </c>
      <c r="H31" s="107">
        <f t="shared" si="1"/>
        <v>3160080</v>
      </c>
      <c r="I31" s="60">
        <f>H31-SUMIF('2023.08'!$B:$B,B31,'2023.07'!H:H)</f>
        <v>-169161657.5</v>
      </c>
      <c r="J31" s="194" t="s">
        <v>175</v>
      </c>
      <c r="K31" s="194" t="s">
        <v>283</v>
      </c>
      <c r="L31" s="278">
        <v>45167</v>
      </c>
      <c r="M31" s="173"/>
    </row>
    <row r="32" spans="1:15" s="98" customFormat="1" ht="24" customHeight="1">
      <c r="A32" s="17">
        <f t="shared" si="2"/>
        <v>29</v>
      </c>
      <c r="B32" s="17" t="s">
        <v>4</v>
      </c>
      <c r="C32" s="14" t="s">
        <v>222</v>
      </c>
      <c r="D32" s="17" t="s">
        <v>30</v>
      </c>
      <c r="E32" s="124"/>
      <c r="F32" s="18">
        <v>5000000</v>
      </c>
      <c r="G32" s="18">
        <f t="shared" ref="G32" si="9">+F32*0.1</f>
        <v>500000</v>
      </c>
      <c r="H32" s="107">
        <f t="shared" ref="H32" si="10">+F32+G32</f>
        <v>5500000</v>
      </c>
      <c r="I32" s="60">
        <f>H32-SUMIF('2023.08'!$B:$B,B32,'2023.07'!H:H)</f>
        <v>-753830</v>
      </c>
      <c r="J32" s="194" t="s">
        <v>175</v>
      </c>
      <c r="K32" s="194" t="s">
        <v>109</v>
      </c>
      <c r="L32" s="278">
        <v>45169</v>
      </c>
      <c r="M32" s="195"/>
    </row>
    <row r="33" spans="1:13" s="98" customFormat="1" ht="24" customHeight="1">
      <c r="A33" s="17">
        <f t="shared" si="2"/>
        <v>30</v>
      </c>
      <c r="B33" s="17" t="s">
        <v>4</v>
      </c>
      <c r="C33" s="14" t="s">
        <v>151</v>
      </c>
      <c r="D33" s="17"/>
      <c r="E33" s="18">
        <v>500</v>
      </c>
      <c r="F33" s="18">
        <v>1250000</v>
      </c>
      <c r="G33" s="18">
        <f t="shared" si="0"/>
        <v>125000</v>
      </c>
      <c r="H33" s="107">
        <f t="shared" si="1"/>
        <v>1375000</v>
      </c>
      <c r="I33" s="60">
        <f>H33-SUMIF('2023.08'!$B:$B,B33,'2023.07'!H:H)</f>
        <v>-4878830</v>
      </c>
      <c r="J33" s="194" t="s">
        <v>175</v>
      </c>
      <c r="K33" s="194" t="s">
        <v>279</v>
      </c>
      <c r="L33" s="278">
        <v>45169</v>
      </c>
      <c r="M33" s="195"/>
    </row>
    <row r="34" spans="1:13" s="98" customFormat="1" ht="24" hidden="1" customHeight="1">
      <c r="A34" s="11"/>
      <c r="B34" s="11"/>
      <c r="C34" s="11"/>
      <c r="D34" s="11"/>
      <c r="E34" s="22"/>
      <c r="F34" s="22"/>
      <c r="G34" s="22">
        <f t="shared" si="0"/>
        <v>0</v>
      </c>
      <c r="H34" s="22"/>
      <c r="I34" s="58">
        <f>H34-SUMIF('2023.08'!$B:$B,B34,'2023.07'!H:H)</f>
        <v>0</v>
      </c>
      <c r="J34" s="199"/>
      <c r="K34" s="199"/>
      <c r="L34" s="279"/>
      <c r="M34" s="131"/>
    </row>
    <row r="35" spans="1:13" s="101" customFormat="1" ht="24" hidden="1" customHeight="1">
      <c r="A35" s="129">
        <f t="shared" si="2"/>
        <v>32</v>
      </c>
      <c r="B35" s="129" t="s">
        <v>37</v>
      </c>
      <c r="C35" s="129" t="s">
        <v>47</v>
      </c>
      <c r="D35" s="129"/>
      <c r="E35" s="130"/>
      <c r="F35" s="130"/>
      <c r="G35" s="130">
        <f t="shared" si="0"/>
        <v>0</v>
      </c>
      <c r="H35" s="130">
        <f>+F35+G35</f>
        <v>0</v>
      </c>
      <c r="I35" s="58">
        <f>H35-SUMIF('2023.08'!$B:$B,B35,'2023.07'!H:H)</f>
        <v>0</v>
      </c>
      <c r="J35" s="199"/>
      <c r="K35" s="199"/>
      <c r="L35" s="279"/>
      <c r="M35" s="138"/>
    </row>
    <row r="36" spans="1:13" s="39" customFormat="1" ht="24" customHeight="1">
      <c r="A36" s="364" t="s">
        <v>18</v>
      </c>
      <c r="B36" s="365"/>
      <c r="C36" s="289"/>
      <c r="D36" s="289"/>
      <c r="E36" s="139">
        <f>SUM(E4:E35)</f>
        <v>1191276</v>
      </c>
      <c r="F36" s="139">
        <f>SUM(F4:F35)</f>
        <v>185092275</v>
      </c>
      <c r="G36" s="139">
        <f>SUM(G4:G35)</f>
        <v>18509227.5</v>
      </c>
      <c r="H36" s="139">
        <f>SUM(H4:H35)</f>
        <v>203601502.5</v>
      </c>
      <c r="I36" s="203">
        <f>H36-'2023.06'!I31</f>
        <v>356191192.5</v>
      </c>
      <c r="J36" s="204"/>
      <c r="K36" s="204"/>
      <c r="L36" s="281"/>
      <c r="M36" s="37"/>
    </row>
    <row r="37" spans="1:13">
      <c r="A37" s="40"/>
      <c r="B37" s="40"/>
      <c r="C37" s="40"/>
      <c r="D37" s="40"/>
      <c r="E37" s="205"/>
      <c r="F37" s="205"/>
      <c r="G37" s="205"/>
      <c r="H37" s="205"/>
      <c r="I37" s="205"/>
      <c r="J37" s="205"/>
      <c r="K37" s="205"/>
      <c r="L37" s="205"/>
      <c r="M37" s="40"/>
    </row>
    <row r="38" spans="1:13">
      <c r="A38" s="40"/>
      <c r="B38" s="206" t="s">
        <v>50</v>
      </c>
      <c r="C38" s="40"/>
      <c r="D38" s="40"/>
      <c r="E38" s="205"/>
      <c r="F38" s="207">
        <f>F36-'2022.10'!E20</f>
        <v>34121450</v>
      </c>
      <c r="G38" s="207">
        <f>G36-'2022.10'!F20</f>
        <v>3412145</v>
      </c>
      <c r="H38" s="207">
        <f>H36-'2022.10'!G20</f>
        <v>37533595</v>
      </c>
      <c r="I38" s="207"/>
      <c r="J38" s="207"/>
      <c r="K38" s="207"/>
      <c r="L38" s="207"/>
      <c r="M38" s="208"/>
    </row>
    <row r="39" spans="1:13" ht="15.75" customHeight="1">
      <c r="A39" s="40"/>
      <c r="B39" s="40"/>
      <c r="C39" s="40"/>
      <c r="D39" s="40"/>
      <c r="E39" s="40"/>
      <c r="F39" s="205"/>
      <c r="G39" s="205"/>
      <c r="H39" s="205"/>
      <c r="I39" s="205"/>
      <c r="J39" s="205"/>
      <c r="K39" s="205"/>
      <c r="L39" s="205"/>
      <c r="M39" s="40"/>
    </row>
    <row r="40" spans="1:13">
      <c r="A40" s="181" t="s">
        <v>148</v>
      </c>
      <c r="B40" s="182" t="s">
        <v>149</v>
      </c>
      <c r="C40" s="182" t="s">
        <v>151</v>
      </c>
      <c r="D40" s="182"/>
      <c r="E40" s="187">
        <v>300</v>
      </c>
      <c r="F40" s="197">
        <v>818182</v>
      </c>
      <c r="G40" s="18">
        <f t="shared" ref="G40" si="11">+F40*0.1</f>
        <v>81818.200000000012</v>
      </c>
      <c r="H40" s="184">
        <f t="shared" ref="H40:H46" si="12">F40+G40</f>
        <v>900000.2</v>
      </c>
      <c r="I40" s="184">
        <f>H40-'2023.06'!H35</f>
        <v>900000.2</v>
      </c>
      <c r="J40" s="272" t="s">
        <v>183</v>
      </c>
      <c r="K40" s="194" t="s">
        <v>109</v>
      </c>
      <c r="L40" s="314">
        <v>45169</v>
      </c>
      <c r="M40" s="285" t="s">
        <v>301</v>
      </c>
    </row>
    <row r="41" spans="1:13">
      <c r="A41" s="214" t="s">
        <v>148</v>
      </c>
      <c r="B41" s="215" t="s">
        <v>150</v>
      </c>
      <c r="C41" s="215" t="s">
        <v>151</v>
      </c>
      <c r="D41" s="215"/>
      <c r="E41" s="216"/>
      <c r="F41" s="36"/>
      <c r="G41" s="22">
        <f>+F41*0.1</f>
        <v>0</v>
      </c>
      <c r="H41" s="218">
        <f t="shared" si="12"/>
        <v>0</v>
      </c>
      <c r="I41" s="218"/>
      <c r="J41" s="290" t="s">
        <v>183</v>
      </c>
      <c r="K41" s="199" t="s">
        <v>109</v>
      </c>
      <c r="L41" s="282"/>
      <c r="M41" s="285" t="s">
        <v>302</v>
      </c>
    </row>
    <row r="42" spans="1:13">
      <c r="A42" s="181" t="s">
        <v>148</v>
      </c>
      <c r="B42" s="182" t="s">
        <v>314</v>
      </c>
      <c r="C42" s="182" t="s">
        <v>151</v>
      </c>
      <c r="D42" s="182"/>
      <c r="E42" s="187">
        <v>200</v>
      </c>
      <c r="F42" s="15">
        <v>545455</v>
      </c>
      <c r="G42" s="18">
        <v>54545</v>
      </c>
      <c r="H42" s="184">
        <f t="shared" si="12"/>
        <v>600000</v>
      </c>
      <c r="I42" s="184">
        <f>H42-'2023.07'!H37</f>
        <v>0</v>
      </c>
      <c r="J42" s="272" t="s">
        <v>183</v>
      </c>
      <c r="K42" s="194" t="s">
        <v>110</v>
      </c>
      <c r="L42" s="278">
        <v>45149</v>
      </c>
      <c r="M42" s="303"/>
    </row>
    <row r="43" spans="1:13">
      <c r="A43" s="181" t="s">
        <v>148</v>
      </c>
      <c r="B43" s="182" t="s">
        <v>294</v>
      </c>
      <c r="C43" s="182" t="s">
        <v>151</v>
      </c>
      <c r="D43" s="182"/>
      <c r="E43" s="187">
        <v>200</v>
      </c>
      <c r="F43" s="15">
        <v>545455</v>
      </c>
      <c r="G43" s="18">
        <v>54545</v>
      </c>
      <c r="H43" s="184">
        <f t="shared" ref="H43" si="13">F43+G43</f>
        <v>600000</v>
      </c>
      <c r="I43" s="184"/>
      <c r="J43" s="272" t="s">
        <v>183</v>
      </c>
      <c r="K43" s="194" t="s">
        <v>110</v>
      </c>
      <c r="L43" s="278">
        <v>45149</v>
      </c>
      <c r="M43" s="291"/>
    </row>
    <row r="44" spans="1:13">
      <c r="A44" s="181" t="s">
        <v>148</v>
      </c>
      <c r="B44" s="182" t="s">
        <v>294</v>
      </c>
      <c r="C44" s="182" t="s">
        <v>151</v>
      </c>
      <c r="D44" s="182"/>
      <c r="E44" s="187">
        <v>200</v>
      </c>
      <c r="F44" s="15">
        <v>545455</v>
      </c>
      <c r="G44" s="18">
        <v>54545</v>
      </c>
      <c r="H44" s="184">
        <f t="shared" si="12"/>
        <v>600000</v>
      </c>
      <c r="I44" s="184"/>
      <c r="J44" s="272" t="s">
        <v>183</v>
      </c>
      <c r="K44" s="194" t="s">
        <v>276</v>
      </c>
      <c r="L44" s="278">
        <v>45162</v>
      </c>
      <c r="M44" s="291"/>
    </row>
    <row r="45" spans="1:13">
      <c r="A45" s="181" t="s">
        <v>303</v>
      </c>
      <c r="B45" s="182" t="s">
        <v>307</v>
      </c>
      <c r="C45" s="182" t="s">
        <v>304</v>
      </c>
      <c r="D45" s="182"/>
      <c r="E45" s="187">
        <v>200</v>
      </c>
      <c r="F45" s="15">
        <v>545455</v>
      </c>
      <c r="G45" s="18">
        <v>54545</v>
      </c>
      <c r="H45" s="184">
        <f t="shared" si="12"/>
        <v>600000</v>
      </c>
      <c r="I45" s="184"/>
      <c r="J45" s="272" t="s">
        <v>305</v>
      </c>
      <c r="K45" s="194" t="s">
        <v>306</v>
      </c>
      <c r="L45" s="278">
        <v>45139</v>
      </c>
      <c r="M45" s="291"/>
    </row>
    <row r="46" spans="1:13">
      <c r="A46" s="181" t="s">
        <v>303</v>
      </c>
      <c r="B46" s="182" t="s">
        <v>315</v>
      </c>
      <c r="C46" s="182" t="s">
        <v>304</v>
      </c>
      <c r="D46" s="182"/>
      <c r="E46" s="187">
        <v>200</v>
      </c>
      <c r="F46" s="15">
        <v>545455</v>
      </c>
      <c r="G46" s="18">
        <v>54545</v>
      </c>
      <c r="H46" s="184">
        <f t="shared" si="12"/>
        <v>600000</v>
      </c>
      <c r="I46" s="184"/>
      <c r="J46" s="272" t="s">
        <v>305</v>
      </c>
      <c r="K46" s="194" t="s">
        <v>306</v>
      </c>
      <c r="L46" s="278">
        <v>45153</v>
      </c>
      <c r="M46" s="291"/>
    </row>
    <row r="47" spans="1:13">
      <c r="A47" s="181" t="s">
        <v>303</v>
      </c>
      <c r="B47" s="182" t="s">
        <v>321</v>
      </c>
      <c r="C47" s="182" t="s">
        <v>304</v>
      </c>
      <c r="D47" s="182"/>
      <c r="E47" s="187">
        <v>20</v>
      </c>
      <c r="F47" s="15">
        <v>54545</v>
      </c>
      <c r="G47" s="18">
        <v>5455</v>
      </c>
      <c r="H47" s="184">
        <f t="shared" ref="H47" si="14">F47+G47</f>
        <v>60000</v>
      </c>
      <c r="I47" s="184"/>
      <c r="J47" s="272" t="s">
        <v>305</v>
      </c>
      <c r="K47" s="194" t="s">
        <v>306</v>
      </c>
      <c r="L47" s="278">
        <v>45168</v>
      </c>
      <c r="M47" s="291"/>
    </row>
  </sheetData>
  <autoFilter ref="A3:M3"/>
  <mergeCells count="2">
    <mergeCell ref="A1:M1"/>
    <mergeCell ref="A36:B3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showGridLines="0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defaultColWidth="9" defaultRowHeight="16.5"/>
  <cols>
    <col min="1" max="1" width="7.5" bestFit="1" customWidth="1"/>
    <col min="2" max="2" width="20" customWidth="1"/>
    <col min="3" max="3" width="29.25" bestFit="1" customWidth="1"/>
    <col min="4" max="4" width="15.375" bestFit="1" customWidth="1"/>
    <col min="5" max="5" width="12.375" style="2" bestFit="1" customWidth="1"/>
    <col min="6" max="6" width="14.875" style="2" bestFit="1" customWidth="1"/>
    <col min="7" max="7" width="13.625" style="2" bestFit="1" customWidth="1"/>
    <col min="8" max="8" width="14.875" style="2" bestFit="1" customWidth="1"/>
    <col min="9" max="9" width="14.875" style="2" customWidth="1"/>
    <col min="10" max="11" width="10.75" style="2" customWidth="1"/>
    <col min="12" max="12" width="19.375" style="2" bestFit="1" customWidth="1"/>
    <col min="13" max="13" width="47.375" customWidth="1"/>
    <col min="14" max="14" width="9.5" style="40" bestFit="1" customWidth="1"/>
    <col min="15" max="15" width="9.25" style="40" bestFit="1" customWidth="1"/>
    <col min="16" max="16384" width="9" style="40"/>
  </cols>
  <sheetData>
    <row r="1" spans="1:13" ht="38.25">
      <c r="A1" s="363" t="s">
        <v>263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63"/>
    </row>
    <row r="2" spans="1:13">
      <c r="M2" s="44" t="s">
        <v>264</v>
      </c>
    </row>
    <row r="3" spans="1:13" s="38" customFormat="1">
      <c r="A3" s="5" t="s">
        <v>12</v>
      </c>
      <c r="B3" s="5" t="s">
        <v>0</v>
      </c>
      <c r="C3" s="5" t="s">
        <v>223</v>
      </c>
      <c r="D3" s="5" t="s">
        <v>231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50</v>
      </c>
      <c r="J3" s="1" t="s">
        <v>179</v>
      </c>
      <c r="K3" s="1" t="s">
        <v>291</v>
      </c>
      <c r="L3" s="1" t="s">
        <v>290</v>
      </c>
      <c r="M3" s="5" t="s">
        <v>23</v>
      </c>
    </row>
    <row r="4" spans="1:13" s="98" customFormat="1" ht="24" customHeight="1">
      <c r="A4" s="8">
        <f>ROW()-3</f>
        <v>1</v>
      </c>
      <c r="B4" s="8" t="s">
        <v>13</v>
      </c>
      <c r="C4" s="8" t="s">
        <v>242</v>
      </c>
      <c r="D4" s="8"/>
      <c r="E4" s="36"/>
      <c r="F4" s="36"/>
      <c r="G4" s="22">
        <f t="shared" ref="G4:G30" si="0">+F4*0.1</f>
        <v>0</v>
      </c>
      <c r="H4" s="36">
        <f t="shared" ref="H4:H28" si="1">+F4+G4</f>
        <v>0</v>
      </c>
      <c r="I4" s="58">
        <f>H4-SUMIF('2023.07'!$B:$B,B4,'2023.06'!H:H)</f>
        <v>0</v>
      </c>
      <c r="J4" s="199" t="s">
        <v>175</v>
      </c>
      <c r="K4" s="199" t="s">
        <v>277</v>
      </c>
      <c r="L4" s="279"/>
      <c r="M4" s="200"/>
    </row>
    <row r="5" spans="1:13" s="98" customFormat="1" ht="24" customHeight="1">
      <c r="A5" s="14">
        <f t="shared" ref="A5:A30" si="2">ROW()-3</f>
        <v>2</v>
      </c>
      <c r="B5" s="14" t="s">
        <v>5</v>
      </c>
      <c r="C5" s="14" t="s">
        <v>34</v>
      </c>
      <c r="D5" s="14"/>
      <c r="E5" s="15">
        <v>450600</v>
      </c>
      <c r="F5" s="15">
        <v>36067800</v>
      </c>
      <c r="G5" s="18">
        <f t="shared" si="0"/>
        <v>3606780</v>
      </c>
      <c r="H5" s="15">
        <f t="shared" si="1"/>
        <v>39674580</v>
      </c>
      <c r="I5" s="60">
        <f>H5-SUMIF('2023.07'!$B:$B,B5,'2023.06'!H:H)</f>
        <v>-4197490</v>
      </c>
      <c r="J5" s="194" t="s">
        <v>175</v>
      </c>
      <c r="K5" s="194" t="s">
        <v>278</v>
      </c>
      <c r="L5" s="278">
        <v>45138</v>
      </c>
      <c r="M5" s="16"/>
    </row>
    <row r="6" spans="1:13" s="98" customFormat="1" ht="24" customHeight="1">
      <c r="A6" s="14">
        <f t="shared" si="2"/>
        <v>3</v>
      </c>
      <c r="B6" s="14" t="s">
        <v>11</v>
      </c>
      <c r="C6" s="14" t="s">
        <v>222</v>
      </c>
      <c r="D6" s="14" t="s">
        <v>28</v>
      </c>
      <c r="E6" s="15">
        <v>547300</v>
      </c>
      <c r="F6" s="15">
        <v>51228475</v>
      </c>
      <c r="G6" s="18">
        <f t="shared" si="0"/>
        <v>5122847.5</v>
      </c>
      <c r="H6" s="15">
        <f t="shared" si="1"/>
        <v>56351322.5</v>
      </c>
      <c r="I6" s="60">
        <f>H6-SUMIF('2023.07'!$B:$B,B6,'2023.06'!H:H)</f>
        <v>6928570</v>
      </c>
      <c r="J6" s="272" t="s">
        <v>183</v>
      </c>
      <c r="K6" s="194" t="s">
        <v>278</v>
      </c>
      <c r="L6" s="278">
        <v>45138</v>
      </c>
      <c r="M6" s="292" t="s">
        <v>300</v>
      </c>
    </row>
    <row r="7" spans="1:13" s="98" customFormat="1" ht="24" customHeight="1">
      <c r="A7" s="14">
        <f t="shared" si="2"/>
        <v>4</v>
      </c>
      <c r="B7" s="17" t="s">
        <v>2</v>
      </c>
      <c r="C7" s="14" t="s">
        <v>222</v>
      </c>
      <c r="D7" s="14" t="s">
        <v>34</v>
      </c>
      <c r="E7" s="15"/>
      <c r="F7" s="15">
        <v>2811000</v>
      </c>
      <c r="G7" s="18">
        <f t="shared" si="0"/>
        <v>281100</v>
      </c>
      <c r="H7" s="15">
        <f t="shared" si="1"/>
        <v>3092100</v>
      </c>
      <c r="I7" s="60">
        <f>H7-SUMIF('2023.07'!$B:$B,B7,'2023.06'!H:H)</f>
        <v>235510</v>
      </c>
      <c r="J7" s="194" t="s">
        <v>175</v>
      </c>
      <c r="K7" s="194" t="s">
        <v>279</v>
      </c>
      <c r="L7" s="278">
        <v>45138</v>
      </c>
      <c r="M7" s="116"/>
    </row>
    <row r="8" spans="1:13" s="98" customFormat="1" ht="24" customHeight="1">
      <c r="A8" s="12">
        <f t="shared" si="2"/>
        <v>5</v>
      </c>
      <c r="B8" s="12" t="s">
        <v>9</v>
      </c>
      <c r="C8" s="12" t="s">
        <v>28</v>
      </c>
      <c r="D8" s="12"/>
      <c r="E8" s="4"/>
      <c r="F8" s="4"/>
      <c r="G8" s="4">
        <f t="shared" si="0"/>
        <v>0</v>
      </c>
      <c r="H8" s="4">
        <f t="shared" si="1"/>
        <v>0</v>
      </c>
      <c r="I8" s="62">
        <f>H8-SUMIF('2023.07'!$B:$B,B8,'2023.05'!H:H)</f>
        <v>0</v>
      </c>
      <c r="J8" s="244"/>
      <c r="K8" s="244"/>
      <c r="L8" s="280"/>
      <c r="M8" s="32"/>
    </row>
    <row r="9" spans="1:13" s="98" customFormat="1" ht="24" customHeight="1">
      <c r="A9" s="14">
        <f t="shared" si="2"/>
        <v>6</v>
      </c>
      <c r="B9" s="14" t="s">
        <v>1</v>
      </c>
      <c r="C9" s="14" t="s">
        <v>222</v>
      </c>
      <c r="D9" s="14" t="s">
        <v>224</v>
      </c>
      <c r="E9" s="212">
        <v>22315</v>
      </c>
      <c r="F9" s="15">
        <v>4909300</v>
      </c>
      <c r="G9" s="18">
        <f t="shared" si="0"/>
        <v>490930</v>
      </c>
      <c r="H9" s="15">
        <f t="shared" si="1"/>
        <v>5400230</v>
      </c>
      <c r="I9" s="60">
        <f>H9-SUMIF('2023.07'!$B:$B,B9,'2023.06'!H:H)</f>
        <v>206910</v>
      </c>
      <c r="J9" s="194" t="s">
        <v>175</v>
      </c>
      <c r="K9" s="194" t="s">
        <v>280</v>
      </c>
      <c r="L9" s="278">
        <v>45138</v>
      </c>
      <c r="M9" s="225"/>
    </row>
    <row r="10" spans="1:13" s="98" customFormat="1" ht="24" customHeight="1">
      <c r="A10" s="295">
        <f t="shared" si="2"/>
        <v>7</v>
      </c>
      <c r="B10" s="296" t="s">
        <v>197</v>
      </c>
      <c r="C10" s="296" t="s">
        <v>104</v>
      </c>
      <c r="D10" s="296"/>
      <c r="E10" s="297">
        <v>59635</v>
      </c>
      <c r="F10" s="298">
        <v>1789000</v>
      </c>
      <c r="G10" s="298">
        <f t="shared" si="0"/>
        <v>178900</v>
      </c>
      <c r="H10" s="298">
        <f t="shared" si="1"/>
        <v>1967900</v>
      </c>
      <c r="I10" s="299">
        <f>H10-SUMIF('2023.07'!$B:$B,B10,'2023.06'!H:H)</f>
        <v>1967900</v>
      </c>
      <c r="J10" s="300" t="s">
        <v>293</v>
      </c>
      <c r="K10" s="300" t="s">
        <v>281</v>
      </c>
      <c r="L10" s="301">
        <v>45138</v>
      </c>
      <c r="M10" s="302"/>
    </row>
    <row r="11" spans="1:13" s="98" customFormat="1" ht="24" customHeight="1">
      <c r="A11" s="14">
        <f t="shared" si="2"/>
        <v>8</v>
      </c>
      <c r="B11" s="14" t="s">
        <v>69</v>
      </c>
      <c r="C11" s="14" t="s">
        <v>46</v>
      </c>
      <c r="D11" s="14"/>
      <c r="E11" s="15">
        <f>18565+1820</f>
        <v>20385</v>
      </c>
      <c r="F11" s="15">
        <v>28447000</v>
      </c>
      <c r="G11" s="18">
        <f t="shared" si="0"/>
        <v>2844700</v>
      </c>
      <c r="H11" s="15">
        <f t="shared" si="1"/>
        <v>31291700</v>
      </c>
      <c r="I11" s="60">
        <f>H11-SUMIF('2023.07'!$B:$B,B11,'2023.06'!H:H)</f>
        <v>-714340</v>
      </c>
      <c r="J11" s="194" t="s">
        <v>175</v>
      </c>
      <c r="K11" s="194" t="s">
        <v>281</v>
      </c>
      <c r="L11" s="278">
        <v>45138</v>
      </c>
      <c r="M11" s="116" t="s">
        <v>286</v>
      </c>
    </row>
    <row r="12" spans="1:13" s="98" customFormat="1" ht="24" customHeight="1">
      <c r="A12" s="14">
        <f t="shared" si="2"/>
        <v>9</v>
      </c>
      <c r="B12" s="14" t="s">
        <v>69</v>
      </c>
      <c r="C12" s="14" t="s">
        <v>266</v>
      </c>
      <c r="D12" s="14"/>
      <c r="E12" s="15">
        <f>3775+12945</f>
        <v>16720</v>
      </c>
      <c r="F12" s="15">
        <v>4924300</v>
      </c>
      <c r="G12" s="18">
        <f t="shared" si="0"/>
        <v>492430</v>
      </c>
      <c r="H12" s="15">
        <f t="shared" si="1"/>
        <v>5416730</v>
      </c>
      <c r="I12" s="60">
        <v>5416730</v>
      </c>
      <c r="J12" s="194" t="s">
        <v>175</v>
      </c>
      <c r="K12" s="194" t="s">
        <v>282</v>
      </c>
      <c r="L12" s="278">
        <v>45138</v>
      </c>
      <c r="M12" s="292" t="s">
        <v>298</v>
      </c>
    </row>
    <row r="13" spans="1:13" s="98" customFormat="1" ht="24" customHeight="1">
      <c r="A13" s="14">
        <f t="shared" si="2"/>
        <v>10</v>
      </c>
      <c r="B13" s="14" t="s">
        <v>7</v>
      </c>
      <c r="C13" s="14" t="s">
        <v>222</v>
      </c>
      <c r="D13" s="14" t="s">
        <v>225</v>
      </c>
      <c r="E13" s="15">
        <v>3290</v>
      </c>
      <c r="F13" s="15">
        <v>460600</v>
      </c>
      <c r="G13" s="18">
        <f t="shared" si="0"/>
        <v>46060</v>
      </c>
      <c r="H13" s="15">
        <f t="shared" si="1"/>
        <v>506660</v>
      </c>
      <c r="I13" s="60">
        <f>H13-SUMIF('2023.07'!$B:$B,B13,'2023.06'!H:H)</f>
        <v>-1456180</v>
      </c>
      <c r="J13" s="193" t="s">
        <v>175</v>
      </c>
      <c r="K13" s="193" t="s">
        <v>279</v>
      </c>
      <c r="L13" s="278">
        <v>45138</v>
      </c>
      <c r="M13" s="116"/>
    </row>
    <row r="14" spans="1:13" s="98" customFormat="1" ht="24" customHeight="1">
      <c r="A14" s="14">
        <f t="shared" si="2"/>
        <v>11</v>
      </c>
      <c r="B14" s="14" t="s">
        <v>201</v>
      </c>
      <c r="C14" s="14" t="s">
        <v>292</v>
      </c>
      <c r="D14" s="219" t="s">
        <v>92</v>
      </c>
      <c r="E14" s="15"/>
      <c r="F14" s="15">
        <v>496300</v>
      </c>
      <c r="G14" s="18">
        <f t="shared" si="0"/>
        <v>49630</v>
      </c>
      <c r="H14" s="15">
        <f t="shared" si="1"/>
        <v>545930</v>
      </c>
      <c r="I14" s="60">
        <f>H14-SUMIF('2023.07'!$B:$B,B14,'2023.06'!H:H)</f>
        <v>-26187590</v>
      </c>
      <c r="J14" s="272" t="s">
        <v>287</v>
      </c>
      <c r="K14" s="194" t="s">
        <v>283</v>
      </c>
      <c r="L14" s="278">
        <v>45118</v>
      </c>
      <c r="M14" s="116" t="s">
        <v>288</v>
      </c>
    </row>
    <row r="15" spans="1:13" s="98" customFormat="1" ht="24" customHeight="1">
      <c r="A15" s="14">
        <f t="shared" si="2"/>
        <v>12</v>
      </c>
      <c r="B15" s="14" t="s">
        <v>201</v>
      </c>
      <c r="C15" s="14" t="s">
        <v>292</v>
      </c>
      <c r="D15" s="219" t="s">
        <v>92</v>
      </c>
      <c r="E15" s="15"/>
      <c r="F15" s="15">
        <v>582500</v>
      </c>
      <c r="G15" s="18">
        <f t="shared" si="0"/>
        <v>58250</v>
      </c>
      <c r="H15" s="15">
        <f t="shared" si="1"/>
        <v>640750</v>
      </c>
      <c r="I15" s="60">
        <f>H15-SUMIF('2023.07'!$B:$B,B15,'2023.06'!H:H)</f>
        <v>-26092770</v>
      </c>
      <c r="J15" s="272" t="s">
        <v>287</v>
      </c>
      <c r="K15" s="194" t="s">
        <v>283</v>
      </c>
      <c r="L15" s="278">
        <v>45134</v>
      </c>
      <c r="M15" s="116" t="s">
        <v>288</v>
      </c>
    </row>
    <row r="16" spans="1:13" s="98" customFormat="1" ht="24" customHeight="1">
      <c r="A16" s="8">
        <f t="shared" si="2"/>
        <v>13</v>
      </c>
      <c r="B16" s="8" t="s">
        <v>201</v>
      </c>
      <c r="C16" s="8" t="s">
        <v>222</v>
      </c>
      <c r="D16" s="228" t="s">
        <v>92</v>
      </c>
      <c r="E16" s="36"/>
      <c r="F16" s="36"/>
      <c r="G16" s="22">
        <f t="shared" si="0"/>
        <v>0</v>
      </c>
      <c r="H16" s="36">
        <f t="shared" si="1"/>
        <v>0</v>
      </c>
      <c r="I16" s="58">
        <f>H16-SUMIF('2023.07'!$B:$B,B16,'2023.06'!H:H)</f>
        <v>-26733520</v>
      </c>
      <c r="J16" s="204" t="s">
        <v>287</v>
      </c>
      <c r="K16" s="199" t="s">
        <v>283</v>
      </c>
      <c r="L16" s="279"/>
      <c r="M16" s="136" t="s">
        <v>288</v>
      </c>
    </row>
    <row r="17" spans="1:15" s="98" customFormat="1" ht="24" customHeight="1">
      <c r="A17" s="14">
        <f t="shared" si="2"/>
        <v>14</v>
      </c>
      <c r="B17" s="14" t="s">
        <v>201</v>
      </c>
      <c r="C17" s="14" t="s">
        <v>39</v>
      </c>
      <c r="D17" s="14"/>
      <c r="E17" s="15">
        <v>5446</v>
      </c>
      <c r="F17" s="15">
        <v>8713600</v>
      </c>
      <c r="G17" s="18">
        <f t="shared" si="0"/>
        <v>871360</v>
      </c>
      <c r="H17" s="15">
        <f t="shared" si="1"/>
        <v>9584960</v>
      </c>
      <c r="I17" s="60">
        <f>H17-SUMIF('2023.07'!$B:$B,B17,'2023.06'!H:H)</f>
        <v>-17148560</v>
      </c>
      <c r="J17" s="272" t="s">
        <v>287</v>
      </c>
      <c r="K17" s="194" t="s">
        <v>283</v>
      </c>
      <c r="L17" s="278">
        <v>45131</v>
      </c>
      <c r="M17" s="116" t="s">
        <v>288</v>
      </c>
    </row>
    <row r="18" spans="1:15" s="98" customFormat="1" ht="24" customHeight="1">
      <c r="A18" s="8">
        <f t="shared" si="2"/>
        <v>15</v>
      </c>
      <c r="B18" s="8" t="s">
        <v>201</v>
      </c>
      <c r="C18" s="8" t="s">
        <v>39</v>
      </c>
      <c r="D18" s="8"/>
      <c r="E18" s="36"/>
      <c r="F18" s="36"/>
      <c r="G18" s="22">
        <f t="shared" si="0"/>
        <v>0</v>
      </c>
      <c r="H18" s="36">
        <f t="shared" si="1"/>
        <v>0</v>
      </c>
      <c r="I18" s="58">
        <f>H18-SUMIF('2023.07'!$B:$B,B18,'2023.06'!H:H)</f>
        <v>-26733520</v>
      </c>
      <c r="J18" s="204" t="s">
        <v>287</v>
      </c>
      <c r="K18" s="199" t="s">
        <v>283</v>
      </c>
      <c r="L18" s="279"/>
      <c r="M18" s="136" t="s">
        <v>288</v>
      </c>
    </row>
    <row r="19" spans="1:15" s="98" customFormat="1" ht="24" customHeight="1">
      <c r="A19" s="8">
        <f t="shared" si="2"/>
        <v>16</v>
      </c>
      <c r="B19" s="8" t="s">
        <v>201</v>
      </c>
      <c r="C19" s="8" t="s">
        <v>39</v>
      </c>
      <c r="D19" s="8"/>
      <c r="E19" s="36"/>
      <c r="F19" s="36"/>
      <c r="G19" s="22">
        <f t="shared" si="0"/>
        <v>0</v>
      </c>
      <c r="H19" s="36">
        <f t="shared" si="1"/>
        <v>0</v>
      </c>
      <c r="I19" s="58">
        <f>H19-SUMIF('2023.07'!$B:$B,B19,'2023.06'!H:H)</f>
        <v>-26733520</v>
      </c>
      <c r="J19" s="204" t="s">
        <v>287</v>
      </c>
      <c r="K19" s="199" t="s">
        <v>283</v>
      </c>
      <c r="L19" s="279"/>
      <c r="M19" s="136" t="s">
        <v>288</v>
      </c>
    </row>
    <row r="20" spans="1:15" s="98" customFormat="1" ht="24" customHeight="1">
      <c r="A20" s="8">
        <f t="shared" si="2"/>
        <v>17</v>
      </c>
      <c r="B20" s="8" t="s">
        <v>201</v>
      </c>
      <c r="C20" s="8" t="s">
        <v>204</v>
      </c>
      <c r="D20" s="8"/>
      <c r="E20" s="36"/>
      <c r="F20" s="36"/>
      <c r="G20" s="22">
        <f t="shared" si="0"/>
        <v>0</v>
      </c>
      <c r="H20" s="36">
        <f t="shared" si="1"/>
        <v>0</v>
      </c>
      <c r="I20" s="58">
        <f>H20-SUMIF('2023.07'!$B:$B,B20,'2023.06'!H:H)</f>
        <v>-26733520</v>
      </c>
      <c r="J20" s="204" t="s">
        <v>287</v>
      </c>
      <c r="K20" s="199" t="s">
        <v>283</v>
      </c>
      <c r="L20" s="279"/>
      <c r="M20" s="136" t="s">
        <v>288</v>
      </c>
    </row>
    <row r="21" spans="1:15" s="98" customFormat="1" ht="24" customHeight="1">
      <c r="A21" s="17">
        <f t="shared" si="2"/>
        <v>18</v>
      </c>
      <c r="B21" s="17" t="s">
        <v>75</v>
      </c>
      <c r="C21" s="17" t="s">
        <v>57</v>
      </c>
      <c r="D21" s="19"/>
      <c r="E21" s="107">
        <v>4690</v>
      </c>
      <c r="F21" s="107">
        <v>1172500</v>
      </c>
      <c r="G21" s="18">
        <f t="shared" si="0"/>
        <v>117250</v>
      </c>
      <c r="H21" s="107">
        <f t="shared" si="1"/>
        <v>1289750</v>
      </c>
      <c r="I21" s="293">
        <f>H21-SUMIF('2023.07'!$B:$B,B21,'2023.06'!H:H)</f>
        <v>-1973730</v>
      </c>
      <c r="J21" s="272" t="s">
        <v>183</v>
      </c>
      <c r="K21" s="287" t="s">
        <v>283</v>
      </c>
      <c r="L21" s="288">
        <v>45127</v>
      </c>
      <c r="M21" s="171"/>
      <c r="N21" s="102"/>
      <c r="O21" s="100"/>
    </row>
    <row r="22" spans="1:15" s="98" customFormat="1" ht="24" customHeight="1">
      <c r="A22" s="11">
        <f t="shared" si="2"/>
        <v>19</v>
      </c>
      <c r="B22" s="11" t="s">
        <v>75</v>
      </c>
      <c r="C22" s="11" t="s">
        <v>57</v>
      </c>
      <c r="D22" s="11"/>
      <c r="E22" s="132"/>
      <c r="F22" s="132"/>
      <c r="G22" s="22">
        <f t="shared" si="0"/>
        <v>0</v>
      </c>
      <c r="H22" s="132">
        <f t="shared" si="1"/>
        <v>0</v>
      </c>
      <c r="I22" s="58">
        <f>H22-SUMIF('2023.07'!$B:$B,B22,'2023.06'!H:H)</f>
        <v>-3263480</v>
      </c>
      <c r="J22" s="204" t="s">
        <v>183</v>
      </c>
      <c r="K22" s="199" t="s">
        <v>283</v>
      </c>
      <c r="L22" s="279"/>
      <c r="M22" s="201"/>
      <c r="N22" s="102"/>
      <c r="O22" s="100"/>
    </row>
    <row r="23" spans="1:15" s="98" customFormat="1" ht="24" customHeight="1">
      <c r="A23" s="14">
        <f t="shared" si="2"/>
        <v>20</v>
      </c>
      <c r="B23" s="14" t="s">
        <v>267</v>
      </c>
      <c r="C23" s="213" t="s">
        <v>308</v>
      </c>
      <c r="D23" s="14"/>
      <c r="E23" s="15">
        <v>3450</v>
      </c>
      <c r="F23" s="15">
        <f>3450*470</f>
        <v>1621500</v>
      </c>
      <c r="G23" s="18">
        <f t="shared" si="0"/>
        <v>162150</v>
      </c>
      <c r="H23" s="15">
        <f t="shared" si="1"/>
        <v>1783650</v>
      </c>
      <c r="I23" s="60">
        <v>0</v>
      </c>
      <c r="J23" s="193" t="s">
        <v>175</v>
      </c>
      <c r="K23" s="194" t="s">
        <v>283</v>
      </c>
      <c r="L23" s="278">
        <v>45134</v>
      </c>
      <c r="M23" s="292" t="s">
        <v>297</v>
      </c>
    </row>
    <row r="24" spans="1:15" s="98" customFormat="1" ht="24" customHeight="1">
      <c r="A24" s="14">
        <f t="shared" si="2"/>
        <v>21</v>
      </c>
      <c r="B24" s="14" t="s">
        <v>268</v>
      </c>
      <c r="C24" s="14" t="s">
        <v>222</v>
      </c>
      <c r="D24" s="14" t="s">
        <v>269</v>
      </c>
      <c r="E24" s="15">
        <v>19110</v>
      </c>
      <c r="F24" s="15">
        <v>8432250</v>
      </c>
      <c r="G24" s="18">
        <f t="shared" si="0"/>
        <v>843225</v>
      </c>
      <c r="H24" s="15">
        <f t="shared" si="1"/>
        <v>9275475</v>
      </c>
      <c r="I24" s="60">
        <v>0</v>
      </c>
      <c r="J24" s="193" t="s">
        <v>175</v>
      </c>
      <c r="K24" s="194" t="s">
        <v>285</v>
      </c>
      <c r="L24" s="278">
        <v>45138</v>
      </c>
      <c r="M24" s="294" t="s">
        <v>299</v>
      </c>
    </row>
    <row r="25" spans="1:15" s="277" customFormat="1" ht="24" customHeight="1">
      <c r="A25" s="12">
        <f t="shared" si="2"/>
        <v>22</v>
      </c>
      <c r="B25" s="12" t="s">
        <v>133</v>
      </c>
      <c r="C25" s="276" t="s">
        <v>254</v>
      </c>
      <c r="D25" s="12" t="s">
        <v>256</v>
      </c>
      <c r="E25" s="4"/>
      <c r="F25" s="4"/>
      <c r="G25" s="4">
        <f t="shared" si="0"/>
        <v>0</v>
      </c>
      <c r="H25" s="4">
        <f t="shared" si="1"/>
        <v>0</v>
      </c>
      <c r="I25" s="62">
        <f>H25-SUMIF('2023.07'!$B:$B,B25,'2023.06'!H:H)</f>
        <v>0</v>
      </c>
      <c r="J25" s="244" t="s">
        <v>175</v>
      </c>
      <c r="K25" s="244" t="s">
        <v>283</v>
      </c>
      <c r="L25" s="280"/>
      <c r="M25" s="254" t="s">
        <v>289</v>
      </c>
    </row>
    <row r="26" spans="1:15" s="101" customFormat="1" ht="24" customHeight="1">
      <c r="A26" s="11">
        <f t="shared" si="2"/>
        <v>23</v>
      </c>
      <c r="B26" s="11" t="s">
        <v>91</v>
      </c>
      <c r="C26" s="8" t="s">
        <v>222</v>
      </c>
      <c r="D26" s="11" t="s">
        <v>134</v>
      </c>
      <c r="E26" s="22"/>
      <c r="F26" s="22"/>
      <c r="G26" s="22">
        <f t="shared" si="0"/>
        <v>0</v>
      </c>
      <c r="H26" s="132">
        <f t="shared" si="1"/>
        <v>0</v>
      </c>
      <c r="I26" s="58">
        <f>H26-SUMIF('2023.07'!$B:$B,B26,'2023.06'!H:H)</f>
        <v>-2002000</v>
      </c>
      <c r="J26" s="199" t="s">
        <v>175</v>
      </c>
      <c r="K26" s="199" t="s">
        <v>283</v>
      </c>
      <c r="L26" s="279"/>
      <c r="M26" s="274"/>
    </row>
    <row r="27" spans="1:15" s="101" customFormat="1" ht="24" customHeight="1">
      <c r="A27" s="11">
        <f t="shared" si="2"/>
        <v>24</v>
      </c>
      <c r="B27" s="11" t="s">
        <v>91</v>
      </c>
      <c r="C27" s="8" t="s">
        <v>222</v>
      </c>
      <c r="D27" s="11" t="s">
        <v>134</v>
      </c>
      <c r="E27" s="22"/>
      <c r="F27" s="22"/>
      <c r="G27" s="22">
        <f t="shared" si="0"/>
        <v>0</v>
      </c>
      <c r="H27" s="132">
        <f t="shared" si="1"/>
        <v>0</v>
      </c>
      <c r="I27" s="58">
        <f>H27-SUMIF('2023.07'!$B:$B,B27,'2023.06'!H:H)</f>
        <v>-2002000</v>
      </c>
      <c r="J27" s="199" t="s">
        <v>175</v>
      </c>
      <c r="K27" s="199" t="s">
        <v>283</v>
      </c>
      <c r="L27" s="279"/>
      <c r="M27" s="229"/>
    </row>
    <row r="28" spans="1:15" s="98" customFormat="1" ht="24" customHeight="1">
      <c r="A28" s="17">
        <f t="shared" si="2"/>
        <v>25</v>
      </c>
      <c r="B28" s="17" t="s">
        <v>4</v>
      </c>
      <c r="C28" s="14" t="s">
        <v>222</v>
      </c>
      <c r="D28" s="17" t="s">
        <v>30</v>
      </c>
      <c r="E28" s="124"/>
      <c r="F28" s="18">
        <v>5000000</v>
      </c>
      <c r="G28" s="18">
        <f t="shared" si="0"/>
        <v>500000</v>
      </c>
      <c r="H28" s="107">
        <f t="shared" si="1"/>
        <v>5500000</v>
      </c>
      <c r="I28" s="60">
        <f>H28-SUMIF('2023.07'!$B:$B,B28,'2023.06'!H:H)</f>
        <v>5500000</v>
      </c>
      <c r="J28" s="194" t="s">
        <v>175</v>
      </c>
      <c r="K28" s="194" t="s">
        <v>279</v>
      </c>
      <c r="L28" s="278">
        <v>45138</v>
      </c>
      <c r="M28" s="195"/>
    </row>
    <row r="29" spans="1:15" s="98" customFormat="1" ht="24" hidden="1" customHeight="1">
      <c r="A29" s="11"/>
      <c r="B29" s="11"/>
      <c r="C29" s="11"/>
      <c r="D29" s="11"/>
      <c r="E29" s="22"/>
      <c r="F29" s="22"/>
      <c r="G29" s="22">
        <f t="shared" si="0"/>
        <v>0</v>
      </c>
      <c r="H29" s="22"/>
      <c r="I29" s="58">
        <f>H29-SUMIF('2023.07'!$B:$B,B29,'2023.05'!H:H)</f>
        <v>0</v>
      </c>
      <c r="J29" s="199"/>
      <c r="K29" s="199"/>
      <c r="L29" s="279"/>
      <c r="M29" s="131"/>
    </row>
    <row r="30" spans="1:15" s="101" customFormat="1" ht="24" hidden="1" customHeight="1">
      <c r="A30" s="129">
        <f t="shared" si="2"/>
        <v>27</v>
      </c>
      <c r="B30" s="129" t="s">
        <v>37</v>
      </c>
      <c r="C30" s="129" t="s">
        <v>47</v>
      </c>
      <c r="D30" s="129"/>
      <c r="E30" s="130"/>
      <c r="F30" s="130"/>
      <c r="G30" s="130">
        <f t="shared" si="0"/>
        <v>0</v>
      </c>
      <c r="H30" s="130">
        <f>+F30+G30</f>
        <v>0</v>
      </c>
      <c r="I30" s="58">
        <f>H30-SUMIF('2023.07'!$B:$B,B30,'2023.05'!H:H)</f>
        <v>0</v>
      </c>
      <c r="J30" s="199"/>
      <c r="K30" s="199"/>
      <c r="L30" s="279"/>
      <c r="M30" s="138"/>
    </row>
    <row r="31" spans="1:15" s="39" customFormat="1" ht="24" customHeight="1">
      <c r="A31" s="364" t="s">
        <v>18</v>
      </c>
      <c r="B31" s="365"/>
      <c r="C31" s="273"/>
      <c r="D31" s="273"/>
      <c r="E31" s="139">
        <f>SUM(E4:E30)</f>
        <v>1152941</v>
      </c>
      <c r="F31" s="139">
        <f>SUM(F4:F30)</f>
        <v>156656125</v>
      </c>
      <c r="G31" s="139">
        <f>SUM(G4:G30)</f>
        <v>15665612.5</v>
      </c>
      <c r="H31" s="139">
        <f>SUM(H4:H30)</f>
        <v>172321737.5</v>
      </c>
      <c r="I31" s="203">
        <f>H31-'2023.06'!I31</f>
        <v>324911427.5</v>
      </c>
      <c r="J31" s="204"/>
      <c r="K31" s="204"/>
      <c r="L31" s="281"/>
      <c r="M31" s="37"/>
    </row>
    <row r="32" spans="1:15">
      <c r="A32" s="40"/>
      <c r="B32" s="40"/>
      <c r="C32" s="40"/>
      <c r="D32" s="40"/>
      <c r="E32" s="205"/>
      <c r="F32" s="205"/>
      <c r="G32" s="205"/>
      <c r="H32" s="205"/>
      <c r="I32" s="205"/>
      <c r="J32" s="205"/>
      <c r="K32" s="205"/>
      <c r="L32" s="205"/>
      <c r="M32" s="40"/>
    </row>
    <row r="33" spans="1:13">
      <c r="A33" s="40"/>
      <c r="B33" s="206" t="s">
        <v>50</v>
      </c>
      <c r="C33" s="40"/>
      <c r="D33" s="40"/>
      <c r="E33" s="205"/>
      <c r="F33" s="207">
        <f>F31-'2022.10'!E20</f>
        <v>5685300</v>
      </c>
      <c r="G33" s="207">
        <f>G31-'2022.10'!F20</f>
        <v>568530</v>
      </c>
      <c r="H33" s="207">
        <f>H31-'2022.10'!G20</f>
        <v>6253830</v>
      </c>
      <c r="I33" s="207"/>
      <c r="J33" s="207"/>
      <c r="K33" s="207"/>
      <c r="L33" s="207"/>
      <c r="M33" s="208"/>
    </row>
    <row r="34" spans="1:13">
      <c r="A34" s="40"/>
      <c r="B34" s="40"/>
      <c r="C34" s="40"/>
      <c r="D34" s="40"/>
      <c r="E34" s="40"/>
      <c r="F34" s="205"/>
      <c r="G34" s="205"/>
      <c r="H34" s="205"/>
      <c r="I34" s="205"/>
      <c r="J34" s="205"/>
      <c r="K34" s="205"/>
      <c r="L34" s="205"/>
      <c r="M34" s="40"/>
    </row>
    <row r="35" spans="1:13">
      <c r="A35" s="214" t="s">
        <v>148</v>
      </c>
      <c r="B35" s="215" t="s">
        <v>149</v>
      </c>
      <c r="C35" s="215" t="s">
        <v>151</v>
      </c>
      <c r="D35" s="215"/>
      <c r="E35" s="216"/>
      <c r="F35" s="217"/>
      <c r="G35" s="22">
        <f t="shared" ref="G35:G36" si="3">+F35*0.1</f>
        <v>0</v>
      </c>
      <c r="H35" s="218">
        <f>F35+G35</f>
        <v>0</v>
      </c>
      <c r="I35" s="218">
        <f>H35-'2023.06'!H36</f>
        <v>-5400000.0999999996</v>
      </c>
      <c r="J35" s="286" t="s">
        <v>183</v>
      </c>
      <c r="K35" s="199" t="s">
        <v>109</v>
      </c>
      <c r="L35" s="282"/>
      <c r="M35" s="285" t="s">
        <v>301</v>
      </c>
    </row>
    <row r="36" spans="1:13">
      <c r="A36" s="214" t="s">
        <v>148</v>
      </c>
      <c r="B36" s="215" t="s">
        <v>150</v>
      </c>
      <c r="C36" s="215" t="s">
        <v>151</v>
      </c>
      <c r="D36" s="215"/>
      <c r="E36" s="216"/>
      <c r="F36" s="36"/>
      <c r="G36" s="22">
        <f t="shared" si="3"/>
        <v>0</v>
      </c>
      <c r="H36" s="218">
        <f>F36+G36</f>
        <v>0</v>
      </c>
      <c r="I36" s="218">
        <f>H36-'2023.06'!H37</f>
        <v>-3599999.7</v>
      </c>
      <c r="J36" s="286" t="s">
        <v>183</v>
      </c>
      <c r="K36" s="199" t="s">
        <v>109</v>
      </c>
      <c r="L36" s="282"/>
      <c r="M36" s="285" t="s">
        <v>302</v>
      </c>
    </row>
    <row r="37" spans="1:13">
      <c r="A37" s="181" t="s">
        <v>148</v>
      </c>
      <c r="B37" s="182" t="s">
        <v>294</v>
      </c>
      <c r="C37" s="182" t="s">
        <v>151</v>
      </c>
      <c r="D37" s="182"/>
      <c r="E37" s="187">
        <v>200</v>
      </c>
      <c r="F37" s="15">
        <v>545455</v>
      </c>
      <c r="G37" s="18">
        <v>54545</v>
      </c>
      <c r="H37" s="184">
        <f>F37+G37</f>
        <v>600000</v>
      </c>
      <c r="I37" s="184">
        <f>H37-'2023.06'!H38</f>
        <v>600000</v>
      </c>
      <c r="J37" s="272" t="s">
        <v>183</v>
      </c>
      <c r="K37" s="194" t="s">
        <v>295</v>
      </c>
      <c r="L37" s="278">
        <v>45134</v>
      </c>
      <c r="M37" s="291"/>
    </row>
    <row r="38" spans="1:13">
      <c r="A38" s="214" t="s">
        <v>303</v>
      </c>
      <c r="B38" s="215" t="s">
        <v>307</v>
      </c>
      <c r="C38" s="215" t="s">
        <v>304</v>
      </c>
      <c r="D38" s="215"/>
      <c r="E38" s="216"/>
      <c r="F38" s="36"/>
      <c r="G38" s="22"/>
      <c r="H38" s="218">
        <f>F38+G38</f>
        <v>0</v>
      </c>
      <c r="I38" s="218">
        <f>H38-'2023.06'!H39</f>
        <v>0</v>
      </c>
      <c r="J38" s="286" t="s">
        <v>305</v>
      </c>
      <c r="K38" s="199" t="s">
        <v>306</v>
      </c>
      <c r="L38" s="279"/>
      <c r="M38" s="283"/>
    </row>
  </sheetData>
  <autoFilter ref="A3:M3"/>
  <mergeCells count="2">
    <mergeCell ref="A1:M1"/>
    <mergeCell ref="A31:B3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7"/>
  <sheetViews>
    <sheetView showGridLines="0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E15" sqref="E15"/>
    </sheetView>
  </sheetViews>
  <sheetFormatPr defaultColWidth="9" defaultRowHeight="16.5"/>
  <cols>
    <col min="1" max="1" width="7.5" bestFit="1" customWidth="1"/>
    <col min="2" max="2" width="20" customWidth="1"/>
    <col min="3" max="3" width="29.25" bestFit="1" customWidth="1"/>
    <col min="4" max="4" width="15.375" bestFit="1" customWidth="1"/>
    <col min="5" max="5" width="12.375" style="2" bestFit="1" customWidth="1"/>
    <col min="6" max="6" width="14.875" style="2" bestFit="1" customWidth="1"/>
    <col min="7" max="7" width="13.625" style="2" bestFit="1" customWidth="1"/>
    <col min="8" max="8" width="14.875" style="2" bestFit="1" customWidth="1"/>
    <col min="9" max="9" width="14.875" style="2" customWidth="1"/>
    <col min="10" max="10" width="10.75" style="2" customWidth="1"/>
    <col min="11" max="11" width="47.375" customWidth="1"/>
    <col min="12" max="12" width="9.5" style="40" bestFit="1" customWidth="1"/>
    <col min="13" max="13" width="9.25" style="40" bestFit="1" customWidth="1"/>
    <col min="14" max="16384" width="9" style="40"/>
  </cols>
  <sheetData>
    <row r="1" spans="1:11" ht="38.25">
      <c r="A1" s="363" t="s">
        <v>253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</row>
    <row r="2" spans="1:11">
      <c r="K2" s="44" t="s">
        <v>262</v>
      </c>
    </row>
    <row r="3" spans="1:11" s="38" customFormat="1">
      <c r="A3" s="5" t="s">
        <v>12</v>
      </c>
      <c r="B3" s="5" t="s">
        <v>0</v>
      </c>
      <c r="C3" s="5" t="s">
        <v>223</v>
      </c>
      <c r="D3" s="5" t="s">
        <v>231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50</v>
      </c>
      <c r="J3" s="1" t="s">
        <v>179</v>
      </c>
      <c r="K3" s="5" t="s">
        <v>23</v>
      </c>
    </row>
    <row r="4" spans="1:11" s="98" customFormat="1" ht="24" customHeight="1">
      <c r="A4" s="8">
        <f>ROW()-3</f>
        <v>1</v>
      </c>
      <c r="B4" s="8" t="s">
        <v>13</v>
      </c>
      <c r="C4" s="8" t="s">
        <v>242</v>
      </c>
      <c r="D4" s="8"/>
      <c r="E4" s="36"/>
      <c r="F4" s="36"/>
      <c r="G4" s="22">
        <f t="shared" ref="G4:G28" si="0">+F4*0.1</f>
        <v>0</v>
      </c>
      <c r="H4" s="36">
        <f t="shared" ref="H4:H29" si="1">+F4+G4</f>
        <v>0</v>
      </c>
      <c r="I4" s="58">
        <f>H4-SUMIF('2023.06'!$B:$B,B4,'2023.05'!H:H)</f>
        <v>-133100</v>
      </c>
      <c r="J4" s="199" t="s">
        <v>175</v>
      </c>
      <c r="K4" s="200"/>
    </row>
    <row r="5" spans="1:11" s="98" customFormat="1" ht="24" customHeight="1">
      <c r="A5" s="14">
        <f t="shared" ref="A5:A31" si="2">ROW()-3</f>
        <v>2</v>
      </c>
      <c r="B5" s="14" t="s">
        <v>5</v>
      </c>
      <c r="C5" s="14" t="s">
        <v>34</v>
      </c>
      <c r="D5" s="14"/>
      <c r="E5" s="15">
        <v>486000</v>
      </c>
      <c r="F5" s="15">
        <v>39883700</v>
      </c>
      <c r="G5" s="18">
        <f t="shared" si="0"/>
        <v>3988370</v>
      </c>
      <c r="H5" s="15">
        <f t="shared" si="1"/>
        <v>43872070</v>
      </c>
      <c r="I5" s="60">
        <f>H5-SUMIF('2023.06'!$B:$B,B5,'2023.05'!H:H)</f>
        <v>-3836470</v>
      </c>
      <c r="J5" s="194" t="s">
        <v>175</v>
      </c>
      <c r="K5" s="16" t="s">
        <v>284</v>
      </c>
    </row>
    <row r="6" spans="1:11" s="98" customFormat="1" ht="24" customHeight="1">
      <c r="A6" s="14">
        <f t="shared" si="2"/>
        <v>3</v>
      </c>
      <c r="B6" s="14" t="s">
        <v>11</v>
      </c>
      <c r="C6" s="14" t="s">
        <v>222</v>
      </c>
      <c r="D6" s="14" t="s">
        <v>28</v>
      </c>
      <c r="E6" s="15">
        <v>472170</v>
      </c>
      <c r="F6" s="15">
        <v>44929775</v>
      </c>
      <c r="G6" s="18">
        <f t="shared" si="0"/>
        <v>4492977.5</v>
      </c>
      <c r="H6" s="15">
        <f t="shared" si="1"/>
        <v>49422752.5</v>
      </c>
      <c r="I6" s="60">
        <f>H6-SUMIF('2023.06'!$B:$B,B6,'2023.05'!H:H)</f>
        <v>-2935377.5</v>
      </c>
      <c r="J6" s="194" t="s">
        <v>175</v>
      </c>
      <c r="K6" s="116">
        <v>45107</v>
      </c>
    </row>
    <row r="7" spans="1:11" s="98" customFormat="1" ht="24" customHeight="1">
      <c r="A7" s="14">
        <f t="shared" si="2"/>
        <v>4</v>
      </c>
      <c r="B7" s="17" t="s">
        <v>2</v>
      </c>
      <c r="C7" s="14" t="s">
        <v>222</v>
      </c>
      <c r="D7" s="14" t="s">
        <v>234</v>
      </c>
      <c r="E7" s="15"/>
      <c r="F7" s="15">
        <v>2596900</v>
      </c>
      <c r="G7" s="18">
        <f t="shared" si="0"/>
        <v>259690</v>
      </c>
      <c r="H7" s="15">
        <f t="shared" si="1"/>
        <v>2856590</v>
      </c>
      <c r="I7" s="60">
        <f>H7-SUMIF('2023.06'!$B:$B,B7,'2023.05'!H:H)</f>
        <v>307065</v>
      </c>
      <c r="J7" s="194" t="s">
        <v>175</v>
      </c>
      <c r="K7" s="116">
        <v>45107</v>
      </c>
    </row>
    <row r="8" spans="1:11" s="98" customFormat="1" ht="24" customHeight="1">
      <c r="A8" s="12">
        <f t="shared" si="2"/>
        <v>5</v>
      </c>
      <c r="B8" s="12" t="s">
        <v>9</v>
      </c>
      <c r="C8" s="12" t="s">
        <v>28</v>
      </c>
      <c r="D8" s="12"/>
      <c r="E8" s="4"/>
      <c r="F8" s="4"/>
      <c r="G8" s="4"/>
      <c r="H8" s="4">
        <f t="shared" si="1"/>
        <v>0</v>
      </c>
      <c r="I8" s="62">
        <f>H8-SUMIF('2023.06'!$B:$B,B8,'2023.05'!H:H)</f>
        <v>0</v>
      </c>
      <c r="J8" s="244"/>
      <c r="K8" s="32"/>
    </row>
    <row r="9" spans="1:11" s="98" customFormat="1" ht="24" customHeight="1">
      <c r="A9" s="14">
        <f t="shared" si="2"/>
        <v>6</v>
      </c>
      <c r="B9" s="14" t="s">
        <v>1</v>
      </c>
      <c r="C9" s="14" t="s">
        <v>222</v>
      </c>
      <c r="D9" s="14" t="s">
        <v>224</v>
      </c>
      <c r="E9" s="212">
        <v>21460</v>
      </c>
      <c r="F9" s="15">
        <v>4721200</v>
      </c>
      <c r="G9" s="18">
        <f>F9*0.1</f>
        <v>472120</v>
      </c>
      <c r="H9" s="15">
        <f t="shared" si="1"/>
        <v>5193320</v>
      </c>
      <c r="I9" s="60">
        <f>H9-SUMIF('2023.06'!$B:$B,B9,'2023.05'!H:H)</f>
        <v>119790</v>
      </c>
      <c r="J9" s="194" t="s">
        <v>175</v>
      </c>
      <c r="K9" s="225">
        <v>45107</v>
      </c>
    </row>
    <row r="10" spans="1:11" s="98" customFormat="1" ht="24" customHeight="1">
      <c r="A10" s="8">
        <f t="shared" si="2"/>
        <v>7</v>
      </c>
      <c r="B10" s="220" t="s">
        <v>197</v>
      </c>
      <c r="C10" s="220" t="s">
        <v>104</v>
      </c>
      <c r="D10" s="220"/>
      <c r="E10" s="221">
        <v>1957725</v>
      </c>
      <c r="F10" s="222"/>
      <c r="G10" s="222">
        <f>F10*0.1</f>
        <v>0</v>
      </c>
      <c r="H10" s="222">
        <f t="shared" si="1"/>
        <v>0</v>
      </c>
      <c r="I10" s="223">
        <f>H10-SUMIF('2023.06'!$B:$B,B10,'2023.05'!H:H)</f>
        <v>-1894365</v>
      </c>
      <c r="J10" s="199"/>
      <c r="K10" s="227">
        <v>45107</v>
      </c>
    </row>
    <row r="11" spans="1:11" s="98" customFormat="1" ht="24" customHeight="1">
      <c r="A11" s="14">
        <f t="shared" si="2"/>
        <v>8</v>
      </c>
      <c r="B11" s="14" t="s">
        <v>69</v>
      </c>
      <c r="C11" s="14" t="s">
        <v>46</v>
      </c>
      <c r="D11" s="14"/>
      <c r="E11" s="15">
        <v>19380</v>
      </c>
      <c r="F11" s="15">
        <f>28101000</f>
        <v>28101000</v>
      </c>
      <c r="G11" s="18">
        <f t="shared" si="0"/>
        <v>2810100</v>
      </c>
      <c r="H11" s="15">
        <f>+F11+G11</f>
        <v>30911100</v>
      </c>
      <c r="I11" s="60">
        <f>H11-SUMIF('2023.06'!$B:$B,B11,'2023.05'!H:H)</f>
        <v>3748250</v>
      </c>
      <c r="J11" s="194" t="s">
        <v>175</v>
      </c>
      <c r="K11" s="116">
        <v>45107</v>
      </c>
    </row>
    <row r="12" spans="1:11" s="98" customFormat="1" ht="24" customHeight="1">
      <c r="A12" s="14">
        <f t="shared" si="2"/>
        <v>9</v>
      </c>
      <c r="B12" s="14" t="s">
        <v>7</v>
      </c>
      <c r="C12" s="14" t="s">
        <v>222</v>
      </c>
      <c r="D12" s="14" t="s">
        <v>225</v>
      </c>
      <c r="E12" s="15">
        <v>7110</v>
      </c>
      <c r="F12" s="15">
        <v>995400</v>
      </c>
      <c r="G12" s="18">
        <f t="shared" si="0"/>
        <v>99540</v>
      </c>
      <c r="H12" s="15">
        <f t="shared" si="1"/>
        <v>1094940</v>
      </c>
      <c r="I12" s="60">
        <f>H12-SUMIF('2023.06'!$B:$B,B12,'2023.05'!H:H)</f>
        <v>810040</v>
      </c>
      <c r="J12" s="193" t="s">
        <v>175</v>
      </c>
      <c r="K12" s="116">
        <v>45107</v>
      </c>
    </row>
    <row r="13" spans="1:11" s="98" customFormat="1" ht="24" customHeight="1">
      <c r="A13" s="14">
        <f t="shared" si="2"/>
        <v>10</v>
      </c>
      <c r="B13" s="14" t="s">
        <v>201</v>
      </c>
      <c r="C13" s="14" t="s">
        <v>222</v>
      </c>
      <c r="D13" s="219" t="s">
        <v>92</v>
      </c>
      <c r="E13" s="15"/>
      <c r="F13" s="15">
        <v>1784400</v>
      </c>
      <c r="G13" s="18">
        <f t="shared" si="0"/>
        <v>178440</v>
      </c>
      <c r="H13" s="15">
        <f t="shared" si="1"/>
        <v>1962840</v>
      </c>
      <c r="I13" s="60">
        <f>H13-SUMIF('2023.06'!$B:$B,B13,'2023.05'!H:H)</f>
        <v>-4410010</v>
      </c>
      <c r="J13" s="194" t="s">
        <v>175</v>
      </c>
      <c r="K13" s="116">
        <v>45079</v>
      </c>
    </row>
    <row r="14" spans="1:11" s="98" customFormat="1" ht="24" customHeight="1">
      <c r="A14" s="14">
        <f t="shared" si="2"/>
        <v>11</v>
      </c>
      <c r="B14" s="14" t="s">
        <v>201</v>
      </c>
      <c r="C14" s="14" t="s">
        <v>222</v>
      </c>
      <c r="D14" s="219" t="s">
        <v>92</v>
      </c>
      <c r="E14" s="15"/>
      <c r="F14" s="15">
        <v>616200</v>
      </c>
      <c r="G14" s="18">
        <f t="shared" si="0"/>
        <v>61620</v>
      </c>
      <c r="H14" s="15">
        <f t="shared" si="1"/>
        <v>677820</v>
      </c>
      <c r="I14" s="60">
        <f>H14-SUMIF('2023.06'!$B:$B,B14,'2023.05'!H:H)</f>
        <v>-5695030</v>
      </c>
      <c r="J14" s="194" t="s">
        <v>175</v>
      </c>
      <c r="K14" s="116">
        <v>45096</v>
      </c>
    </row>
    <row r="15" spans="1:11" s="98" customFormat="1" ht="24" customHeight="1">
      <c r="A15" s="14">
        <f t="shared" si="2"/>
        <v>12</v>
      </c>
      <c r="B15" s="14" t="s">
        <v>201</v>
      </c>
      <c r="C15" s="14" t="s">
        <v>222</v>
      </c>
      <c r="D15" s="219" t="s">
        <v>92</v>
      </c>
      <c r="E15" s="15"/>
      <c r="F15" s="15">
        <v>6827200</v>
      </c>
      <c r="G15" s="18">
        <f>+F15*0.1</f>
        <v>682720</v>
      </c>
      <c r="H15" s="15">
        <f>+F15+G15</f>
        <v>7509920</v>
      </c>
      <c r="I15" s="60">
        <f>H15-SUMIF('2023.06'!$B:$B,B15,'2023.05'!H:H)</f>
        <v>1137070</v>
      </c>
      <c r="J15" s="194" t="s">
        <v>175</v>
      </c>
      <c r="K15" s="116">
        <v>45106</v>
      </c>
    </row>
    <row r="16" spans="1:11" s="98" customFormat="1" ht="24" customHeight="1">
      <c r="A16" s="14">
        <f t="shared" si="2"/>
        <v>13</v>
      </c>
      <c r="B16" s="14" t="s">
        <v>201</v>
      </c>
      <c r="C16" s="14" t="s">
        <v>125</v>
      </c>
      <c r="D16" s="14"/>
      <c r="E16" s="15">
        <v>4422</v>
      </c>
      <c r="F16" s="15">
        <v>7517400</v>
      </c>
      <c r="G16" s="18">
        <f>+F16*0.1</f>
        <v>751740</v>
      </c>
      <c r="H16" s="15">
        <f>+F16+G16</f>
        <v>8269140</v>
      </c>
      <c r="I16" s="60">
        <f>H16-SUMIF('2023.06'!$B:$B,B16,'2023.05'!H:H)</f>
        <v>1896290</v>
      </c>
      <c r="J16" s="194" t="s">
        <v>175</v>
      </c>
      <c r="K16" s="116">
        <v>45078</v>
      </c>
    </row>
    <row r="17" spans="1:13" s="98" customFormat="1" ht="24" customHeight="1">
      <c r="A17" s="14">
        <f t="shared" si="2"/>
        <v>14</v>
      </c>
      <c r="B17" s="14" t="s">
        <v>201</v>
      </c>
      <c r="C17" s="14" t="s">
        <v>125</v>
      </c>
      <c r="D17" s="14"/>
      <c r="E17" s="15">
        <v>2246</v>
      </c>
      <c r="F17" s="15">
        <v>3818200</v>
      </c>
      <c r="G17" s="18">
        <f>+F17*0.1</f>
        <v>381820</v>
      </c>
      <c r="H17" s="15">
        <f>+F17+G17</f>
        <v>4200020</v>
      </c>
      <c r="I17" s="60">
        <f>H17-SUMIF('2023.06'!$B:$B,B17,'2023.05'!H:H)</f>
        <v>-2172830</v>
      </c>
      <c r="J17" s="194" t="s">
        <v>175</v>
      </c>
      <c r="K17" s="116">
        <v>45090</v>
      </c>
    </row>
    <row r="18" spans="1:13" s="98" customFormat="1" ht="24" customHeight="1">
      <c r="A18" s="14">
        <f t="shared" si="2"/>
        <v>15</v>
      </c>
      <c r="B18" s="14" t="s">
        <v>201</v>
      </c>
      <c r="C18" s="14" t="s">
        <v>125</v>
      </c>
      <c r="D18" s="14"/>
      <c r="E18" s="15">
        <v>2972</v>
      </c>
      <c r="F18" s="15">
        <v>4093800</v>
      </c>
      <c r="G18" s="18">
        <f>+F18*0.1</f>
        <v>409380</v>
      </c>
      <c r="H18" s="15">
        <f>+F18+G18</f>
        <v>4503180</v>
      </c>
      <c r="I18" s="60">
        <f>H18-SUMIF('2023.06'!$B:$B,B18,'2023.05'!H:H)</f>
        <v>-1869670</v>
      </c>
      <c r="J18" s="194" t="s">
        <v>175</v>
      </c>
      <c r="K18" s="116">
        <v>45106</v>
      </c>
    </row>
    <row r="19" spans="1:13" s="98" customFormat="1" ht="24" customHeight="1">
      <c r="A19" s="8">
        <f t="shared" si="2"/>
        <v>16</v>
      </c>
      <c r="B19" s="8" t="s">
        <v>201</v>
      </c>
      <c r="C19" s="8" t="s">
        <v>204</v>
      </c>
      <c r="D19" s="8"/>
      <c r="E19" s="36"/>
      <c r="F19" s="36"/>
      <c r="G19" s="22">
        <f>+F19*0.1</f>
        <v>0</v>
      </c>
      <c r="H19" s="36">
        <f>+F19+G19</f>
        <v>0</v>
      </c>
      <c r="I19" s="58">
        <f>H19-SUMIF('2023.06'!$B:$B,B19,'2023.05'!H:H)</f>
        <v>-6372850</v>
      </c>
      <c r="J19" s="199" t="s">
        <v>175</v>
      </c>
      <c r="K19" s="136"/>
    </row>
    <row r="20" spans="1:13" s="98" customFormat="1" ht="24" customHeight="1">
      <c r="A20" s="17">
        <f t="shared" si="2"/>
        <v>17</v>
      </c>
      <c r="B20" s="17" t="s">
        <v>75</v>
      </c>
      <c r="C20" s="17" t="s">
        <v>57</v>
      </c>
      <c r="D20" s="17"/>
      <c r="E20" s="107">
        <v>4470</v>
      </c>
      <c r="F20" s="107">
        <v>1430400</v>
      </c>
      <c r="G20" s="18">
        <f t="shared" si="0"/>
        <v>143040</v>
      </c>
      <c r="H20" s="107">
        <f t="shared" si="1"/>
        <v>1573440</v>
      </c>
      <c r="I20" s="60">
        <f>H20-SUMIF('2023.06'!$B:$B,B20,'2023.05'!H:H)</f>
        <v>161040</v>
      </c>
      <c r="J20" s="272" t="s">
        <v>183</v>
      </c>
      <c r="K20" s="171">
        <v>45089</v>
      </c>
      <c r="L20" s="102"/>
      <c r="M20" s="100"/>
    </row>
    <row r="21" spans="1:13" s="98" customFormat="1" ht="24" customHeight="1">
      <c r="A21" s="17">
        <f t="shared" si="2"/>
        <v>18</v>
      </c>
      <c r="B21" s="17" t="s">
        <v>75</v>
      </c>
      <c r="C21" s="17" t="s">
        <v>57</v>
      </c>
      <c r="D21" s="17"/>
      <c r="E21" s="107">
        <v>5240</v>
      </c>
      <c r="F21" s="107">
        <v>1676800</v>
      </c>
      <c r="G21" s="18">
        <f t="shared" si="0"/>
        <v>167680</v>
      </c>
      <c r="H21" s="107">
        <f t="shared" si="1"/>
        <v>1844480</v>
      </c>
      <c r="I21" s="60">
        <f>H21-SUMIF('2023.06'!$B:$B,B21,'2023.05'!H:H)</f>
        <v>432080</v>
      </c>
      <c r="J21" s="272" t="s">
        <v>183</v>
      </c>
      <c r="K21" s="171">
        <v>45107</v>
      </c>
      <c r="L21" s="102"/>
      <c r="M21" s="100"/>
    </row>
    <row r="22" spans="1:13" s="98" customFormat="1" ht="24" customHeight="1">
      <c r="A22" s="257">
        <f t="shared" si="2"/>
        <v>19</v>
      </c>
      <c r="B22" s="257" t="s">
        <v>133</v>
      </c>
      <c r="C22" s="258" t="s">
        <v>254</v>
      </c>
      <c r="D22" s="257" t="s">
        <v>256</v>
      </c>
      <c r="E22" s="259">
        <v>3225</v>
      </c>
      <c r="F22" s="259">
        <f>3225*400</f>
        <v>1290000</v>
      </c>
      <c r="G22" s="260">
        <f t="shared" si="0"/>
        <v>129000</v>
      </c>
      <c r="H22" s="259">
        <f>+F22+G22</f>
        <v>1419000</v>
      </c>
      <c r="I22" s="261">
        <f>H22-SUMIF('2023.06'!$B:$B,B22,'2023.05'!H:H)</f>
        <v>-720500</v>
      </c>
      <c r="J22" s="262" t="s">
        <v>175</v>
      </c>
      <c r="K22" s="263">
        <v>45081</v>
      </c>
    </row>
    <row r="23" spans="1:13" s="98" customFormat="1" ht="24" customHeight="1">
      <c r="A23" s="8">
        <f t="shared" si="2"/>
        <v>20</v>
      </c>
      <c r="B23" s="8" t="s">
        <v>133</v>
      </c>
      <c r="C23" s="256" t="s">
        <v>254</v>
      </c>
      <c r="D23" s="8" t="s">
        <v>256</v>
      </c>
      <c r="E23" s="36"/>
      <c r="F23" s="36"/>
      <c r="G23" s="22">
        <f t="shared" si="0"/>
        <v>0</v>
      </c>
      <c r="H23" s="36">
        <f>+F23+G23</f>
        <v>0</v>
      </c>
      <c r="I23" s="58">
        <f>H23-SUMIF('2023.06'!$B:$B,B23,'2023.05'!H:H)</f>
        <v>-2139500</v>
      </c>
      <c r="J23" s="199" t="s">
        <v>175</v>
      </c>
      <c r="K23" s="136"/>
    </row>
    <row r="24" spans="1:13" s="98" customFormat="1" ht="24" customHeight="1">
      <c r="A24" s="8">
        <f t="shared" si="2"/>
        <v>21</v>
      </c>
      <c r="B24" s="8" t="s">
        <v>133</v>
      </c>
      <c r="C24" s="256" t="s">
        <v>254</v>
      </c>
      <c r="D24" s="8" t="s">
        <v>256</v>
      </c>
      <c r="E24" s="36"/>
      <c r="F24" s="36"/>
      <c r="G24" s="22">
        <f t="shared" si="0"/>
        <v>0</v>
      </c>
      <c r="H24" s="36">
        <f>+F24+G24</f>
        <v>0</v>
      </c>
      <c r="I24" s="58">
        <f>H24-SUMIF('2023.06'!$B:$B,B24,'2023.05'!H:H)</f>
        <v>-2139500</v>
      </c>
      <c r="J24" s="199" t="s">
        <v>175</v>
      </c>
      <c r="K24" s="136"/>
    </row>
    <row r="25" spans="1:13" s="98" customFormat="1" ht="24" customHeight="1">
      <c r="A25" s="8">
        <f t="shared" si="2"/>
        <v>22</v>
      </c>
      <c r="B25" s="8" t="s">
        <v>133</v>
      </c>
      <c r="C25" s="256" t="s">
        <v>254</v>
      </c>
      <c r="D25" s="8" t="s">
        <v>256</v>
      </c>
      <c r="E25" s="36"/>
      <c r="F25" s="36"/>
      <c r="G25" s="22">
        <f t="shared" si="0"/>
        <v>0</v>
      </c>
      <c r="H25" s="36">
        <f>+F25+G25</f>
        <v>0</v>
      </c>
      <c r="I25" s="58">
        <f>H25-SUMIF('2023.06'!$B:$B,B25,'2023.05'!H:H)</f>
        <v>-2139500</v>
      </c>
      <c r="J25" s="199" t="s">
        <v>175</v>
      </c>
      <c r="K25" s="136"/>
    </row>
    <row r="26" spans="1:13" s="98" customFormat="1" ht="24" customHeight="1">
      <c r="A26" s="8">
        <f t="shared" si="2"/>
        <v>23</v>
      </c>
      <c r="B26" s="8" t="s">
        <v>133</v>
      </c>
      <c r="C26" s="256" t="s">
        <v>254</v>
      </c>
      <c r="D26" s="8" t="s">
        <v>256</v>
      </c>
      <c r="E26" s="36"/>
      <c r="F26" s="36"/>
      <c r="G26" s="22">
        <f t="shared" si="0"/>
        <v>0</v>
      </c>
      <c r="H26" s="36">
        <f>+F26+G26</f>
        <v>0</v>
      </c>
      <c r="I26" s="58">
        <f>H26-SUMIF('2023.06'!$B:$B,B26,'2023.05'!H:H)</f>
        <v>-2139500</v>
      </c>
      <c r="J26" s="199" t="s">
        <v>175</v>
      </c>
      <c r="K26" s="136"/>
    </row>
    <row r="27" spans="1:13" s="101" customFormat="1" ht="24" customHeight="1">
      <c r="A27" s="17">
        <f t="shared" si="2"/>
        <v>24</v>
      </c>
      <c r="B27" s="17" t="s">
        <v>91</v>
      </c>
      <c r="C27" s="14" t="s">
        <v>222</v>
      </c>
      <c r="D27" s="17" t="s">
        <v>134</v>
      </c>
      <c r="E27" s="18">
        <v>3640</v>
      </c>
      <c r="F27" s="18">
        <v>1820000</v>
      </c>
      <c r="G27" s="18">
        <f t="shared" si="0"/>
        <v>182000</v>
      </c>
      <c r="H27" s="107">
        <f t="shared" ref="H27" si="3">+F27+G27</f>
        <v>2002000</v>
      </c>
      <c r="I27" s="60">
        <f>H27-SUMIF('2023.06'!$B:$B,B27,'2023.05'!H:H)</f>
        <v>-3498000</v>
      </c>
      <c r="J27" s="194" t="s">
        <v>175</v>
      </c>
      <c r="K27" s="236">
        <v>45097</v>
      </c>
    </row>
    <row r="28" spans="1:13" s="101" customFormat="1" ht="24" customHeight="1">
      <c r="A28" s="11">
        <f t="shared" si="2"/>
        <v>25</v>
      </c>
      <c r="B28" s="11" t="s">
        <v>91</v>
      </c>
      <c r="C28" s="8" t="s">
        <v>222</v>
      </c>
      <c r="D28" s="11" t="s">
        <v>134</v>
      </c>
      <c r="E28" s="22"/>
      <c r="F28" s="22"/>
      <c r="G28" s="22">
        <f t="shared" si="0"/>
        <v>0</v>
      </c>
      <c r="H28" s="132">
        <f t="shared" si="1"/>
        <v>0</v>
      </c>
      <c r="I28" s="58">
        <f>H28-SUMIF('2023.06'!$B:$B,B28,'2023.05'!H:H)</f>
        <v>-5500000</v>
      </c>
      <c r="J28" s="199" t="s">
        <v>175</v>
      </c>
      <c r="K28" s="229"/>
    </row>
    <row r="29" spans="1:13" s="98" customFormat="1" ht="24" customHeight="1">
      <c r="A29" s="17">
        <f t="shared" si="2"/>
        <v>26</v>
      </c>
      <c r="B29" s="17" t="s">
        <v>4</v>
      </c>
      <c r="C29" s="14" t="s">
        <v>222</v>
      </c>
      <c r="D29" s="17" t="s">
        <v>229</v>
      </c>
      <c r="E29" s="124"/>
      <c r="F29" s="18">
        <v>5000000</v>
      </c>
      <c r="G29" s="18">
        <f>F29*0.1</f>
        <v>500000</v>
      </c>
      <c r="H29" s="107">
        <f t="shared" si="1"/>
        <v>5500000</v>
      </c>
      <c r="I29" s="60">
        <f>H29-SUMIF('2023.06'!$B:$B,B29,'2023.05'!H:H)</f>
        <v>5500000</v>
      </c>
      <c r="J29" s="194" t="s">
        <v>175</v>
      </c>
      <c r="K29" s="195">
        <v>45107</v>
      </c>
    </row>
    <row r="30" spans="1:13" s="98" customFormat="1" ht="24" hidden="1" customHeight="1">
      <c r="A30" s="11"/>
      <c r="B30" s="11"/>
      <c r="C30" s="11"/>
      <c r="D30" s="11"/>
      <c r="E30" s="22"/>
      <c r="F30" s="22"/>
      <c r="G30" s="22"/>
      <c r="H30" s="22"/>
      <c r="I30" s="58">
        <f>H30-SUMIF('2023.06'!$B:$B,B30,'2023.05'!H:H)</f>
        <v>0</v>
      </c>
      <c r="J30" s="199"/>
      <c r="K30" s="131"/>
    </row>
    <row r="31" spans="1:13" s="101" customFormat="1" ht="24" hidden="1" customHeight="1">
      <c r="A31" s="129">
        <f t="shared" si="2"/>
        <v>28</v>
      </c>
      <c r="B31" s="129" t="s">
        <v>37</v>
      </c>
      <c r="C31" s="129" t="s">
        <v>47</v>
      </c>
      <c r="D31" s="129"/>
      <c r="E31" s="130"/>
      <c r="F31" s="130"/>
      <c r="G31" s="130"/>
      <c r="H31" s="130">
        <f>+F31+G31</f>
        <v>0</v>
      </c>
      <c r="I31" s="58">
        <f>H31-SUMIF('2023.06'!$B:$B,B31,'2023.05'!H:H)</f>
        <v>-152589690</v>
      </c>
      <c r="J31" s="199"/>
      <c r="K31" s="138"/>
    </row>
    <row r="32" spans="1:13" s="39" customFormat="1" ht="24" customHeight="1">
      <c r="A32" s="364" t="s">
        <v>18</v>
      </c>
      <c r="B32" s="365"/>
      <c r="C32" s="255"/>
      <c r="D32" s="255"/>
      <c r="E32" s="139">
        <f>SUM(E4:E31)</f>
        <v>2990060</v>
      </c>
      <c r="F32" s="139">
        <f>SUM(F4:F31)</f>
        <v>157102375</v>
      </c>
      <c r="G32" s="139">
        <f>SUM(G4:G31)</f>
        <v>15710237.5</v>
      </c>
      <c r="H32" s="139">
        <f>SUM(H4:H31)</f>
        <v>172812612.5</v>
      </c>
      <c r="I32" s="203">
        <f>H32-'2023.05'!I31</f>
        <v>32146427.5</v>
      </c>
      <c r="J32" s="204"/>
      <c r="K32" s="37"/>
    </row>
    <row r="33" spans="1:11">
      <c r="A33" s="40"/>
      <c r="B33" s="40"/>
      <c r="C33" s="40"/>
      <c r="D33" s="40"/>
      <c r="E33" s="205"/>
      <c r="F33" s="205"/>
      <c r="G33" s="205"/>
      <c r="H33" s="205"/>
      <c r="I33" s="205"/>
      <c r="J33" s="205"/>
      <c r="K33" s="40"/>
    </row>
    <row r="34" spans="1:11">
      <c r="A34" s="40"/>
      <c r="B34" s="206" t="s">
        <v>50</v>
      </c>
      <c r="C34" s="40"/>
      <c r="D34" s="40"/>
      <c r="E34" s="205"/>
      <c r="F34" s="207">
        <f>F32-'2022.10'!E20</f>
        <v>6131550</v>
      </c>
      <c r="G34" s="207">
        <f>G32-'2022.10'!F20</f>
        <v>613155</v>
      </c>
      <c r="H34" s="207">
        <f>H32-'2022.10'!G20</f>
        <v>6744705</v>
      </c>
      <c r="I34" s="207"/>
      <c r="J34" s="207"/>
      <c r="K34" s="208"/>
    </row>
    <row r="35" spans="1:11">
      <c r="A35" s="40"/>
      <c r="B35" s="40"/>
      <c r="C35" s="40"/>
      <c r="D35" s="40"/>
      <c r="E35" s="40"/>
      <c r="F35" s="205"/>
      <c r="G35" s="205"/>
      <c r="H35" s="205"/>
      <c r="I35" s="205"/>
      <c r="J35" s="205"/>
      <c r="K35" s="40"/>
    </row>
    <row r="36" spans="1:11">
      <c r="A36" s="181" t="s">
        <v>148</v>
      </c>
      <c r="B36" s="182" t="s">
        <v>149</v>
      </c>
      <c r="C36" s="182" t="s">
        <v>151</v>
      </c>
      <c r="D36" s="182"/>
      <c r="E36" s="187">
        <v>1800</v>
      </c>
      <c r="F36" s="197">
        <v>4909091</v>
      </c>
      <c r="G36" s="197">
        <f>F36*0.1</f>
        <v>490909.10000000003</v>
      </c>
      <c r="H36" s="184">
        <f>F36+G36</f>
        <v>5400000.0999999996</v>
      </c>
      <c r="I36" s="184">
        <f>H36-'2023.05'!H35</f>
        <v>2700000.1</v>
      </c>
      <c r="J36" s="194" t="s">
        <v>175</v>
      </c>
      <c r="K36" s="195">
        <v>45107</v>
      </c>
    </row>
    <row r="37" spans="1:11">
      <c r="A37" s="181" t="s">
        <v>148</v>
      </c>
      <c r="B37" s="182" t="s">
        <v>150</v>
      </c>
      <c r="C37" s="182" t="s">
        <v>151</v>
      </c>
      <c r="D37" s="182"/>
      <c r="E37" s="187">
        <v>1200</v>
      </c>
      <c r="F37" s="15">
        <v>3272727</v>
      </c>
      <c r="G37" s="246">
        <f>F37*0.1</f>
        <v>327272.7</v>
      </c>
      <c r="H37" s="184">
        <f>F37+G37</f>
        <v>3599999.7</v>
      </c>
      <c r="I37" s="184">
        <f>H37-'2023.05'!H36</f>
        <v>1799999.7000000002</v>
      </c>
      <c r="J37" s="194" t="s">
        <v>175</v>
      </c>
      <c r="K37" s="195">
        <v>45107</v>
      </c>
    </row>
  </sheetData>
  <autoFilter ref="A3:K3"/>
  <mergeCells count="2">
    <mergeCell ref="A1:K1"/>
    <mergeCell ref="A32:B3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6"/>
  <sheetViews>
    <sheetView showGridLines="0" workbookViewId="0">
      <pane xSplit="2" ySplit="3" topLeftCell="C19" activePane="bottomRight" state="frozen"/>
      <selection pane="topRight" activeCell="C1" sqref="C1"/>
      <selection pane="bottomLeft" activeCell="A2" sqref="A2"/>
      <selection pane="bottomRight" sqref="A1:K1"/>
    </sheetView>
  </sheetViews>
  <sheetFormatPr defaultColWidth="9" defaultRowHeight="16.5"/>
  <cols>
    <col min="1" max="1" width="7.5" bestFit="1" customWidth="1"/>
    <col min="2" max="2" width="20" customWidth="1"/>
    <col min="3" max="3" width="29.25" bestFit="1" customWidth="1"/>
    <col min="4" max="4" width="15.375" bestFit="1" customWidth="1"/>
    <col min="5" max="5" width="12.375" style="2" bestFit="1" customWidth="1"/>
    <col min="6" max="6" width="14.875" style="2" bestFit="1" customWidth="1"/>
    <col min="7" max="7" width="13.625" style="2" bestFit="1" customWidth="1"/>
    <col min="8" max="8" width="14.875" style="2" bestFit="1" customWidth="1"/>
    <col min="9" max="9" width="14.875" style="2" customWidth="1"/>
    <col min="10" max="10" width="10.75" style="2" customWidth="1"/>
    <col min="11" max="11" width="47.375" customWidth="1"/>
    <col min="12" max="12" width="9.5" style="40" bestFit="1" customWidth="1"/>
    <col min="13" max="13" width="9.25" style="40" bestFit="1" customWidth="1"/>
    <col min="14" max="16384" width="9" style="40"/>
  </cols>
  <sheetData>
    <row r="1" spans="1:11" ht="38.25">
      <c r="A1" s="363" t="s">
        <v>251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</row>
    <row r="2" spans="1:11">
      <c r="K2" s="44" t="s">
        <v>250</v>
      </c>
    </row>
    <row r="3" spans="1:11" s="38" customFormat="1">
      <c r="A3" s="5" t="s">
        <v>12</v>
      </c>
      <c r="B3" s="5" t="s">
        <v>0</v>
      </c>
      <c r="C3" s="5" t="s">
        <v>223</v>
      </c>
      <c r="D3" s="5" t="s">
        <v>231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50</v>
      </c>
      <c r="J3" s="1" t="s">
        <v>179</v>
      </c>
      <c r="K3" s="5" t="s">
        <v>23</v>
      </c>
    </row>
    <row r="4" spans="1:11" s="98" customFormat="1" ht="24" customHeight="1">
      <c r="A4" s="14">
        <f>ROW()-3</f>
        <v>1</v>
      </c>
      <c r="B4" s="14" t="s">
        <v>13</v>
      </c>
      <c r="C4" s="14" t="s">
        <v>242</v>
      </c>
      <c r="D4" s="14"/>
      <c r="E4" s="15">
        <v>605</v>
      </c>
      <c r="F4" s="15">
        <v>121000</v>
      </c>
      <c r="G4" s="18">
        <f t="shared" ref="G4:G27" si="0">+F4*0.1</f>
        <v>12100</v>
      </c>
      <c r="H4" s="15">
        <f t="shared" ref="H4:H28" si="1">+F4+G4</f>
        <v>133100</v>
      </c>
      <c r="I4" s="60">
        <f>H4-SUMIF('2023.05'!$B:$B,B4,'2023.04'!H:H)</f>
        <v>133100</v>
      </c>
      <c r="J4" s="194" t="s">
        <v>175</v>
      </c>
      <c r="K4" s="172">
        <v>45062</v>
      </c>
    </row>
    <row r="5" spans="1:11" s="98" customFormat="1" ht="24" customHeight="1">
      <c r="A5" s="14">
        <f t="shared" ref="A5:A30" si="2">ROW()-3</f>
        <v>2</v>
      </c>
      <c r="B5" s="14" t="s">
        <v>5</v>
      </c>
      <c r="C5" s="14" t="s">
        <v>34</v>
      </c>
      <c r="D5" s="14"/>
      <c r="E5" s="15">
        <v>481860</v>
      </c>
      <c r="F5" s="15">
        <v>43371400</v>
      </c>
      <c r="G5" s="18">
        <f t="shared" si="0"/>
        <v>4337140</v>
      </c>
      <c r="H5" s="15">
        <f t="shared" si="1"/>
        <v>47708540</v>
      </c>
      <c r="I5" s="60">
        <f>H5-SUMIF('2023.05'!$B:$B,B5,'2023.04'!H:H)</f>
        <v>-4808430</v>
      </c>
      <c r="J5" s="194" t="s">
        <v>175</v>
      </c>
      <c r="K5" s="16" t="s">
        <v>257</v>
      </c>
    </row>
    <row r="6" spans="1:11" s="98" customFormat="1" ht="24" customHeight="1">
      <c r="A6" s="14">
        <f t="shared" si="2"/>
        <v>3</v>
      </c>
      <c r="B6" s="14" t="s">
        <v>11</v>
      </c>
      <c r="C6" s="14" t="s">
        <v>222</v>
      </c>
      <c r="D6" s="14" t="s">
        <v>28</v>
      </c>
      <c r="E6" s="15">
        <v>466075</v>
      </c>
      <c r="F6" s="15">
        <v>47598300</v>
      </c>
      <c r="G6" s="18">
        <f t="shared" si="0"/>
        <v>4759830</v>
      </c>
      <c r="H6" s="15">
        <f t="shared" si="1"/>
        <v>52358130</v>
      </c>
      <c r="I6" s="60">
        <f>H6-SUMIF('2023.05'!$B:$B,B6,'2023.04'!H:H)</f>
        <v>5589815</v>
      </c>
      <c r="J6" s="194" t="s">
        <v>175</v>
      </c>
      <c r="K6" s="116">
        <v>45077</v>
      </c>
    </row>
    <row r="7" spans="1:11" s="98" customFormat="1" ht="24" customHeight="1">
      <c r="A7" s="14">
        <f t="shared" si="2"/>
        <v>4</v>
      </c>
      <c r="B7" s="17" t="s">
        <v>2</v>
      </c>
      <c r="C7" s="14" t="s">
        <v>222</v>
      </c>
      <c r="D7" s="14" t="s">
        <v>234</v>
      </c>
      <c r="E7" s="15"/>
      <c r="F7" s="15">
        <v>2317750</v>
      </c>
      <c r="G7" s="18">
        <f t="shared" si="0"/>
        <v>231775</v>
      </c>
      <c r="H7" s="15">
        <f t="shared" si="1"/>
        <v>2549525</v>
      </c>
      <c r="I7" s="60">
        <f>H7-SUMIF('2023.05'!$B:$B,B7,'2023.04'!H:H)</f>
        <v>-511885</v>
      </c>
      <c r="J7" s="194" t="s">
        <v>175</v>
      </c>
      <c r="K7" s="116">
        <v>45077</v>
      </c>
    </row>
    <row r="8" spans="1:11" s="98" customFormat="1" ht="24" customHeight="1">
      <c r="A8" s="12">
        <f t="shared" si="2"/>
        <v>5</v>
      </c>
      <c r="B8" s="12" t="s">
        <v>9</v>
      </c>
      <c r="C8" s="12" t="s">
        <v>28</v>
      </c>
      <c r="D8" s="12"/>
      <c r="E8" s="4"/>
      <c r="F8" s="4"/>
      <c r="G8" s="4"/>
      <c r="H8" s="4">
        <f t="shared" si="1"/>
        <v>0</v>
      </c>
      <c r="I8" s="62">
        <f>H8-SUMIF('2023.05'!$B:$B,B8,'2023.04'!H:H)</f>
        <v>0</v>
      </c>
      <c r="J8" s="244"/>
      <c r="K8" s="32"/>
    </row>
    <row r="9" spans="1:11" s="98" customFormat="1" ht="24" customHeight="1">
      <c r="A9" s="14">
        <f t="shared" si="2"/>
        <v>6</v>
      </c>
      <c r="B9" s="14" t="s">
        <v>1</v>
      </c>
      <c r="C9" s="14" t="s">
        <v>222</v>
      </c>
      <c r="D9" s="14" t="s">
        <v>224</v>
      </c>
      <c r="E9" s="212">
        <v>20965</v>
      </c>
      <c r="F9" s="15">
        <v>4612300</v>
      </c>
      <c r="G9" s="18">
        <f>F9*0.1</f>
        <v>461230</v>
      </c>
      <c r="H9" s="15">
        <f t="shared" si="1"/>
        <v>5073530</v>
      </c>
      <c r="I9" s="60">
        <f>H9-SUMIF('2023.05'!$B:$B,B9,'2023.04'!H:H)</f>
        <v>396880</v>
      </c>
      <c r="J9" s="194" t="s">
        <v>175</v>
      </c>
      <c r="K9" s="225">
        <v>45077</v>
      </c>
    </row>
    <row r="10" spans="1:11" s="98" customFormat="1" ht="24" customHeight="1">
      <c r="A10" s="8">
        <f t="shared" si="2"/>
        <v>7</v>
      </c>
      <c r="B10" s="220" t="s">
        <v>197</v>
      </c>
      <c r="C10" s="220" t="s">
        <v>104</v>
      </c>
      <c r="D10" s="220"/>
      <c r="E10" s="221">
        <v>57405</v>
      </c>
      <c r="F10" s="222">
        <v>1722150</v>
      </c>
      <c r="G10" s="222">
        <f>F10*0.1</f>
        <v>172215</v>
      </c>
      <c r="H10" s="222">
        <f t="shared" si="1"/>
        <v>1894365</v>
      </c>
      <c r="I10" s="223">
        <f>H10-SUMIF('2023.05'!$B:$B,B10,'2023.04'!H:H)</f>
        <v>291060</v>
      </c>
      <c r="J10" s="199"/>
      <c r="K10" s="227">
        <v>45077</v>
      </c>
    </row>
    <row r="11" spans="1:11" s="98" customFormat="1" ht="24" customHeight="1">
      <c r="A11" s="14">
        <f t="shared" si="2"/>
        <v>8</v>
      </c>
      <c r="B11" s="14" t="s">
        <v>69</v>
      </c>
      <c r="C11" s="14" t="s">
        <v>46</v>
      </c>
      <c r="D11" s="14"/>
      <c r="E11" s="15">
        <v>17030</v>
      </c>
      <c r="F11" s="15">
        <v>24693500</v>
      </c>
      <c r="G11" s="18">
        <f t="shared" si="0"/>
        <v>2469350</v>
      </c>
      <c r="H11" s="15">
        <f>+F11+G11</f>
        <v>27162850</v>
      </c>
      <c r="I11" s="60">
        <f>H11-SUMIF('2023.05'!$B:$B,B11,'2023.04'!H:H)</f>
        <v>1156375</v>
      </c>
      <c r="J11" s="194" t="s">
        <v>175</v>
      </c>
      <c r="K11" s="116">
        <v>45077</v>
      </c>
    </row>
    <row r="12" spans="1:11" s="98" customFormat="1" ht="24" customHeight="1">
      <c r="A12" s="14">
        <f t="shared" si="2"/>
        <v>9</v>
      </c>
      <c r="B12" s="14" t="s">
        <v>7</v>
      </c>
      <c r="C12" s="14" t="s">
        <v>222</v>
      </c>
      <c r="D12" s="14" t="s">
        <v>225</v>
      </c>
      <c r="E12" s="15">
        <v>1850</v>
      </c>
      <c r="F12" s="15">
        <v>259000</v>
      </c>
      <c r="G12" s="18">
        <f t="shared" si="0"/>
        <v>25900</v>
      </c>
      <c r="H12" s="15">
        <f t="shared" si="1"/>
        <v>284900</v>
      </c>
      <c r="I12" s="60">
        <f>H12-SUMIF('2023.05'!$B:$B,B12,'2023.04'!H:H)</f>
        <v>-510510</v>
      </c>
      <c r="J12" s="193" t="s">
        <v>175</v>
      </c>
      <c r="K12" s="116">
        <v>45077</v>
      </c>
    </row>
    <row r="13" spans="1:11" s="98" customFormat="1" ht="24" customHeight="1">
      <c r="A13" s="14">
        <f t="shared" si="2"/>
        <v>10</v>
      </c>
      <c r="B13" s="14" t="s">
        <v>201</v>
      </c>
      <c r="C13" s="14" t="s">
        <v>222</v>
      </c>
      <c r="D13" s="219" t="s">
        <v>92</v>
      </c>
      <c r="E13" s="15"/>
      <c r="F13" s="15">
        <v>228000</v>
      </c>
      <c r="G13" s="18">
        <f t="shared" si="0"/>
        <v>22800</v>
      </c>
      <c r="H13" s="15">
        <f t="shared" si="1"/>
        <v>250800</v>
      </c>
      <c r="I13" s="60">
        <f>H13-SUMIF('2023.05'!$B:$B,B13,'2023.04'!H:H)</f>
        <v>-18308455</v>
      </c>
      <c r="J13" s="194" t="s">
        <v>175</v>
      </c>
      <c r="K13" s="116">
        <v>45049</v>
      </c>
    </row>
    <row r="14" spans="1:11" s="98" customFormat="1" ht="24" customHeight="1">
      <c r="A14" s="14">
        <f t="shared" si="2"/>
        <v>11</v>
      </c>
      <c r="B14" s="14" t="s">
        <v>201</v>
      </c>
      <c r="C14" s="14" t="s">
        <v>222</v>
      </c>
      <c r="D14" s="219" t="s">
        <v>92</v>
      </c>
      <c r="E14" s="15"/>
      <c r="F14" s="15">
        <v>290500</v>
      </c>
      <c r="G14" s="18">
        <f t="shared" si="0"/>
        <v>29050</v>
      </c>
      <c r="H14" s="15">
        <f t="shared" si="1"/>
        <v>319550</v>
      </c>
      <c r="I14" s="60">
        <f>H14-SUMIF('2023.05'!$B:$B,B14,'2023.04'!H:H)</f>
        <v>-18239705</v>
      </c>
      <c r="J14" s="194" t="s">
        <v>175</v>
      </c>
      <c r="K14" s="116">
        <v>45055</v>
      </c>
    </row>
    <row r="15" spans="1:11" s="98" customFormat="1" ht="24" customHeight="1">
      <c r="A15" s="14">
        <f t="shared" si="2"/>
        <v>12</v>
      </c>
      <c r="B15" s="14" t="s">
        <v>201</v>
      </c>
      <c r="C15" s="14" t="s">
        <v>222</v>
      </c>
      <c r="D15" s="219" t="s">
        <v>92</v>
      </c>
      <c r="E15" s="15"/>
      <c r="F15" s="15">
        <v>583400</v>
      </c>
      <c r="G15" s="18">
        <f>+F15*0.1</f>
        <v>58340</v>
      </c>
      <c r="H15" s="15">
        <f>+F15+G15</f>
        <v>641740</v>
      </c>
      <c r="I15" s="60">
        <f>H15-SUMIF('2023.05'!$B:$B,B15,'2023.04'!H:H)</f>
        <v>-17917515</v>
      </c>
      <c r="J15" s="194" t="s">
        <v>175</v>
      </c>
      <c r="K15" s="116">
        <v>45071</v>
      </c>
    </row>
    <row r="16" spans="1:11" s="98" customFormat="1" ht="24" customHeight="1">
      <c r="A16" s="14">
        <f t="shared" si="2"/>
        <v>13</v>
      </c>
      <c r="B16" s="14" t="s">
        <v>201</v>
      </c>
      <c r="C16" s="14" t="s">
        <v>125</v>
      </c>
      <c r="D16" s="14"/>
      <c r="E16" s="15">
        <v>1860</v>
      </c>
      <c r="F16" s="15">
        <f>1860*1700</f>
        <v>3162000</v>
      </c>
      <c r="G16" s="18">
        <f>+F16*0.1</f>
        <v>316200</v>
      </c>
      <c r="H16" s="15">
        <f>+F16+G16</f>
        <v>3478200</v>
      </c>
      <c r="I16" s="60">
        <f>H16-SUMIF('2023.05'!$B:$B,B16,'2023.04'!H:H)</f>
        <v>-15081055</v>
      </c>
      <c r="J16" s="194" t="s">
        <v>175</v>
      </c>
      <c r="K16" s="116">
        <v>45055</v>
      </c>
    </row>
    <row r="17" spans="1:13" s="98" customFormat="1" ht="24" customHeight="1">
      <c r="A17" s="8">
        <f t="shared" si="2"/>
        <v>14</v>
      </c>
      <c r="B17" s="8" t="s">
        <v>201</v>
      </c>
      <c r="C17" s="8" t="s">
        <v>125</v>
      </c>
      <c r="D17" s="8"/>
      <c r="E17" s="36"/>
      <c r="F17" s="36"/>
      <c r="G17" s="22">
        <f>+F17*0.1</f>
        <v>0</v>
      </c>
      <c r="H17" s="36">
        <f>+F17+G17</f>
        <v>0</v>
      </c>
      <c r="I17" s="58">
        <f>H17-SUMIF('2023.05'!$B:$B,B17,'2023.04'!H:H)</f>
        <v>-18559255</v>
      </c>
      <c r="J17" s="199" t="s">
        <v>175</v>
      </c>
      <c r="K17" s="136"/>
    </row>
    <row r="18" spans="1:13" s="98" customFormat="1" ht="24" customHeight="1">
      <c r="A18" s="8">
        <f t="shared" si="2"/>
        <v>15</v>
      </c>
      <c r="B18" s="8" t="s">
        <v>201</v>
      </c>
      <c r="C18" s="8" t="s">
        <v>204</v>
      </c>
      <c r="D18" s="8"/>
      <c r="E18" s="36"/>
      <c r="F18" s="36"/>
      <c r="G18" s="22">
        <f>+F18*0.1</f>
        <v>0</v>
      </c>
      <c r="H18" s="36">
        <f>+F18+G18</f>
        <v>0</v>
      </c>
      <c r="I18" s="58">
        <f>H18-SUMIF('2023.05'!$B:$B,B18,'2023.04'!H:H)</f>
        <v>-18559255</v>
      </c>
      <c r="J18" s="199" t="s">
        <v>175</v>
      </c>
      <c r="K18" s="136"/>
    </row>
    <row r="19" spans="1:13" s="98" customFormat="1" ht="24" customHeight="1">
      <c r="A19" s="17">
        <f t="shared" si="2"/>
        <v>16</v>
      </c>
      <c r="B19" s="17" t="s">
        <v>75</v>
      </c>
      <c r="C19" s="17" t="s">
        <v>57</v>
      </c>
      <c r="D19" s="17"/>
      <c r="E19" s="107">
        <v>4780</v>
      </c>
      <c r="F19" s="107">
        <v>1529600</v>
      </c>
      <c r="G19" s="18">
        <f t="shared" si="0"/>
        <v>152960</v>
      </c>
      <c r="H19" s="107">
        <f t="shared" si="1"/>
        <v>1682560</v>
      </c>
      <c r="I19" s="60">
        <f>H19-SUMIF('2023.05'!$B:$B,B19,'2023.04'!H:H)</f>
        <v>31680</v>
      </c>
      <c r="J19" s="194" t="s">
        <v>183</v>
      </c>
      <c r="K19" s="171">
        <v>45064</v>
      </c>
      <c r="L19" s="102"/>
      <c r="M19" s="100"/>
    </row>
    <row r="20" spans="1:13" s="98" customFormat="1" ht="24" customHeight="1">
      <c r="A20" s="11">
        <f t="shared" si="2"/>
        <v>17</v>
      </c>
      <c r="B20" s="11" t="s">
        <v>75</v>
      </c>
      <c r="C20" s="11" t="s">
        <v>57</v>
      </c>
      <c r="D20" s="11"/>
      <c r="E20" s="132"/>
      <c r="F20" s="132"/>
      <c r="G20" s="22">
        <f t="shared" si="0"/>
        <v>0</v>
      </c>
      <c r="H20" s="132">
        <f t="shared" si="1"/>
        <v>0</v>
      </c>
      <c r="I20" s="58">
        <f>H20-SUMIF('2023.05'!$B:$B,B20,'2023.04'!H:H)</f>
        <v>-1650880</v>
      </c>
      <c r="J20" s="199" t="s">
        <v>183</v>
      </c>
      <c r="K20" s="201"/>
      <c r="L20" s="102"/>
      <c r="M20" s="100"/>
    </row>
    <row r="21" spans="1:13" s="98" customFormat="1" ht="24" customHeight="1">
      <c r="A21" s="248">
        <f t="shared" si="2"/>
        <v>18</v>
      </c>
      <c r="B21" s="248" t="s">
        <v>133</v>
      </c>
      <c r="C21" s="248" t="s">
        <v>222</v>
      </c>
      <c r="D21" s="248" t="s">
        <v>134</v>
      </c>
      <c r="E21" s="247">
        <v>3210</v>
      </c>
      <c r="F21" s="247">
        <f>3210*400</f>
        <v>1284000</v>
      </c>
      <c r="G21" s="249">
        <f t="shared" si="0"/>
        <v>128400</v>
      </c>
      <c r="H21" s="247">
        <f>+F21+G21</f>
        <v>1412400</v>
      </c>
      <c r="I21" s="250">
        <f>H21-SUMIF('2023.05'!$B:$B,B21,'2023.04'!H:H)</f>
        <v>100650</v>
      </c>
      <c r="J21" s="240" t="s">
        <v>175</v>
      </c>
      <c r="K21" s="251" t="s">
        <v>255</v>
      </c>
    </row>
    <row r="22" spans="1:13" s="98" customFormat="1" ht="24" customHeight="1">
      <c r="A22" s="8">
        <f t="shared" si="2"/>
        <v>19</v>
      </c>
      <c r="B22" s="8" t="s">
        <v>133</v>
      </c>
      <c r="C22" s="8" t="s">
        <v>222</v>
      </c>
      <c r="D22" s="8" t="s">
        <v>134</v>
      </c>
      <c r="E22" s="36"/>
      <c r="F22" s="36"/>
      <c r="G22" s="22">
        <f t="shared" si="0"/>
        <v>0</v>
      </c>
      <c r="H22" s="36">
        <f>+F22+G22</f>
        <v>0</v>
      </c>
      <c r="I22" s="58">
        <f>H22-SUMIF('2023.05'!$B:$B,B22,'2023.04'!H:H)</f>
        <v>-1311750</v>
      </c>
      <c r="J22" s="199" t="s">
        <v>175</v>
      </c>
      <c r="K22" s="136"/>
    </row>
    <row r="23" spans="1:13" s="98" customFormat="1" ht="24" customHeight="1">
      <c r="A23" s="8">
        <f t="shared" si="2"/>
        <v>20</v>
      </c>
      <c r="B23" s="8" t="s">
        <v>133</v>
      </c>
      <c r="C23" s="8" t="s">
        <v>222</v>
      </c>
      <c r="D23" s="8" t="s">
        <v>134</v>
      </c>
      <c r="E23" s="36"/>
      <c r="F23" s="36"/>
      <c r="G23" s="22">
        <f t="shared" si="0"/>
        <v>0</v>
      </c>
      <c r="H23" s="36">
        <f>+F23+G23</f>
        <v>0</v>
      </c>
      <c r="I23" s="58">
        <f>H23-SUMIF('2023.05'!$B:$B,B23,'2023.04'!H:H)</f>
        <v>-1311750</v>
      </c>
      <c r="J23" s="199" t="s">
        <v>175</v>
      </c>
      <c r="K23" s="136"/>
    </row>
    <row r="24" spans="1:13" s="98" customFormat="1" ht="24" customHeight="1">
      <c r="A24" s="8">
        <f t="shared" si="2"/>
        <v>21</v>
      </c>
      <c r="B24" s="8" t="s">
        <v>133</v>
      </c>
      <c r="C24" s="8" t="s">
        <v>222</v>
      </c>
      <c r="D24" s="8" t="s">
        <v>134</v>
      </c>
      <c r="E24" s="36"/>
      <c r="F24" s="36"/>
      <c r="G24" s="22">
        <f t="shared" si="0"/>
        <v>0</v>
      </c>
      <c r="H24" s="36">
        <f>+F24+G24</f>
        <v>0</v>
      </c>
      <c r="I24" s="58">
        <f>H24-SUMIF('2023.05'!$B:$B,B24,'2023.04'!H:H)</f>
        <v>-1311750</v>
      </c>
      <c r="J24" s="199" t="s">
        <v>175</v>
      </c>
      <c r="K24" s="136"/>
    </row>
    <row r="25" spans="1:13" s="98" customFormat="1" ht="24" customHeight="1">
      <c r="A25" s="8">
        <f t="shared" si="2"/>
        <v>22</v>
      </c>
      <c r="B25" s="8" t="s">
        <v>133</v>
      </c>
      <c r="C25" s="8" t="s">
        <v>222</v>
      </c>
      <c r="D25" s="8" t="s">
        <v>36</v>
      </c>
      <c r="E25" s="36"/>
      <c r="F25" s="36"/>
      <c r="G25" s="22">
        <f t="shared" si="0"/>
        <v>0</v>
      </c>
      <c r="H25" s="36">
        <f>+F25+G25</f>
        <v>0</v>
      </c>
      <c r="I25" s="58">
        <f>H25-SUMIF('2023.05'!$B:$B,B25,'2023.04'!H:H)</f>
        <v>-1311750</v>
      </c>
      <c r="J25" s="199" t="s">
        <v>175</v>
      </c>
      <c r="K25" s="136"/>
    </row>
    <row r="26" spans="1:13" s="101" customFormat="1" ht="24" customHeight="1">
      <c r="A26" s="17">
        <f t="shared" si="2"/>
        <v>23</v>
      </c>
      <c r="B26" s="17" t="s">
        <v>91</v>
      </c>
      <c r="C26" s="14" t="s">
        <v>222</v>
      </c>
      <c r="D26" s="17" t="s">
        <v>134</v>
      </c>
      <c r="E26" s="18">
        <v>3890</v>
      </c>
      <c r="F26" s="18">
        <v>1945000</v>
      </c>
      <c r="G26" s="18">
        <f t="shared" si="0"/>
        <v>194500</v>
      </c>
      <c r="H26" s="107">
        <f t="shared" ref="H26" si="3">+F26+G26</f>
        <v>2139500</v>
      </c>
      <c r="I26" s="60">
        <f>H26-SUMIF('2023.05'!$B:$B,B26,'2023.04'!H:H)</f>
        <v>-1141250</v>
      </c>
      <c r="J26" s="194" t="s">
        <v>175</v>
      </c>
      <c r="K26" s="236" t="s">
        <v>258</v>
      </c>
    </row>
    <row r="27" spans="1:13" s="101" customFormat="1" ht="24" customHeight="1">
      <c r="A27" s="11">
        <f t="shared" si="2"/>
        <v>24</v>
      </c>
      <c r="B27" s="11" t="s">
        <v>91</v>
      </c>
      <c r="C27" s="8" t="s">
        <v>222</v>
      </c>
      <c r="D27" s="11" t="s">
        <v>134</v>
      </c>
      <c r="E27" s="22"/>
      <c r="F27" s="22"/>
      <c r="G27" s="22">
        <f t="shared" si="0"/>
        <v>0</v>
      </c>
      <c r="H27" s="132">
        <f t="shared" si="1"/>
        <v>0</v>
      </c>
      <c r="I27" s="58">
        <f>H27-SUMIF('2023.05'!$B:$B,B27,'2023.04'!H:H)</f>
        <v>-3280750</v>
      </c>
      <c r="J27" s="199" t="s">
        <v>175</v>
      </c>
      <c r="K27" s="229"/>
    </row>
    <row r="28" spans="1:13" s="98" customFormat="1" ht="24" customHeight="1">
      <c r="A28" s="17">
        <f t="shared" si="2"/>
        <v>25</v>
      </c>
      <c r="B28" s="17" t="s">
        <v>4</v>
      </c>
      <c r="C28" s="14" t="s">
        <v>222</v>
      </c>
      <c r="D28" s="17" t="s">
        <v>229</v>
      </c>
      <c r="E28" s="124"/>
      <c r="F28" s="18">
        <v>5000000</v>
      </c>
      <c r="G28" s="18">
        <f>F28*0.1</f>
        <v>500000</v>
      </c>
      <c r="H28" s="107">
        <f t="shared" si="1"/>
        <v>5500000</v>
      </c>
      <c r="I28" s="60">
        <f>H28-SUMIF('2023.05'!$B:$B,B28,'2023.04'!H:H)</f>
        <v>0</v>
      </c>
      <c r="J28" s="194" t="s">
        <v>175</v>
      </c>
      <c r="K28" s="195">
        <v>45077</v>
      </c>
    </row>
    <row r="29" spans="1:13" s="98" customFormat="1" ht="24" hidden="1" customHeight="1">
      <c r="A29" s="11"/>
      <c r="B29" s="11"/>
      <c r="C29" s="11"/>
      <c r="D29" s="11"/>
      <c r="E29" s="22"/>
      <c r="F29" s="22"/>
      <c r="G29" s="22"/>
      <c r="H29" s="22"/>
      <c r="I29" s="58">
        <f>H29-SUMIF('2022.04'!$B:$B,B29,'2022.04'!G:G)</f>
        <v>0</v>
      </c>
      <c r="J29" s="199"/>
      <c r="K29" s="131"/>
    </row>
    <row r="30" spans="1:13" s="101" customFormat="1" ht="24" hidden="1" customHeight="1">
      <c r="A30" s="129">
        <f t="shared" si="2"/>
        <v>27</v>
      </c>
      <c r="B30" s="129" t="s">
        <v>37</v>
      </c>
      <c r="C30" s="129" t="s">
        <v>47</v>
      </c>
      <c r="D30" s="129"/>
      <c r="E30" s="130"/>
      <c r="F30" s="130"/>
      <c r="G30" s="130"/>
      <c r="H30" s="130">
        <f>+F30+G30</f>
        <v>0</v>
      </c>
      <c r="I30" s="58">
        <f>H30-SUMIF('2022.04'!$B:$B,B30,'2022.04'!G:G)</f>
        <v>0</v>
      </c>
      <c r="J30" s="199"/>
      <c r="K30" s="138"/>
    </row>
    <row r="31" spans="1:13" s="39" customFormat="1" ht="24" customHeight="1">
      <c r="A31" s="364" t="s">
        <v>18</v>
      </c>
      <c r="B31" s="365"/>
      <c r="C31" s="243"/>
      <c r="D31" s="243"/>
      <c r="E31" s="139">
        <f>SUM(E4:E30)</f>
        <v>1059530</v>
      </c>
      <c r="F31" s="139">
        <f>SUM(F4:F30)</f>
        <v>138717900</v>
      </c>
      <c r="G31" s="139">
        <f>SUM(G4:G30)</f>
        <v>13871790</v>
      </c>
      <c r="H31" s="139">
        <f>SUM(H4:H30)</f>
        <v>152589690</v>
      </c>
      <c r="I31" s="203">
        <f>H31-'2023.04'!I31</f>
        <v>140666185</v>
      </c>
      <c r="J31" s="204"/>
      <c r="K31" s="37"/>
    </row>
    <row r="32" spans="1:13">
      <c r="A32" s="40"/>
      <c r="B32" s="40"/>
      <c r="C32" s="40"/>
      <c r="D32" s="40"/>
      <c r="E32" s="205"/>
      <c r="F32" s="205"/>
      <c r="G32" s="205"/>
      <c r="H32" s="205"/>
      <c r="I32" s="205"/>
      <c r="J32" s="205"/>
      <c r="K32" s="40"/>
    </row>
    <row r="33" spans="1:11">
      <c r="A33" s="40"/>
      <c r="B33" s="206" t="s">
        <v>50</v>
      </c>
      <c r="C33" s="40"/>
      <c r="D33" s="40"/>
      <c r="E33" s="205"/>
      <c r="F33" s="207">
        <f>F31-'2022.10'!E20</f>
        <v>-12252925</v>
      </c>
      <c r="G33" s="207">
        <f>G31-'2022.10'!F20</f>
        <v>-1225292.5</v>
      </c>
      <c r="H33" s="207">
        <f>H31-'2022.10'!G20</f>
        <v>-13478217.5</v>
      </c>
      <c r="I33" s="207"/>
      <c r="J33" s="207"/>
      <c r="K33" s="208"/>
    </row>
    <row r="34" spans="1:11">
      <c r="A34" s="40"/>
      <c r="B34" s="40"/>
      <c r="C34" s="40"/>
      <c r="D34" s="40"/>
      <c r="E34" s="40"/>
      <c r="F34" s="205"/>
      <c r="G34" s="205"/>
      <c r="H34" s="205"/>
      <c r="I34" s="205"/>
      <c r="J34" s="205"/>
      <c r="K34" s="40"/>
    </row>
    <row r="35" spans="1:11">
      <c r="A35" s="181" t="s">
        <v>148</v>
      </c>
      <c r="B35" s="182" t="s">
        <v>149</v>
      </c>
      <c r="C35" s="182" t="s">
        <v>151</v>
      </c>
      <c r="D35" s="182"/>
      <c r="E35" s="187">
        <v>900</v>
      </c>
      <c r="F35" s="197">
        <f>2700000/1.1</f>
        <v>2454545.4545454541</v>
      </c>
      <c r="G35" s="197">
        <f>F35*0.1</f>
        <v>245454.54545454541</v>
      </c>
      <c r="H35" s="184">
        <f>F35+G35</f>
        <v>2699999.9999999995</v>
      </c>
      <c r="I35" s="184">
        <f>H35-'2023.04'!H35</f>
        <v>899999.59999999963</v>
      </c>
      <c r="J35" s="194" t="s">
        <v>175</v>
      </c>
      <c r="K35" s="241">
        <v>0.16129032258064516</v>
      </c>
    </row>
    <row r="36" spans="1:11">
      <c r="A36" s="181" t="s">
        <v>148</v>
      </c>
      <c r="B36" s="182" t="s">
        <v>150</v>
      </c>
      <c r="C36" s="182" t="s">
        <v>151</v>
      </c>
      <c r="D36" s="182"/>
      <c r="E36" s="187">
        <v>600</v>
      </c>
      <c r="F36" s="15">
        <f>1800000/1.1</f>
        <v>1636363.6363636362</v>
      </c>
      <c r="G36" s="185">
        <f>F36*0.1</f>
        <v>163636.36363636365</v>
      </c>
      <c r="H36" s="184">
        <f>F36+G36</f>
        <v>1800000</v>
      </c>
      <c r="I36" s="184">
        <f>H36-'2023.04'!H36</f>
        <v>600000.10000000009</v>
      </c>
      <c r="J36" s="194" t="s">
        <v>175</v>
      </c>
      <c r="K36" s="241">
        <v>0.16129032258064516</v>
      </c>
    </row>
  </sheetData>
  <autoFilter ref="A3:K3"/>
  <mergeCells count="2">
    <mergeCell ref="A1:K1"/>
    <mergeCell ref="A31:B3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6"/>
  <sheetViews>
    <sheetView showGridLines="0" workbookViewId="0">
      <pane xSplit="2" ySplit="3" topLeftCell="C16" activePane="bottomRight" state="frozen"/>
      <selection pane="topRight" activeCell="C1" sqref="C1"/>
      <selection pane="bottomLeft" activeCell="A2" sqref="A2"/>
      <selection pane="bottomRight" activeCell="F40" sqref="F40"/>
    </sheetView>
  </sheetViews>
  <sheetFormatPr defaultColWidth="9" defaultRowHeight="16.5"/>
  <cols>
    <col min="1" max="1" width="7.5" bestFit="1" customWidth="1"/>
    <col min="2" max="2" width="20" customWidth="1"/>
    <col min="3" max="3" width="29.25" bestFit="1" customWidth="1"/>
    <col min="4" max="4" width="15.375" bestFit="1" customWidth="1"/>
    <col min="5" max="5" width="12.375" style="2" bestFit="1" customWidth="1"/>
    <col min="6" max="6" width="14.875" style="2" bestFit="1" customWidth="1"/>
    <col min="7" max="7" width="13.625" style="2" bestFit="1" customWidth="1"/>
    <col min="8" max="8" width="14.875" style="2" bestFit="1" customWidth="1"/>
    <col min="9" max="9" width="14.875" style="2" customWidth="1"/>
    <col min="10" max="10" width="10.75" style="2" customWidth="1"/>
    <col min="11" max="11" width="47.375" customWidth="1"/>
    <col min="12" max="12" width="9.5" style="40" bestFit="1" customWidth="1"/>
    <col min="13" max="13" width="9.25" style="40" bestFit="1" customWidth="1"/>
    <col min="14" max="16384" width="9" style="40"/>
  </cols>
  <sheetData>
    <row r="1" spans="1:11" ht="38.25">
      <c r="A1" s="363" t="s">
        <v>248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</row>
    <row r="2" spans="1:11">
      <c r="K2" s="44" t="s">
        <v>249</v>
      </c>
    </row>
    <row r="3" spans="1:11" s="38" customFormat="1">
      <c r="A3" s="5" t="s">
        <v>12</v>
      </c>
      <c r="B3" s="5" t="s">
        <v>0</v>
      </c>
      <c r="C3" s="5" t="s">
        <v>223</v>
      </c>
      <c r="D3" s="5" t="s">
        <v>231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50</v>
      </c>
      <c r="J3" s="1" t="s">
        <v>179</v>
      </c>
      <c r="K3" s="5" t="s">
        <v>23</v>
      </c>
    </row>
    <row r="4" spans="1:11" s="98" customFormat="1" ht="24" customHeight="1">
      <c r="A4" s="8">
        <f>ROW()-3</f>
        <v>1</v>
      </c>
      <c r="B4" s="8" t="s">
        <v>13</v>
      </c>
      <c r="C4" s="8" t="s">
        <v>242</v>
      </c>
      <c r="D4" s="8"/>
      <c r="E4" s="36"/>
      <c r="F4" s="36"/>
      <c r="G4" s="22">
        <f t="shared" ref="G4:G27" si="0">+F4*0.1</f>
        <v>0</v>
      </c>
      <c r="H4" s="36">
        <f t="shared" ref="H4:H28" si="1">+F4+G4</f>
        <v>0</v>
      </c>
      <c r="I4" s="58">
        <f>H4-SUMIF('2023.04'!$B:$B,B4,'2022.11'!G:G)</f>
        <v>-206800</v>
      </c>
      <c r="J4" s="199" t="s">
        <v>175</v>
      </c>
      <c r="K4" s="200"/>
    </row>
    <row r="5" spans="1:11" s="98" customFormat="1" ht="24" customHeight="1">
      <c r="A5" s="14">
        <f t="shared" ref="A5:A30" si="2">ROW()-3</f>
        <v>2</v>
      </c>
      <c r="B5" s="14" t="s">
        <v>5</v>
      </c>
      <c r="C5" s="14" t="s">
        <v>34</v>
      </c>
      <c r="D5" s="14"/>
      <c r="E5" s="15">
        <v>530330</v>
      </c>
      <c r="F5" s="15">
        <v>47742700</v>
      </c>
      <c r="G5" s="18">
        <f t="shared" si="0"/>
        <v>4774270</v>
      </c>
      <c r="H5" s="15">
        <f t="shared" si="1"/>
        <v>52516970</v>
      </c>
      <c r="I5" s="60">
        <f>H5-SUMIF('2023.04'!$B:$B,B5,'2022.11'!G:G)</f>
        <v>4713005</v>
      </c>
      <c r="J5" s="194" t="s">
        <v>175</v>
      </c>
      <c r="K5" s="252" t="s">
        <v>252</v>
      </c>
    </row>
    <row r="6" spans="1:11" s="98" customFormat="1" ht="24" customHeight="1">
      <c r="A6" s="14">
        <f t="shared" si="2"/>
        <v>3</v>
      </c>
      <c r="B6" s="14" t="s">
        <v>11</v>
      </c>
      <c r="C6" s="14" t="s">
        <v>222</v>
      </c>
      <c r="D6" s="14" t="s">
        <v>28</v>
      </c>
      <c r="E6" s="15"/>
      <c r="F6" s="15">
        <v>42516650</v>
      </c>
      <c r="G6" s="18">
        <f t="shared" si="0"/>
        <v>4251665</v>
      </c>
      <c r="H6" s="15">
        <f t="shared" si="1"/>
        <v>46768315</v>
      </c>
      <c r="I6" s="60">
        <f>H6-SUMIF('2023.04'!$B:$B,B6,'2022.11'!G:G)</f>
        <v>-12009745</v>
      </c>
      <c r="J6" s="194" t="s">
        <v>175</v>
      </c>
      <c r="K6" s="116">
        <v>45046</v>
      </c>
    </row>
    <row r="7" spans="1:11" s="98" customFormat="1" ht="24" customHeight="1">
      <c r="A7" s="14">
        <f t="shared" si="2"/>
        <v>4</v>
      </c>
      <c r="B7" s="17" t="s">
        <v>2</v>
      </c>
      <c r="C7" s="14" t="s">
        <v>222</v>
      </c>
      <c r="D7" s="14" t="s">
        <v>234</v>
      </c>
      <c r="E7" s="15"/>
      <c r="F7" s="15">
        <v>2783100</v>
      </c>
      <c r="G7" s="18">
        <f t="shared" si="0"/>
        <v>278310</v>
      </c>
      <c r="H7" s="15">
        <f t="shared" si="1"/>
        <v>3061410</v>
      </c>
      <c r="I7" s="60">
        <f>H7-SUMIF('2023.04'!$B:$B,B7,'2022.11'!G:G)</f>
        <v>1222100</v>
      </c>
      <c r="J7" s="194" t="s">
        <v>175</v>
      </c>
      <c r="K7" s="116">
        <v>45046</v>
      </c>
    </row>
    <row r="8" spans="1:11" s="98" customFormat="1" ht="24" customHeight="1">
      <c r="A8" s="12">
        <f t="shared" si="2"/>
        <v>5</v>
      </c>
      <c r="B8" s="12" t="s">
        <v>9</v>
      </c>
      <c r="C8" s="12" t="s">
        <v>28</v>
      </c>
      <c r="D8" s="12"/>
      <c r="E8" s="4"/>
      <c r="F8" s="4"/>
      <c r="G8" s="4"/>
      <c r="H8" s="4">
        <f t="shared" si="1"/>
        <v>0</v>
      </c>
      <c r="I8" s="62">
        <f>H8-SUMIF('2023.04'!$B:$B,B8,'2022.11'!G:G)</f>
        <v>0</v>
      </c>
      <c r="J8" s="244"/>
      <c r="K8" s="245"/>
    </row>
    <row r="9" spans="1:11" s="98" customFormat="1" ht="24" customHeight="1">
      <c r="A9" s="14">
        <f t="shared" si="2"/>
        <v>6</v>
      </c>
      <c r="B9" s="14" t="s">
        <v>1</v>
      </c>
      <c r="C9" s="14" t="s">
        <v>222</v>
      </c>
      <c r="D9" s="14" t="s">
        <v>224</v>
      </c>
      <c r="E9" s="212"/>
      <c r="F9" s="15">
        <v>4251500</v>
      </c>
      <c r="G9" s="18">
        <f>F9*0.1</f>
        <v>425150</v>
      </c>
      <c r="H9" s="15">
        <f t="shared" si="1"/>
        <v>4676650</v>
      </c>
      <c r="I9" s="60">
        <f>H9-SUMIF('2023.04'!$B:$B,B9,'2022.11'!G:G)</f>
        <v>4676650</v>
      </c>
      <c r="J9" s="194" t="s">
        <v>175</v>
      </c>
      <c r="K9" s="225">
        <v>45046</v>
      </c>
    </row>
    <row r="10" spans="1:11" s="98" customFormat="1" ht="24" customHeight="1">
      <c r="A10" s="8">
        <f t="shared" si="2"/>
        <v>7</v>
      </c>
      <c r="B10" s="220" t="s">
        <v>197</v>
      </c>
      <c r="C10" s="220" t="s">
        <v>104</v>
      </c>
      <c r="D10" s="220"/>
      <c r="E10" s="221"/>
      <c r="F10" s="222">
        <v>1457550</v>
      </c>
      <c r="G10" s="222">
        <f>F10*0.1</f>
        <v>145755</v>
      </c>
      <c r="H10" s="222">
        <f t="shared" si="1"/>
        <v>1603305</v>
      </c>
      <c r="I10" s="223"/>
      <c r="J10" s="199"/>
      <c r="K10" s="227">
        <v>45046</v>
      </c>
    </row>
    <row r="11" spans="1:11" s="98" customFormat="1" ht="24" customHeight="1">
      <c r="A11" s="14">
        <f t="shared" si="2"/>
        <v>8</v>
      </c>
      <c r="B11" s="14" t="s">
        <v>69</v>
      </c>
      <c r="C11" s="14" t="s">
        <v>46</v>
      </c>
      <c r="D11" s="14"/>
      <c r="E11" s="15">
        <v>16305</v>
      </c>
      <c r="F11" s="15">
        <v>23642250</v>
      </c>
      <c r="G11" s="18">
        <f t="shared" si="0"/>
        <v>2364225</v>
      </c>
      <c r="H11" s="15">
        <f>+F11+G11</f>
        <v>26006475</v>
      </c>
      <c r="I11" s="60">
        <f>H11-SUMIF('2023.04'!$B:$B,B11,'2022.11'!G:G)</f>
        <v>25167175</v>
      </c>
      <c r="J11" s="194" t="s">
        <v>175</v>
      </c>
      <c r="K11" s="116">
        <v>45046</v>
      </c>
    </row>
    <row r="12" spans="1:11" s="98" customFormat="1" ht="24" customHeight="1">
      <c r="A12" s="14">
        <f t="shared" si="2"/>
        <v>9</v>
      </c>
      <c r="B12" s="14" t="s">
        <v>7</v>
      </c>
      <c r="C12" s="14" t="s">
        <v>222</v>
      </c>
      <c r="D12" s="14" t="s">
        <v>225</v>
      </c>
      <c r="E12" s="15">
        <v>5165</v>
      </c>
      <c r="F12" s="15">
        <v>723100</v>
      </c>
      <c r="G12" s="18">
        <f t="shared" si="0"/>
        <v>72310</v>
      </c>
      <c r="H12" s="15">
        <f t="shared" si="1"/>
        <v>795410</v>
      </c>
      <c r="I12" s="60">
        <f>H12-SUMIF('2023.04'!$B:$B,B12,'2022.11'!G:G)</f>
        <v>334510</v>
      </c>
      <c r="J12" s="193" t="s">
        <v>175</v>
      </c>
      <c r="K12" s="116">
        <v>45045</v>
      </c>
    </row>
    <row r="13" spans="1:11" s="98" customFormat="1" ht="24" customHeight="1">
      <c r="A13" s="14">
        <f t="shared" si="2"/>
        <v>10</v>
      </c>
      <c r="B13" s="14" t="s">
        <v>201</v>
      </c>
      <c r="C13" s="14" t="s">
        <v>222</v>
      </c>
      <c r="D13" s="219" t="s">
        <v>92</v>
      </c>
      <c r="E13" s="15"/>
      <c r="F13" s="15">
        <v>1585700</v>
      </c>
      <c r="G13" s="18">
        <f t="shared" si="0"/>
        <v>158570</v>
      </c>
      <c r="H13" s="15">
        <f t="shared" si="1"/>
        <v>1744270</v>
      </c>
      <c r="I13" s="60">
        <f>H13-SUMIF('2023.04'!$B:$B,B13,'2022.11'!G:G)</f>
        <v>-15913260</v>
      </c>
      <c r="J13" s="194" t="s">
        <v>175</v>
      </c>
      <c r="K13" s="116">
        <v>45026</v>
      </c>
    </row>
    <row r="14" spans="1:11" s="98" customFormat="1" ht="24" customHeight="1">
      <c r="A14" s="14">
        <f t="shared" si="2"/>
        <v>11</v>
      </c>
      <c r="B14" s="14" t="s">
        <v>201</v>
      </c>
      <c r="C14" s="14" t="s">
        <v>222</v>
      </c>
      <c r="D14" s="219" t="s">
        <v>92</v>
      </c>
      <c r="E14" s="15"/>
      <c r="F14" s="15">
        <v>375300</v>
      </c>
      <c r="G14" s="18">
        <f t="shared" si="0"/>
        <v>37530</v>
      </c>
      <c r="H14" s="15">
        <f t="shared" si="1"/>
        <v>412830</v>
      </c>
      <c r="I14" s="60">
        <f>H14-SUMIF('2023.04'!$B:$B,B14,'2022.11'!G:G)</f>
        <v>-17244700</v>
      </c>
      <c r="J14" s="194" t="s">
        <v>175</v>
      </c>
      <c r="K14" s="116">
        <v>45030</v>
      </c>
    </row>
    <row r="15" spans="1:11" s="98" customFormat="1" ht="24" customHeight="1">
      <c r="A15" s="14">
        <f t="shared" si="2"/>
        <v>12</v>
      </c>
      <c r="B15" s="14" t="s">
        <v>201</v>
      </c>
      <c r="C15" s="14" t="s">
        <v>222</v>
      </c>
      <c r="D15" s="219" t="s">
        <v>92</v>
      </c>
      <c r="E15" s="15"/>
      <c r="F15" s="15">
        <v>6158600</v>
      </c>
      <c r="G15" s="18">
        <f>+F15*0.1</f>
        <v>615860</v>
      </c>
      <c r="H15" s="15">
        <f>+F15+G15</f>
        <v>6774460</v>
      </c>
      <c r="I15" s="60">
        <f>H15-SUMIF('2023.04'!$B:$B,B15,'2022.11'!G:G)</f>
        <v>-10883070</v>
      </c>
      <c r="J15" s="194" t="s">
        <v>175</v>
      </c>
      <c r="K15" s="116">
        <v>45044</v>
      </c>
    </row>
    <row r="16" spans="1:11" s="98" customFormat="1" ht="24" customHeight="1">
      <c r="A16" s="14">
        <f t="shared" si="2"/>
        <v>13</v>
      </c>
      <c r="B16" s="14" t="s">
        <v>201</v>
      </c>
      <c r="C16" s="14" t="s">
        <v>125</v>
      </c>
      <c r="D16" s="14"/>
      <c r="E16" s="15">
        <v>1275</v>
      </c>
      <c r="F16" s="15">
        <v>2231250</v>
      </c>
      <c r="G16" s="18">
        <f>+F16*0.1</f>
        <v>223125</v>
      </c>
      <c r="H16" s="15">
        <f>+F16+G16</f>
        <v>2454375</v>
      </c>
      <c r="I16" s="60">
        <f>H16-SUMIF('2023.04'!$B:$B,B16,'2022.11'!G:G)</f>
        <v>-15203155</v>
      </c>
      <c r="J16" s="194" t="s">
        <v>175</v>
      </c>
      <c r="K16" s="116">
        <v>45024</v>
      </c>
    </row>
    <row r="17" spans="1:13" s="98" customFormat="1" ht="24" customHeight="1">
      <c r="A17" s="14">
        <f t="shared" si="2"/>
        <v>14</v>
      </c>
      <c r="B17" s="14" t="s">
        <v>201</v>
      </c>
      <c r="C17" s="14" t="s">
        <v>125</v>
      </c>
      <c r="D17" s="14"/>
      <c r="E17" s="15">
        <v>3836</v>
      </c>
      <c r="F17" s="15">
        <v>6521200</v>
      </c>
      <c r="G17" s="18">
        <f>+F17*0.1</f>
        <v>652120</v>
      </c>
      <c r="H17" s="15">
        <f>+F17+G17</f>
        <v>7173320</v>
      </c>
      <c r="I17" s="60">
        <f>H17-SUMIF('2023.04'!$B:$B,B17,'2022.11'!G:G)</f>
        <v>-10484210</v>
      </c>
      <c r="J17" s="194" t="s">
        <v>175</v>
      </c>
      <c r="K17" s="116">
        <v>45044</v>
      </c>
    </row>
    <row r="18" spans="1:13" s="98" customFormat="1" ht="24" customHeight="1">
      <c r="A18" s="8">
        <f t="shared" si="2"/>
        <v>15</v>
      </c>
      <c r="B18" s="8" t="s">
        <v>201</v>
      </c>
      <c r="C18" s="8" t="s">
        <v>204</v>
      </c>
      <c r="D18" s="8"/>
      <c r="E18" s="36"/>
      <c r="F18" s="36"/>
      <c r="G18" s="22">
        <f>+F18*0.1</f>
        <v>0</v>
      </c>
      <c r="H18" s="36">
        <f>+F18+G18</f>
        <v>0</v>
      </c>
      <c r="I18" s="58">
        <f>H18-SUMIF('2023.04'!$B:$B,B18,'2022.11'!G:G)</f>
        <v>-17657530</v>
      </c>
      <c r="J18" s="199" t="s">
        <v>175</v>
      </c>
      <c r="K18" s="136"/>
    </row>
    <row r="19" spans="1:13" s="98" customFormat="1" ht="24" customHeight="1">
      <c r="A19" s="17">
        <f t="shared" si="2"/>
        <v>16</v>
      </c>
      <c r="B19" s="17" t="s">
        <v>75</v>
      </c>
      <c r="C19" s="17" t="s">
        <v>57</v>
      </c>
      <c r="D19" s="17"/>
      <c r="E19" s="107">
        <v>4690</v>
      </c>
      <c r="F19" s="107">
        <v>1500800</v>
      </c>
      <c r="G19" s="18">
        <f t="shared" si="0"/>
        <v>150080</v>
      </c>
      <c r="H19" s="107">
        <f t="shared" si="1"/>
        <v>1650880</v>
      </c>
      <c r="I19" s="60">
        <f>H19-SUMIF('2023.04'!$B:$B,B19,'2022.11'!G:G)</f>
        <v>-152156785</v>
      </c>
      <c r="J19" s="194" t="s">
        <v>183</v>
      </c>
      <c r="K19" s="171">
        <v>45026</v>
      </c>
      <c r="L19" s="102"/>
      <c r="M19" s="100"/>
    </row>
    <row r="20" spans="1:13" s="98" customFormat="1" ht="24" customHeight="1">
      <c r="A20" s="11">
        <f t="shared" si="2"/>
        <v>17</v>
      </c>
      <c r="B20" s="11" t="s">
        <v>75</v>
      </c>
      <c r="C20" s="11" t="s">
        <v>57</v>
      </c>
      <c r="D20" s="11"/>
      <c r="E20" s="132"/>
      <c r="F20" s="132"/>
      <c r="G20" s="22">
        <f t="shared" si="0"/>
        <v>0</v>
      </c>
      <c r="H20" s="132">
        <f t="shared" si="1"/>
        <v>0</v>
      </c>
      <c r="I20" s="58">
        <f>H20-SUMIF('2023.04'!$B:$B,B20,'2022.11'!G:G)</f>
        <v>-153807665</v>
      </c>
      <c r="J20" s="240" t="s">
        <v>183</v>
      </c>
      <c r="K20" s="201"/>
      <c r="L20" s="102"/>
      <c r="M20" s="100"/>
    </row>
    <row r="21" spans="1:13" s="98" customFormat="1" ht="24" customHeight="1">
      <c r="A21" s="14">
        <f t="shared" si="2"/>
        <v>18</v>
      </c>
      <c r="B21" s="14" t="s">
        <v>133</v>
      </c>
      <c r="C21" s="14" t="s">
        <v>222</v>
      </c>
      <c r="D21" s="14" t="s">
        <v>134</v>
      </c>
      <c r="E21" s="15">
        <v>1185</v>
      </c>
      <c r="F21" s="15">
        <v>592500</v>
      </c>
      <c r="G21" s="18">
        <f t="shared" si="0"/>
        <v>59250</v>
      </c>
      <c r="H21" s="15">
        <f>+F21+G21</f>
        <v>651750</v>
      </c>
      <c r="I21" s="60">
        <f>H21-SUMIF('2023.04'!$B:$B,B21,'2022.11'!G:G)</f>
        <v>5411992.5000000009</v>
      </c>
      <c r="J21" s="194" t="s">
        <v>175</v>
      </c>
      <c r="K21" s="116">
        <v>45017</v>
      </c>
    </row>
    <row r="22" spans="1:13" s="98" customFormat="1" ht="24" customHeight="1">
      <c r="A22" s="14">
        <f t="shared" si="2"/>
        <v>19</v>
      </c>
      <c r="B22" s="14" t="s">
        <v>133</v>
      </c>
      <c r="C22" s="14" t="s">
        <v>222</v>
      </c>
      <c r="D22" s="14" t="s">
        <v>134</v>
      </c>
      <c r="E22" s="15">
        <v>1200</v>
      </c>
      <c r="F22" s="15">
        <v>600000</v>
      </c>
      <c r="G22" s="18">
        <f t="shared" si="0"/>
        <v>60000</v>
      </c>
      <c r="H22" s="15">
        <f>+F22+G22</f>
        <v>660000</v>
      </c>
      <c r="I22" s="60">
        <f>H22-SUMIF('2023.04'!$B:$B,B22,'2022.11'!G:G)</f>
        <v>5420242.5000000009</v>
      </c>
      <c r="J22" s="194" t="s">
        <v>175</v>
      </c>
      <c r="K22" s="116">
        <v>45030</v>
      </c>
    </row>
    <row r="23" spans="1:13" s="98" customFormat="1" ht="24" hidden="1" customHeight="1">
      <c r="A23" s="8">
        <f t="shared" si="2"/>
        <v>20</v>
      </c>
      <c r="B23" s="8" t="s">
        <v>133</v>
      </c>
      <c r="C23" s="8" t="s">
        <v>222</v>
      </c>
      <c r="D23" s="8" t="s">
        <v>134</v>
      </c>
      <c r="E23" s="36"/>
      <c r="F23" s="36"/>
      <c r="G23" s="22">
        <f t="shared" si="0"/>
        <v>0</v>
      </c>
      <c r="H23" s="36">
        <f>+F23+G23</f>
        <v>0</v>
      </c>
      <c r="I23" s="58">
        <f>H23-SUMIF('2023.04'!$B:$B,B23,'2022.11'!G:G)</f>
        <v>4760242.5000000009</v>
      </c>
      <c r="J23" s="199" t="s">
        <v>175</v>
      </c>
      <c r="K23" s="136"/>
    </row>
    <row r="24" spans="1:13" s="98" customFormat="1" ht="24" hidden="1" customHeight="1">
      <c r="A24" s="8">
        <f t="shared" si="2"/>
        <v>21</v>
      </c>
      <c r="B24" s="8" t="s">
        <v>133</v>
      </c>
      <c r="C24" s="8" t="s">
        <v>222</v>
      </c>
      <c r="D24" s="8" t="s">
        <v>134</v>
      </c>
      <c r="E24" s="36"/>
      <c r="F24" s="36"/>
      <c r="G24" s="22">
        <f t="shared" si="0"/>
        <v>0</v>
      </c>
      <c r="H24" s="36">
        <f>+F24+G24</f>
        <v>0</v>
      </c>
      <c r="I24" s="58">
        <f>H24-SUMIF('2023.04'!$B:$B,B24,'2022.11'!G:G)</f>
        <v>4760242.5000000009</v>
      </c>
      <c r="J24" s="199" t="s">
        <v>175</v>
      </c>
      <c r="K24" s="136"/>
    </row>
    <row r="25" spans="1:13" s="98" customFormat="1" ht="24" hidden="1" customHeight="1">
      <c r="A25" s="8">
        <f t="shared" si="2"/>
        <v>22</v>
      </c>
      <c r="B25" s="8" t="s">
        <v>133</v>
      </c>
      <c r="C25" s="8" t="s">
        <v>222</v>
      </c>
      <c r="D25" s="8" t="s">
        <v>36</v>
      </c>
      <c r="E25" s="36"/>
      <c r="F25" s="36"/>
      <c r="G25" s="22">
        <f t="shared" si="0"/>
        <v>0</v>
      </c>
      <c r="H25" s="36">
        <f>+F25+G25</f>
        <v>0</v>
      </c>
      <c r="I25" s="58">
        <f>H25-SUMIF('2023.04'!$B:$B,B25,'2022.11'!G:G)</f>
        <v>4760242.5000000009</v>
      </c>
      <c r="J25" s="199" t="s">
        <v>175</v>
      </c>
      <c r="K25" s="136"/>
    </row>
    <row r="26" spans="1:13" s="101" customFormat="1" ht="24" customHeight="1">
      <c r="A26" s="264">
        <f t="shared" si="2"/>
        <v>23</v>
      </c>
      <c r="B26" s="264" t="s">
        <v>91</v>
      </c>
      <c r="C26" s="265" t="s">
        <v>222</v>
      </c>
      <c r="D26" s="264" t="s">
        <v>134</v>
      </c>
      <c r="E26" s="266">
        <v>2260</v>
      </c>
      <c r="F26" s="266">
        <v>1130000</v>
      </c>
      <c r="G26" s="266">
        <f t="shared" si="0"/>
        <v>113000</v>
      </c>
      <c r="H26" s="267">
        <f t="shared" ref="H26" si="3">+F26+G26</f>
        <v>1243000</v>
      </c>
      <c r="I26" s="268">
        <f>H26-SUMIF('2023.04'!$B:$B,B26,'2022.11'!G:G)</f>
        <v>1243000</v>
      </c>
      <c r="J26" s="269" t="s">
        <v>175</v>
      </c>
      <c r="K26" s="270" t="s">
        <v>259</v>
      </c>
    </row>
    <row r="27" spans="1:13" s="101" customFormat="1" ht="24" customHeight="1">
      <c r="A27" s="264">
        <f t="shared" si="2"/>
        <v>24</v>
      </c>
      <c r="B27" s="264" t="s">
        <v>91</v>
      </c>
      <c r="C27" s="265" t="s">
        <v>222</v>
      </c>
      <c r="D27" s="264" t="s">
        <v>134</v>
      </c>
      <c r="E27" s="266">
        <v>3705</v>
      </c>
      <c r="F27" s="266">
        <v>1852500</v>
      </c>
      <c r="G27" s="266">
        <f t="shared" si="0"/>
        <v>185250</v>
      </c>
      <c r="H27" s="267">
        <f t="shared" si="1"/>
        <v>2037750</v>
      </c>
      <c r="I27" s="268">
        <f>H27-SUMIF('2023.04'!$B:$B,B27,'2022.11'!G:G)</f>
        <v>2037750</v>
      </c>
      <c r="J27" s="269" t="s">
        <v>175</v>
      </c>
      <c r="K27" s="271" t="s">
        <v>260</v>
      </c>
    </row>
    <row r="28" spans="1:13" s="98" customFormat="1" ht="24" customHeight="1">
      <c r="A28" s="17">
        <f t="shared" si="2"/>
        <v>25</v>
      </c>
      <c r="B28" s="17" t="s">
        <v>4</v>
      </c>
      <c r="C28" s="14" t="s">
        <v>222</v>
      </c>
      <c r="D28" s="17" t="s">
        <v>229</v>
      </c>
      <c r="E28" s="124"/>
      <c r="F28" s="18">
        <v>5000000</v>
      </c>
      <c r="G28" s="18">
        <f>F28*0.1</f>
        <v>500000</v>
      </c>
      <c r="H28" s="107">
        <f t="shared" si="1"/>
        <v>5500000</v>
      </c>
      <c r="I28" s="60">
        <f>H28-SUMIF('2023.04'!$B:$B,B28,'2022.11'!G:G)</f>
        <v>5500000</v>
      </c>
      <c r="J28" s="194" t="s">
        <v>175</v>
      </c>
      <c r="K28" s="195">
        <v>45045</v>
      </c>
    </row>
    <row r="29" spans="1:13" s="98" customFormat="1" ht="24" hidden="1" customHeight="1">
      <c r="A29" s="11"/>
      <c r="B29" s="11"/>
      <c r="C29" s="11"/>
      <c r="D29" s="11"/>
      <c r="E29" s="22"/>
      <c r="F29" s="22"/>
      <c r="G29" s="22"/>
      <c r="H29" s="22"/>
      <c r="I29" s="58">
        <f>H29-SUMIF('2022.04'!$B:$B,B29,'2022.04'!G:G)</f>
        <v>0</v>
      </c>
      <c r="J29" s="199"/>
      <c r="K29" s="131"/>
    </row>
    <row r="30" spans="1:13" s="101" customFormat="1" ht="24" hidden="1" customHeight="1">
      <c r="A30" s="129">
        <f t="shared" si="2"/>
        <v>27</v>
      </c>
      <c r="B30" s="129" t="s">
        <v>37</v>
      </c>
      <c r="C30" s="129" t="s">
        <v>47</v>
      </c>
      <c r="D30" s="129"/>
      <c r="E30" s="130"/>
      <c r="F30" s="130"/>
      <c r="G30" s="130"/>
      <c r="H30" s="130">
        <f>+F30+G30</f>
        <v>0</v>
      </c>
      <c r="I30" s="58">
        <f>H30-SUMIF('2022.04'!$B:$B,B30,'2022.04'!G:G)</f>
        <v>0</v>
      </c>
      <c r="J30" s="199"/>
      <c r="K30" s="138"/>
    </row>
    <row r="31" spans="1:13" s="39" customFormat="1" ht="24" customHeight="1">
      <c r="A31" s="364" t="s">
        <v>18</v>
      </c>
      <c r="B31" s="365"/>
      <c r="C31" s="239"/>
      <c r="D31" s="239"/>
      <c r="E31" s="139">
        <f>SUM(E4:E30)</f>
        <v>569951</v>
      </c>
      <c r="F31" s="139">
        <f>SUM(F4:F30)</f>
        <v>150664700</v>
      </c>
      <c r="G31" s="139">
        <f>SUM(G4:G30)</f>
        <v>15066470</v>
      </c>
      <c r="H31" s="139">
        <f>SUM(H4:H30)</f>
        <v>165731170</v>
      </c>
      <c r="I31" s="203">
        <f>H31-'2022.11'!G20</f>
        <v>11923505</v>
      </c>
      <c r="J31" s="204"/>
      <c r="K31" s="37"/>
    </row>
    <row r="32" spans="1:13">
      <c r="A32" s="40"/>
      <c r="B32" s="40"/>
      <c r="C32" s="40"/>
      <c r="D32" s="40"/>
      <c r="E32" s="205"/>
      <c r="F32" s="205"/>
      <c r="G32" s="205"/>
      <c r="H32" s="205"/>
      <c r="I32" s="205"/>
      <c r="J32" s="205"/>
      <c r="K32" s="40"/>
    </row>
    <row r="33" spans="1:11">
      <c r="A33" s="40"/>
      <c r="B33" s="206" t="s">
        <v>50</v>
      </c>
      <c r="C33" s="40"/>
      <c r="D33" s="40"/>
      <c r="E33" s="205"/>
      <c r="F33" s="207">
        <f>F31-'2022.10'!E20</f>
        <v>-306125</v>
      </c>
      <c r="G33" s="207">
        <f>G31-'2022.10'!F20</f>
        <v>-30612.5</v>
      </c>
      <c r="H33" s="207">
        <f>H31-'2022.10'!G20</f>
        <v>-336737.5</v>
      </c>
      <c r="I33" s="207"/>
      <c r="J33" s="207"/>
      <c r="K33" s="208"/>
    </row>
    <row r="34" spans="1:11">
      <c r="A34" s="40"/>
      <c r="B34" s="40"/>
      <c r="C34" s="40"/>
      <c r="D34" s="40"/>
      <c r="E34" s="40"/>
      <c r="F34" s="205"/>
      <c r="G34" s="205"/>
      <c r="H34" s="205"/>
      <c r="I34" s="205"/>
      <c r="J34" s="205"/>
      <c r="K34" s="40"/>
    </row>
    <row r="35" spans="1:11">
      <c r="A35" s="181" t="s">
        <v>148</v>
      </c>
      <c r="B35" s="182" t="s">
        <v>149</v>
      </c>
      <c r="C35" s="182" t="s">
        <v>151</v>
      </c>
      <c r="D35" s="182"/>
      <c r="E35" s="187">
        <v>600</v>
      </c>
      <c r="F35" s="197">
        <v>1636364</v>
      </c>
      <c r="G35" s="197">
        <f>F35*0.1</f>
        <v>163636.40000000002</v>
      </c>
      <c r="H35" s="184">
        <f>F35+G35</f>
        <v>1800000.4</v>
      </c>
      <c r="I35" s="184">
        <f>H35-'2022.11'!G24</f>
        <v>-2699999.5999999992</v>
      </c>
      <c r="J35" s="194" t="s">
        <v>175</v>
      </c>
      <c r="K35" s="116">
        <v>45046</v>
      </c>
    </row>
    <row r="36" spans="1:11">
      <c r="A36" s="181" t="s">
        <v>148</v>
      </c>
      <c r="B36" s="182" t="s">
        <v>150</v>
      </c>
      <c r="C36" s="182" t="s">
        <v>151</v>
      </c>
      <c r="D36" s="182"/>
      <c r="E36" s="187">
        <v>400</v>
      </c>
      <c r="F36" s="15">
        <v>1090909</v>
      </c>
      <c r="G36" s="246">
        <f>F36*0.1</f>
        <v>109090.90000000001</v>
      </c>
      <c r="H36" s="184">
        <f>F36+G36</f>
        <v>1199999.8999999999</v>
      </c>
      <c r="I36" s="184">
        <f>H36-'2022.11'!G25</f>
        <v>-1800000.1</v>
      </c>
      <c r="J36" s="194" t="s">
        <v>175</v>
      </c>
      <c r="K36" s="116">
        <v>45046</v>
      </c>
    </row>
  </sheetData>
  <autoFilter ref="A3:K3"/>
  <mergeCells count="2">
    <mergeCell ref="A1:K1"/>
    <mergeCell ref="A31:B3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6"/>
  <sheetViews>
    <sheetView showGridLines="0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G41" sqref="G41"/>
    </sheetView>
  </sheetViews>
  <sheetFormatPr defaultColWidth="9" defaultRowHeight="16.5"/>
  <cols>
    <col min="1" max="1" width="7.5" bestFit="1" customWidth="1"/>
    <col min="2" max="2" width="20" customWidth="1"/>
    <col min="3" max="3" width="29.25" bestFit="1" customWidth="1"/>
    <col min="4" max="4" width="15.375" bestFit="1" customWidth="1"/>
    <col min="5" max="5" width="12.375" style="2" bestFit="1" customWidth="1"/>
    <col min="6" max="6" width="14.875" style="2" bestFit="1" customWidth="1"/>
    <col min="7" max="7" width="13.625" style="2" bestFit="1" customWidth="1"/>
    <col min="8" max="8" width="14.875" style="2" bestFit="1" customWidth="1"/>
    <col min="9" max="9" width="14.875" style="2" customWidth="1"/>
    <col min="10" max="10" width="10.75" style="2" customWidth="1"/>
    <col min="11" max="11" width="47.375" customWidth="1"/>
    <col min="12" max="12" width="9.5" style="40" bestFit="1" customWidth="1"/>
    <col min="13" max="13" width="9.25" style="40" bestFit="1" customWidth="1"/>
    <col min="14" max="16384" width="9" style="40"/>
  </cols>
  <sheetData>
    <row r="1" spans="1:11" ht="38.25">
      <c r="A1" s="363" t="s">
        <v>235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</row>
    <row r="2" spans="1:11">
      <c r="K2" s="44" t="s">
        <v>246</v>
      </c>
    </row>
    <row r="3" spans="1:11" s="38" customFormat="1">
      <c r="A3" s="5" t="s">
        <v>12</v>
      </c>
      <c r="B3" s="5" t="s">
        <v>0</v>
      </c>
      <c r="C3" s="5" t="s">
        <v>223</v>
      </c>
      <c r="D3" s="5" t="s">
        <v>231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50</v>
      </c>
      <c r="J3" s="1" t="s">
        <v>179</v>
      </c>
      <c r="K3" s="5" t="s">
        <v>23</v>
      </c>
    </row>
    <row r="4" spans="1:11" s="98" customFormat="1" ht="24" customHeight="1">
      <c r="A4" s="14">
        <f>ROW()-3</f>
        <v>1</v>
      </c>
      <c r="B4" s="14" t="s">
        <v>13</v>
      </c>
      <c r="C4" s="14" t="s">
        <v>242</v>
      </c>
      <c r="D4" s="14"/>
      <c r="E4" s="15">
        <v>455</v>
      </c>
      <c r="F4" s="15">
        <f>E4*200</f>
        <v>91000</v>
      </c>
      <c r="G4" s="18">
        <f t="shared" ref="G4:G27" si="0">+F4*0.1</f>
        <v>9100</v>
      </c>
      <c r="H4" s="15">
        <f t="shared" ref="H4:H28" si="1">+F4+G4</f>
        <v>100100</v>
      </c>
      <c r="I4" s="60">
        <f>H4-SUMIF('2023.03'!$B:$B,B4,'2022.11'!G:G)</f>
        <v>-106700</v>
      </c>
      <c r="J4" s="194" t="s">
        <v>175</v>
      </c>
      <c r="K4" s="172">
        <v>44992</v>
      </c>
    </row>
    <row r="5" spans="1:11" s="98" customFormat="1" ht="24" customHeight="1">
      <c r="A5" s="14">
        <f t="shared" ref="A5:A30" si="2">ROW()-3</f>
        <v>2</v>
      </c>
      <c r="B5" s="14" t="s">
        <v>5</v>
      </c>
      <c r="C5" s="14" t="s">
        <v>34</v>
      </c>
      <c r="D5" s="14"/>
      <c r="E5" s="15">
        <v>568970</v>
      </c>
      <c r="F5" s="15">
        <v>51216300</v>
      </c>
      <c r="G5" s="18">
        <f t="shared" si="0"/>
        <v>5121630</v>
      </c>
      <c r="H5" s="15">
        <f t="shared" si="1"/>
        <v>56337930</v>
      </c>
      <c r="I5" s="60">
        <f>H5-SUMIF('2023.03'!$B:$B,B5,'2022.11'!G:G)</f>
        <v>8533965</v>
      </c>
      <c r="J5" s="194" t="s">
        <v>175</v>
      </c>
      <c r="K5" s="16" t="s">
        <v>247</v>
      </c>
    </row>
    <row r="6" spans="1:11" s="98" customFormat="1" ht="24" customHeight="1">
      <c r="A6" s="14">
        <f t="shared" si="2"/>
        <v>3</v>
      </c>
      <c r="B6" s="14" t="s">
        <v>11</v>
      </c>
      <c r="C6" s="14" t="s">
        <v>222</v>
      </c>
      <c r="D6" s="14" t="s">
        <v>107</v>
      </c>
      <c r="E6" s="15"/>
      <c r="F6" s="15">
        <v>45837175</v>
      </c>
      <c r="G6" s="18">
        <f t="shared" si="0"/>
        <v>4583717.5</v>
      </c>
      <c r="H6" s="15">
        <f t="shared" si="1"/>
        <v>50420892.5</v>
      </c>
      <c r="I6" s="60">
        <f>H6-SUMIF('2023.03'!$B:$B,B6,'2022.11'!G:G)</f>
        <v>-8357167.5</v>
      </c>
      <c r="J6" s="194" t="s">
        <v>175</v>
      </c>
      <c r="K6" s="116">
        <v>45016</v>
      </c>
    </row>
    <row r="7" spans="1:11" s="98" customFormat="1" ht="24" customHeight="1">
      <c r="A7" s="14">
        <f t="shared" si="2"/>
        <v>4</v>
      </c>
      <c r="B7" s="17" t="s">
        <v>2</v>
      </c>
      <c r="C7" s="14" t="s">
        <v>222</v>
      </c>
      <c r="D7" s="14" t="s">
        <v>234</v>
      </c>
      <c r="E7" s="15"/>
      <c r="F7" s="15">
        <v>2865250</v>
      </c>
      <c r="G7" s="18">
        <f t="shared" si="0"/>
        <v>286525</v>
      </c>
      <c r="H7" s="15">
        <f t="shared" si="1"/>
        <v>3151775</v>
      </c>
      <c r="I7" s="60">
        <f>H7-SUMIF('2023.03'!$B:$B,B7,'2022.11'!G:G)</f>
        <v>1312465</v>
      </c>
      <c r="J7" s="194" t="s">
        <v>175</v>
      </c>
      <c r="K7" s="116">
        <v>45016</v>
      </c>
    </row>
    <row r="8" spans="1:11" s="98" customFormat="1" ht="24" customHeight="1">
      <c r="A8" s="8">
        <f t="shared" si="2"/>
        <v>5</v>
      </c>
      <c r="B8" s="11" t="s">
        <v>9</v>
      </c>
      <c r="C8" s="11" t="s">
        <v>28</v>
      </c>
      <c r="D8" s="11"/>
      <c r="E8" s="132"/>
      <c r="F8" s="36"/>
      <c r="G8" s="22"/>
      <c r="H8" s="36">
        <f t="shared" si="1"/>
        <v>0</v>
      </c>
      <c r="I8" s="58">
        <f>H8-SUMIF('2023.03'!$B:$B,B8,'2022.11'!G:G)</f>
        <v>0</v>
      </c>
      <c r="J8" s="199"/>
      <c r="K8" s="37"/>
    </row>
    <row r="9" spans="1:11" s="98" customFormat="1" ht="24" customHeight="1">
      <c r="A9" s="14">
        <f t="shared" si="2"/>
        <v>6</v>
      </c>
      <c r="B9" s="14" t="s">
        <v>1</v>
      </c>
      <c r="C9" s="14" t="s">
        <v>222</v>
      </c>
      <c r="D9" s="14" t="s">
        <v>224</v>
      </c>
      <c r="E9" s="212">
        <v>2034</v>
      </c>
      <c r="F9" s="15">
        <v>4474800</v>
      </c>
      <c r="G9" s="18">
        <f>F9*0.1</f>
        <v>447480</v>
      </c>
      <c r="H9" s="15">
        <f t="shared" si="1"/>
        <v>4922280</v>
      </c>
      <c r="I9" s="60">
        <f>H9-SUMIF('2023.03'!$B:$B,B9,'2022.11'!G:G)</f>
        <v>4922280</v>
      </c>
      <c r="J9" s="194" t="s">
        <v>175</v>
      </c>
      <c r="K9" s="225">
        <v>45016</v>
      </c>
    </row>
    <row r="10" spans="1:11" s="98" customFormat="1" ht="24" customHeight="1">
      <c r="A10" s="8">
        <f t="shared" si="2"/>
        <v>7</v>
      </c>
      <c r="B10" s="220" t="s">
        <v>197</v>
      </c>
      <c r="C10" s="220" t="s">
        <v>104</v>
      </c>
      <c r="D10" s="220"/>
      <c r="E10" s="221">
        <v>50035</v>
      </c>
      <c r="F10" s="222">
        <v>1501050</v>
      </c>
      <c r="G10" s="222">
        <f>F10*0.1</f>
        <v>150105</v>
      </c>
      <c r="H10" s="222">
        <f t="shared" si="1"/>
        <v>1651155</v>
      </c>
      <c r="I10" s="223"/>
      <c r="J10" s="199"/>
      <c r="K10" s="242">
        <v>45016</v>
      </c>
    </row>
    <row r="11" spans="1:11" s="98" customFormat="1" ht="24" customHeight="1">
      <c r="A11" s="14">
        <f t="shared" si="2"/>
        <v>8</v>
      </c>
      <c r="B11" s="14" t="s">
        <v>69</v>
      </c>
      <c r="C11" s="14" t="s">
        <v>46</v>
      </c>
      <c r="D11" s="14"/>
      <c r="E11" s="15">
        <v>16325</v>
      </c>
      <c r="F11" s="15">
        <v>24487500</v>
      </c>
      <c r="G11" s="18">
        <f t="shared" si="0"/>
        <v>2448750</v>
      </c>
      <c r="H11" s="15">
        <f>+F11+G11</f>
        <v>26936250</v>
      </c>
      <c r="I11" s="60">
        <f>H11-SUMIF('2023.03'!$B:$B,B11,'2022.11'!G:G)</f>
        <v>26096950</v>
      </c>
      <c r="J11" s="194" t="s">
        <v>175</v>
      </c>
      <c r="K11" s="116">
        <v>45016</v>
      </c>
    </row>
    <row r="12" spans="1:11" s="98" customFormat="1" ht="24" customHeight="1">
      <c r="A12" s="14">
        <f t="shared" si="2"/>
        <v>9</v>
      </c>
      <c r="B12" s="14" t="s">
        <v>7</v>
      </c>
      <c r="C12" s="14" t="s">
        <v>222</v>
      </c>
      <c r="D12" s="14" t="s">
        <v>225</v>
      </c>
      <c r="E12" s="15">
        <v>3880</v>
      </c>
      <c r="F12" s="15">
        <v>543200</v>
      </c>
      <c r="G12" s="18">
        <f t="shared" si="0"/>
        <v>54320</v>
      </c>
      <c r="H12" s="15">
        <f t="shared" si="1"/>
        <v>597520</v>
      </c>
      <c r="I12" s="60">
        <f>H12-SUMIF('2023.03'!$B:$B,B12,'2022.11'!G:G)</f>
        <v>136620</v>
      </c>
      <c r="J12" s="193" t="s">
        <v>175</v>
      </c>
      <c r="K12" s="116">
        <v>45016</v>
      </c>
    </row>
    <row r="13" spans="1:11" s="98" customFormat="1" ht="24" customHeight="1">
      <c r="A13" s="14">
        <f t="shared" si="2"/>
        <v>10</v>
      </c>
      <c r="B13" s="14" t="s">
        <v>201</v>
      </c>
      <c r="C13" s="14" t="s">
        <v>222</v>
      </c>
      <c r="D13" s="219" t="s">
        <v>92</v>
      </c>
      <c r="E13" s="15"/>
      <c r="F13" s="15">
        <v>587100</v>
      </c>
      <c r="G13" s="18">
        <f t="shared" si="0"/>
        <v>58710</v>
      </c>
      <c r="H13" s="15">
        <f t="shared" si="1"/>
        <v>645810</v>
      </c>
      <c r="I13" s="60">
        <f>H13-SUMIF('2023.03'!$B:$B,B13,'2022.11'!G:G)</f>
        <v>-17011720</v>
      </c>
      <c r="J13" s="194" t="s">
        <v>175</v>
      </c>
      <c r="K13" s="116">
        <v>44992</v>
      </c>
    </row>
    <row r="14" spans="1:11" s="98" customFormat="1" ht="24" customHeight="1">
      <c r="A14" s="14">
        <f t="shared" si="2"/>
        <v>11</v>
      </c>
      <c r="B14" s="14" t="s">
        <v>201</v>
      </c>
      <c r="C14" s="14" t="s">
        <v>222</v>
      </c>
      <c r="D14" s="219" t="s">
        <v>92</v>
      </c>
      <c r="E14" s="15"/>
      <c r="F14" s="15">
        <v>383240</v>
      </c>
      <c r="G14" s="18">
        <f t="shared" si="0"/>
        <v>38324</v>
      </c>
      <c r="H14" s="15">
        <f t="shared" si="1"/>
        <v>421564</v>
      </c>
      <c r="I14" s="60">
        <f>H14-SUMIF('2023.03'!$B:$B,B14,'2022.11'!G:G)</f>
        <v>-17235966</v>
      </c>
      <c r="J14" s="194" t="s">
        <v>175</v>
      </c>
      <c r="K14" s="116">
        <v>45008</v>
      </c>
    </row>
    <row r="15" spans="1:11" s="98" customFormat="1" ht="24" customHeight="1">
      <c r="A15" s="14">
        <f t="shared" si="2"/>
        <v>12</v>
      </c>
      <c r="B15" s="14" t="s">
        <v>201</v>
      </c>
      <c r="C15" s="14" t="s">
        <v>222</v>
      </c>
      <c r="D15" s="219" t="s">
        <v>92</v>
      </c>
      <c r="E15" s="15"/>
      <c r="F15" s="15">
        <v>100000</v>
      </c>
      <c r="G15" s="18">
        <f>+F15*0.1</f>
        <v>10000</v>
      </c>
      <c r="H15" s="15">
        <f>+F15+G15</f>
        <v>110000</v>
      </c>
      <c r="I15" s="60">
        <f>H15-SUMIF('2023.03'!$B:$B,B15,'2022.11'!G:G)</f>
        <v>-17547530</v>
      </c>
      <c r="J15" s="194" t="s">
        <v>175</v>
      </c>
      <c r="K15" s="116">
        <v>45015</v>
      </c>
    </row>
    <row r="16" spans="1:11" s="98" customFormat="1" ht="24" customHeight="1">
      <c r="A16" s="14">
        <f t="shared" si="2"/>
        <v>13</v>
      </c>
      <c r="B16" s="14" t="s">
        <v>201</v>
      </c>
      <c r="C16" s="14" t="s">
        <v>125</v>
      </c>
      <c r="D16" s="14"/>
      <c r="E16" s="15">
        <v>2720</v>
      </c>
      <c r="F16" s="15">
        <v>4760000</v>
      </c>
      <c r="G16" s="18">
        <f>+F16*0.1</f>
        <v>476000</v>
      </c>
      <c r="H16" s="15">
        <f>+F16+G16</f>
        <v>5236000</v>
      </c>
      <c r="I16" s="60">
        <f>H16-SUMIF('2023.03'!$B:$B,B16,'2022.11'!G:G)</f>
        <v>-12421530</v>
      </c>
      <c r="J16" s="194" t="s">
        <v>175</v>
      </c>
      <c r="K16" s="116">
        <v>44993</v>
      </c>
    </row>
    <row r="17" spans="1:13" s="98" customFormat="1" ht="24" customHeight="1">
      <c r="A17" s="14">
        <f t="shared" si="2"/>
        <v>14</v>
      </c>
      <c r="B17" s="14" t="s">
        <v>201</v>
      </c>
      <c r="C17" s="14" t="s">
        <v>125</v>
      </c>
      <c r="D17" s="14"/>
      <c r="E17" s="15">
        <v>3942</v>
      </c>
      <c r="F17" s="15">
        <v>6898500</v>
      </c>
      <c r="G17" s="18">
        <f>+F17*0.1</f>
        <v>689850</v>
      </c>
      <c r="H17" s="15">
        <f>+F17+G17</f>
        <v>7588350</v>
      </c>
      <c r="I17" s="60">
        <f>H17-SUMIF('2023.03'!$B:$B,B17,'2022.11'!G:G)</f>
        <v>-10069180</v>
      </c>
      <c r="J17" s="194" t="s">
        <v>175</v>
      </c>
      <c r="K17" s="116">
        <v>45015</v>
      </c>
    </row>
    <row r="18" spans="1:13" s="98" customFormat="1" ht="24" customHeight="1">
      <c r="A18" s="8">
        <f t="shared" si="2"/>
        <v>15</v>
      </c>
      <c r="B18" s="8" t="s">
        <v>201</v>
      </c>
      <c r="C18" s="8" t="s">
        <v>204</v>
      </c>
      <c r="D18" s="8"/>
      <c r="E18" s="36"/>
      <c r="F18" s="36"/>
      <c r="G18" s="22">
        <f>+F18*0.1</f>
        <v>0</v>
      </c>
      <c r="H18" s="36">
        <f>+F18+G18</f>
        <v>0</v>
      </c>
      <c r="I18" s="58">
        <f>H18-SUMIF('2023.03'!$B:$B,B18,'2022.11'!G:G)</f>
        <v>-17657530</v>
      </c>
      <c r="J18" s="199" t="s">
        <v>175</v>
      </c>
      <c r="K18" s="136"/>
    </row>
    <row r="19" spans="1:13" s="98" customFormat="1" ht="24" customHeight="1">
      <c r="A19" s="17">
        <f t="shared" si="2"/>
        <v>16</v>
      </c>
      <c r="B19" s="17" t="s">
        <v>75</v>
      </c>
      <c r="C19" s="17" t="s">
        <v>57</v>
      </c>
      <c r="D19" s="17"/>
      <c r="E19" s="107">
        <v>4650</v>
      </c>
      <c r="F19" s="107">
        <v>1488000</v>
      </c>
      <c r="G19" s="18">
        <f t="shared" si="0"/>
        <v>148800</v>
      </c>
      <c r="H19" s="107">
        <f t="shared" si="1"/>
        <v>1636800</v>
      </c>
      <c r="I19" s="60">
        <f>H19-SUMIF('2023.03'!$B:$B,B19,'2022.11'!G:G)</f>
        <v>-152170865</v>
      </c>
      <c r="J19" s="194" t="s">
        <v>183</v>
      </c>
      <c r="K19" s="171">
        <v>44985</v>
      </c>
      <c r="L19" s="102"/>
      <c r="M19" s="100"/>
    </row>
    <row r="20" spans="1:13" s="98" customFormat="1" ht="24" customHeight="1">
      <c r="A20" s="17">
        <f t="shared" si="2"/>
        <v>17</v>
      </c>
      <c r="B20" s="17" t="s">
        <v>75</v>
      </c>
      <c r="C20" s="17" t="s">
        <v>57</v>
      </c>
      <c r="D20" s="17"/>
      <c r="E20" s="107">
        <v>4245</v>
      </c>
      <c r="F20" s="107">
        <v>1358400</v>
      </c>
      <c r="G20" s="18">
        <f t="shared" ref="G20" si="3">+F20*0.1</f>
        <v>135840</v>
      </c>
      <c r="H20" s="107">
        <f t="shared" ref="H20" si="4">+F20+G20</f>
        <v>1494240</v>
      </c>
      <c r="I20" s="60">
        <f>H20-SUMIF('2023.03'!$B:$B,B20,'2022.11'!G:G)</f>
        <v>-152313425</v>
      </c>
      <c r="J20" s="194" t="s">
        <v>183</v>
      </c>
      <c r="K20" s="171">
        <v>45003</v>
      </c>
      <c r="L20" s="102"/>
      <c r="M20" s="100"/>
    </row>
    <row r="21" spans="1:13" s="98" customFormat="1" ht="24" customHeight="1">
      <c r="A21" s="14">
        <f t="shared" si="2"/>
        <v>18</v>
      </c>
      <c r="B21" s="14" t="s">
        <v>133</v>
      </c>
      <c r="C21" s="14" t="s">
        <v>222</v>
      </c>
      <c r="D21" s="14" t="s">
        <v>134</v>
      </c>
      <c r="E21" s="15">
        <v>1185</v>
      </c>
      <c r="F21" s="15">
        <v>592500</v>
      </c>
      <c r="G21" s="18">
        <f t="shared" si="0"/>
        <v>59250</v>
      </c>
      <c r="H21" s="15">
        <f>+F21+G21</f>
        <v>651750</v>
      </c>
      <c r="I21" s="60">
        <f>H21-SUMIF('2023.03'!$B:$B,B21,'2022.11'!G:G)</f>
        <v>5411992.5000000009</v>
      </c>
      <c r="J21" s="194" t="s">
        <v>175</v>
      </c>
      <c r="K21" s="116">
        <v>44988</v>
      </c>
    </row>
    <row r="22" spans="1:13" s="98" customFormat="1" ht="24" customHeight="1">
      <c r="A22" s="14">
        <f t="shared" si="2"/>
        <v>19</v>
      </c>
      <c r="B22" s="14" t="s">
        <v>133</v>
      </c>
      <c r="C22" s="14" t="s">
        <v>222</v>
      </c>
      <c r="D22" s="14" t="s">
        <v>134</v>
      </c>
      <c r="E22" s="15">
        <v>1150</v>
      </c>
      <c r="F22" s="15">
        <v>575000</v>
      </c>
      <c r="G22" s="18">
        <f t="shared" ref="G22" si="5">+F22*0.1</f>
        <v>57500</v>
      </c>
      <c r="H22" s="15">
        <f>+F22+G22</f>
        <v>632500</v>
      </c>
      <c r="I22" s="60">
        <f>H22-SUMIF('2023.03'!$B:$B,B22,'2022.11'!G:G)</f>
        <v>5392742.5000000009</v>
      </c>
      <c r="J22" s="194" t="s">
        <v>175</v>
      </c>
      <c r="K22" s="116">
        <v>44993</v>
      </c>
    </row>
    <row r="23" spans="1:13" s="98" customFormat="1" ht="24" customHeight="1">
      <c r="A23" s="14">
        <f t="shared" si="2"/>
        <v>20</v>
      </c>
      <c r="B23" s="14" t="s">
        <v>133</v>
      </c>
      <c r="C23" s="14" t="s">
        <v>222</v>
      </c>
      <c r="D23" s="14" t="s">
        <v>134</v>
      </c>
      <c r="E23" s="15">
        <v>1170</v>
      </c>
      <c r="F23" s="15">
        <v>585000</v>
      </c>
      <c r="G23" s="18">
        <f t="shared" si="0"/>
        <v>58500</v>
      </c>
      <c r="H23" s="15">
        <f>+F23+G23</f>
        <v>643500</v>
      </c>
      <c r="I23" s="60">
        <f>H23-SUMIF('2023.03'!$B:$B,B23,'2022.11'!G:G)</f>
        <v>5403742.5000000009</v>
      </c>
      <c r="J23" s="194" t="s">
        <v>175</v>
      </c>
      <c r="K23" s="116">
        <v>44998</v>
      </c>
    </row>
    <row r="24" spans="1:13" s="98" customFormat="1" ht="24" customHeight="1">
      <c r="A24" s="14">
        <f t="shared" si="2"/>
        <v>21</v>
      </c>
      <c r="B24" s="14" t="s">
        <v>133</v>
      </c>
      <c r="C24" s="14" t="s">
        <v>222</v>
      </c>
      <c r="D24" s="14" t="s">
        <v>134</v>
      </c>
      <c r="E24" s="15">
        <v>1135</v>
      </c>
      <c r="F24" s="15">
        <v>567500</v>
      </c>
      <c r="G24" s="18">
        <f t="shared" ref="G24" si="6">+F24*0.1</f>
        <v>56750</v>
      </c>
      <c r="H24" s="15">
        <f>+F24+G24</f>
        <v>624250</v>
      </c>
      <c r="I24" s="60">
        <f>H24-SUMIF('2023.03'!$B:$B,B24,'2022.11'!G:G)</f>
        <v>5384492.5000000009</v>
      </c>
      <c r="J24" s="194" t="s">
        <v>175</v>
      </c>
      <c r="K24" s="116">
        <v>45008</v>
      </c>
    </row>
    <row r="25" spans="1:13" s="98" customFormat="1" ht="24" customHeight="1">
      <c r="A25" s="14">
        <f t="shared" si="2"/>
        <v>22</v>
      </c>
      <c r="B25" s="14" t="s">
        <v>133</v>
      </c>
      <c r="C25" s="14" t="s">
        <v>222</v>
      </c>
      <c r="D25" s="14" t="s">
        <v>36</v>
      </c>
      <c r="E25" s="15">
        <v>1205</v>
      </c>
      <c r="F25" s="15">
        <v>602500</v>
      </c>
      <c r="G25" s="18">
        <f t="shared" ref="G25" si="7">+F25*0.1</f>
        <v>60250</v>
      </c>
      <c r="H25" s="15">
        <f>+F25+G25</f>
        <v>662750</v>
      </c>
      <c r="I25" s="60">
        <f>H25-SUMIF('2023.03'!$B:$B,B25,'2022.11'!G:G)</f>
        <v>5422992.5000000009</v>
      </c>
      <c r="J25" s="194" t="s">
        <v>175</v>
      </c>
      <c r="K25" s="116">
        <v>45013</v>
      </c>
    </row>
    <row r="26" spans="1:13" s="101" customFormat="1" ht="24" customHeight="1">
      <c r="A26" s="264">
        <f t="shared" si="2"/>
        <v>23</v>
      </c>
      <c r="B26" s="264" t="s">
        <v>91</v>
      </c>
      <c r="C26" s="265" t="s">
        <v>222</v>
      </c>
      <c r="D26" s="264" t="s">
        <v>134</v>
      </c>
      <c r="E26" s="266">
        <v>2665</v>
      </c>
      <c r="F26" s="266">
        <v>1332500</v>
      </c>
      <c r="G26" s="266">
        <f t="shared" si="0"/>
        <v>133250</v>
      </c>
      <c r="H26" s="267">
        <f t="shared" ref="H26" si="8">+F26+G26</f>
        <v>1465750</v>
      </c>
      <c r="I26" s="268">
        <f>H26-SUMIF('2023.03'!$B:$B,B26,'2022.11'!G:G)</f>
        <v>1465750</v>
      </c>
      <c r="J26" s="269" t="s">
        <v>175</v>
      </c>
      <c r="K26" s="270" t="s">
        <v>261</v>
      </c>
    </row>
    <row r="27" spans="1:13" s="101" customFormat="1" ht="24" customHeight="1">
      <c r="A27" s="11">
        <f t="shared" si="2"/>
        <v>24</v>
      </c>
      <c r="B27" s="11" t="s">
        <v>91</v>
      </c>
      <c r="C27" s="8" t="s">
        <v>222</v>
      </c>
      <c r="D27" s="11" t="s">
        <v>134</v>
      </c>
      <c r="E27" s="22"/>
      <c r="F27" s="22"/>
      <c r="G27" s="22">
        <f t="shared" si="0"/>
        <v>0</v>
      </c>
      <c r="H27" s="132">
        <f t="shared" si="1"/>
        <v>0</v>
      </c>
      <c r="I27" s="58">
        <f>H27-SUMIF('2023.03'!$B:$B,B27,'2022.11'!G:G)</f>
        <v>0</v>
      </c>
      <c r="J27" s="199" t="s">
        <v>175</v>
      </c>
      <c r="K27" s="229"/>
    </row>
    <row r="28" spans="1:13" s="98" customFormat="1" ht="24" customHeight="1">
      <c r="A28" s="17">
        <f t="shared" si="2"/>
        <v>25</v>
      </c>
      <c r="B28" s="17" t="s">
        <v>4</v>
      </c>
      <c r="C28" s="14" t="s">
        <v>222</v>
      </c>
      <c r="D28" s="17" t="s">
        <v>229</v>
      </c>
      <c r="E28" s="124"/>
      <c r="F28" s="18">
        <v>5000000</v>
      </c>
      <c r="G28" s="18">
        <f>F28*0.1</f>
        <v>500000</v>
      </c>
      <c r="H28" s="107">
        <f t="shared" si="1"/>
        <v>5500000</v>
      </c>
      <c r="I28" s="60">
        <f>H28-SUMIF('2023.03'!$B:$B,B28,'2022.11'!G:G)</f>
        <v>5500000</v>
      </c>
      <c r="J28" s="194" t="s">
        <v>175</v>
      </c>
      <c r="K28" s="195">
        <v>45016</v>
      </c>
    </row>
    <row r="29" spans="1:13" s="98" customFormat="1" ht="24" hidden="1" customHeight="1">
      <c r="A29" s="11"/>
      <c r="B29" s="11"/>
      <c r="C29" s="11"/>
      <c r="D29" s="11"/>
      <c r="E29" s="22"/>
      <c r="F29" s="22"/>
      <c r="G29" s="22"/>
      <c r="H29" s="22"/>
      <c r="I29" s="58">
        <f>H29-SUMIF('2022.04'!$B:$B,B29,'2022.04'!G:G)</f>
        <v>0</v>
      </c>
      <c r="J29" s="199"/>
      <c r="K29" s="131"/>
    </row>
    <row r="30" spans="1:13" s="101" customFormat="1" ht="24" hidden="1" customHeight="1">
      <c r="A30" s="129">
        <f t="shared" si="2"/>
        <v>27</v>
      </c>
      <c r="B30" s="129" t="s">
        <v>37</v>
      </c>
      <c r="C30" s="129" t="s">
        <v>47</v>
      </c>
      <c r="D30" s="129"/>
      <c r="E30" s="130"/>
      <c r="F30" s="130"/>
      <c r="G30" s="130"/>
      <c r="H30" s="130">
        <f>+F30+G30</f>
        <v>0</v>
      </c>
      <c r="I30" s="58">
        <f>H30-SUMIF('2022.04'!$B:$B,B30,'2022.04'!G:G)</f>
        <v>0</v>
      </c>
      <c r="J30" s="199"/>
      <c r="K30" s="138"/>
    </row>
    <row r="31" spans="1:13" s="39" customFormat="1" ht="24" customHeight="1">
      <c r="A31" s="364" t="s">
        <v>18</v>
      </c>
      <c r="B31" s="365"/>
      <c r="C31" s="237"/>
      <c r="D31" s="237"/>
      <c r="E31" s="139">
        <f>SUM(E4:E30)</f>
        <v>665766</v>
      </c>
      <c r="F31" s="139">
        <f>SUM(F4:F30)</f>
        <v>155846515</v>
      </c>
      <c r="G31" s="139">
        <f>SUM(G4:G30)</f>
        <v>15584651.5</v>
      </c>
      <c r="H31" s="139">
        <f>SUM(H4:H30)</f>
        <v>171431166.5</v>
      </c>
      <c r="I31" s="203">
        <f>H31-'2022.11'!G20</f>
        <v>17623501.5</v>
      </c>
      <c r="J31" s="204"/>
      <c r="K31" s="37"/>
    </row>
    <row r="32" spans="1:13">
      <c r="A32" s="40"/>
      <c r="B32" s="40"/>
      <c r="C32" s="40"/>
      <c r="D32" s="40"/>
      <c r="E32" s="205"/>
      <c r="F32" s="205"/>
      <c r="G32" s="205"/>
      <c r="H32" s="205"/>
      <c r="I32" s="205"/>
      <c r="J32" s="205"/>
      <c r="K32" s="40"/>
    </row>
    <row r="33" spans="1:11">
      <c r="A33" s="40"/>
      <c r="B33" s="206" t="s">
        <v>50</v>
      </c>
      <c r="C33" s="40"/>
      <c r="D33" s="40"/>
      <c r="E33" s="205"/>
      <c r="F33" s="207">
        <f>F31-'2022.10'!E20</f>
        <v>4875690</v>
      </c>
      <c r="G33" s="207">
        <f>G31-'2022.10'!F20</f>
        <v>487569</v>
      </c>
      <c r="H33" s="207">
        <f>H31-'2022.10'!G20</f>
        <v>5363259</v>
      </c>
      <c r="I33" s="207"/>
      <c r="J33" s="207"/>
      <c r="K33" s="208"/>
    </row>
    <row r="34" spans="1:11">
      <c r="A34" s="40"/>
      <c r="B34" s="40"/>
      <c r="C34" s="40"/>
      <c r="D34" s="40"/>
      <c r="E34" s="40"/>
      <c r="F34" s="205"/>
      <c r="G34" s="205"/>
      <c r="H34" s="205"/>
      <c r="I34" s="205"/>
      <c r="J34" s="205"/>
      <c r="K34" s="40"/>
    </row>
    <row r="35" spans="1:11">
      <c r="A35" s="181" t="s">
        <v>148</v>
      </c>
      <c r="B35" s="182" t="s">
        <v>149</v>
      </c>
      <c r="C35" s="182" t="s">
        <v>151</v>
      </c>
      <c r="D35" s="182"/>
      <c r="E35" s="187">
        <v>1200</v>
      </c>
      <c r="F35" s="197">
        <v>3272727</v>
      </c>
      <c r="G35" s="197">
        <v>327273</v>
      </c>
      <c r="H35" s="184">
        <f>F35+G35</f>
        <v>3600000</v>
      </c>
      <c r="I35" s="184">
        <f>H35-'2022.11'!G24</f>
        <v>-899999.99999999907</v>
      </c>
      <c r="J35" s="194" t="s">
        <v>175</v>
      </c>
      <c r="K35" s="241">
        <v>9.6774193548387094E-2</v>
      </c>
    </row>
    <row r="36" spans="1:11">
      <c r="A36" s="181" t="s">
        <v>148</v>
      </c>
      <c r="B36" s="182" t="s">
        <v>150</v>
      </c>
      <c r="C36" s="182" t="s">
        <v>151</v>
      </c>
      <c r="D36" s="182"/>
      <c r="E36" s="187">
        <v>800</v>
      </c>
      <c r="F36" s="15">
        <f>545455*4</f>
        <v>2181820</v>
      </c>
      <c r="G36" s="185">
        <f>54545*4</f>
        <v>218180</v>
      </c>
      <c r="H36" s="184">
        <f>F36+G36</f>
        <v>2400000</v>
      </c>
      <c r="I36" s="184">
        <f>H36-'2022.11'!G25</f>
        <v>-600000</v>
      </c>
      <c r="J36" s="194" t="s">
        <v>175</v>
      </c>
      <c r="K36" s="241">
        <v>9.6774193548387094E-2</v>
      </c>
    </row>
  </sheetData>
  <autoFilter ref="A3:K3"/>
  <mergeCells count="2">
    <mergeCell ref="A1:K1"/>
    <mergeCell ref="A31:B3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showGridLines="0" workbookViewId="0">
      <pane xSplit="2" ySplit="3" topLeftCell="C16" activePane="bottomRight" state="frozen"/>
      <selection pane="topRight" activeCell="C1" sqref="C1"/>
      <selection pane="bottomLeft" activeCell="A2" sqref="A2"/>
      <selection pane="bottomRight" activeCell="H23" sqref="H23"/>
    </sheetView>
  </sheetViews>
  <sheetFormatPr defaultColWidth="9" defaultRowHeight="16.5"/>
  <cols>
    <col min="1" max="1" width="7.5" bestFit="1" customWidth="1"/>
    <col min="2" max="3" width="20" customWidth="1"/>
    <col min="4" max="4" width="15.375" bestFit="1" customWidth="1"/>
    <col min="5" max="5" width="12.375" style="2" bestFit="1" customWidth="1"/>
    <col min="6" max="6" width="14.875" style="2" bestFit="1" customWidth="1"/>
    <col min="7" max="7" width="13.625" style="2" bestFit="1" customWidth="1"/>
    <col min="8" max="8" width="14.875" style="2" bestFit="1" customWidth="1"/>
    <col min="9" max="9" width="14.875" style="2" customWidth="1"/>
    <col min="10" max="10" width="10.75" style="2" customWidth="1"/>
    <col min="11" max="11" width="47.375" customWidth="1"/>
    <col min="12" max="12" width="9.5" style="40" bestFit="1" customWidth="1"/>
    <col min="13" max="13" width="9.25" style="40" bestFit="1" customWidth="1"/>
    <col min="14" max="16384" width="9" style="40"/>
  </cols>
  <sheetData>
    <row r="1" spans="1:11" ht="38.25">
      <c r="A1" s="363" t="s">
        <v>215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</row>
    <row r="2" spans="1:11">
      <c r="K2" s="44" t="s">
        <v>216</v>
      </c>
    </row>
    <row r="3" spans="1:11" s="38" customFormat="1">
      <c r="A3" s="5" t="s">
        <v>12</v>
      </c>
      <c r="B3" s="5" t="s">
        <v>0</v>
      </c>
      <c r="C3" s="5" t="s">
        <v>223</v>
      </c>
      <c r="D3" s="5" t="s">
        <v>231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50</v>
      </c>
      <c r="J3" s="1" t="s">
        <v>179</v>
      </c>
      <c r="K3" s="5" t="s">
        <v>23</v>
      </c>
    </row>
    <row r="4" spans="1:11" s="98" customFormat="1" ht="24" customHeight="1">
      <c r="A4" s="8">
        <f>ROW()-3</f>
        <v>1</v>
      </c>
      <c r="B4" s="8" t="s">
        <v>13</v>
      </c>
      <c r="C4" s="8" t="s">
        <v>27</v>
      </c>
      <c r="D4" s="8"/>
      <c r="E4" s="36"/>
      <c r="F4" s="36">
        <f>E4*200</f>
        <v>0</v>
      </c>
      <c r="G4" s="22">
        <f t="shared" ref="G4:G24" si="0">+F4*0.1</f>
        <v>0</v>
      </c>
      <c r="H4" s="36">
        <f t="shared" ref="H4:H25" si="1">+F4+G4</f>
        <v>0</v>
      </c>
      <c r="I4" s="58">
        <f>H4-SUMIF('2023.02'!$B:$B,B4,'2022.11'!G:G)</f>
        <v>-206800</v>
      </c>
      <c r="J4" s="199" t="s">
        <v>175</v>
      </c>
      <c r="K4" s="200"/>
    </row>
    <row r="5" spans="1:11" s="98" customFormat="1" ht="24" customHeight="1">
      <c r="A5" s="14">
        <f t="shared" ref="A5:A27" si="2">ROW()-3</f>
        <v>2</v>
      </c>
      <c r="B5" s="14" t="s">
        <v>5</v>
      </c>
      <c r="C5" s="14" t="s">
        <v>34</v>
      </c>
      <c r="D5" s="14" t="s">
        <v>238</v>
      </c>
      <c r="E5" s="15">
        <v>550010</v>
      </c>
      <c r="F5" s="15">
        <v>49521700</v>
      </c>
      <c r="G5" s="18">
        <f t="shared" si="0"/>
        <v>4952170</v>
      </c>
      <c r="H5" s="15">
        <f t="shared" si="1"/>
        <v>54473870</v>
      </c>
      <c r="I5" s="60">
        <f>H5-SUMIF('2023.02'!$B:$B,B5,'2022.11'!G:G)</f>
        <v>6669905</v>
      </c>
      <c r="J5" s="194" t="s">
        <v>175</v>
      </c>
      <c r="K5" s="238" t="s">
        <v>239</v>
      </c>
    </row>
    <row r="6" spans="1:11" s="98" customFormat="1" ht="24" customHeight="1">
      <c r="A6" s="14">
        <f t="shared" si="2"/>
        <v>3</v>
      </c>
      <c r="B6" s="14" t="s">
        <v>11</v>
      </c>
      <c r="C6" s="14" t="s">
        <v>237</v>
      </c>
      <c r="D6" s="14"/>
      <c r="E6" s="15"/>
      <c r="F6" s="15">
        <v>1828559</v>
      </c>
      <c r="G6" s="18">
        <f t="shared" si="0"/>
        <v>182855.90000000002</v>
      </c>
      <c r="H6" s="15">
        <f t="shared" si="1"/>
        <v>2011414.9</v>
      </c>
      <c r="I6" s="60">
        <f>H6-SUMIF('2023.02'!$B:$B,B6,'2022.11'!G:G)</f>
        <v>-58605955.100000001</v>
      </c>
      <c r="J6" s="194" t="s">
        <v>236</v>
      </c>
      <c r="K6" s="116">
        <v>44985</v>
      </c>
    </row>
    <row r="7" spans="1:11" s="98" customFormat="1" ht="24" customHeight="1">
      <c r="A7" s="14">
        <f t="shared" si="2"/>
        <v>4</v>
      </c>
      <c r="B7" s="14" t="s">
        <v>11</v>
      </c>
      <c r="C7" s="14" t="s">
        <v>222</v>
      </c>
      <c r="D7" s="14" t="s">
        <v>28</v>
      </c>
      <c r="E7" s="15"/>
      <c r="F7" s="15">
        <v>43774641</v>
      </c>
      <c r="G7" s="18">
        <f t="shared" ref="G7" si="3">+F7*0.1</f>
        <v>4377464.1000000006</v>
      </c>
      <c r="H7" s="15">
        <f t="shared" ref="H7" si="4">+F7+G7</f>
        <v>48152105.100000001</v>
      </c>
      <c r="I7" s="60">
        <f>H7-SUMIF('2023.02'!$B:$B,B7,'2022.11'!G:G)</f>
        <v>-12465264.899999999</v>
      </c>
      <c r="J7" s="194" t="s">
        <v>175</v>
      </c>
      <c r="K7" s="116">
        <v>44985</v>
      </c>
    </row>
    <row r="8" spans="1:11" s="98" customFormat="1" ht="24" customHeight="1">
      <c r="A8" s="14">
        <f t="shared" si="2"/>
        <v>5</v>
      </c>
      <c r="B8" s="17" t="s">
        <v>2</v>
      </c>
      <c r="C8" s="14" t="s">
        <v>222</v>
      </c>
      <c r="D8" s="14" t="s">
        <v>234</v>
      </c>
      <c r="E8" s="15"/>
      <c r="F8" s="15">
        <v>3148750</v>
      </c>
      <c r="G8" s="18">
        <f t="shared" si="0"/>
        <v>314875</v>
      </c>
      <c r="H8" s="15">
        <f t="shared" si="1"/>
        <v>3463625</v>
      </c>
      <c r="I8" s="60">
        <f>H8-SUMIF('2023.02'!$B:$B,B8,'2022.11'!G:G)</f>
        <v>3463625</v>
      </c>
      <c r="J8" s="194" t="s">
        <v>175</v>
      </c>
      <c r="K8" s="116">
        <v>44985</v>
      </c>
    </row>
    <row r="9" spans="1:11" s="98" customFormat="1" ht="24" customHeight="1">
      <c r="A9" s="8">
        <f t="shared" si="2"/>
        <v>6</v>
      </c>
      <c r="B9" s="11" t="s">
        <v>9</v>
      </c>
      <c r="C9" s="11" t="s">
        <v>28</v>
      </c>
      <c r="D9" s="11"/>
      <c r="E9" s="132"/>
      <c r="F9" s="36"/>
      <c r="G9" s="22"/>
      <c r="H9" s="36">
        <f t="shared" si="1"/>
        <v>0</v>
      </c>
      <c r="I9" s="58">
        <f>H9-SUMIF('2023.02'!$B:$B,B9,'2022.11'!G:G)</f>
        <v>0</v>
      </c>
      <c r="J9" s="199"/>
      <c r="K9" s="37"/>
    </row>
    <row r="10" spans="1:11" s="98" customFormat="1" ht="24" customHeight="1">
      <c r="A10" s="14">
        <f t="shared" si="2"/>
        <v>7</v>
      </c>
      <c r="B10" s="14" t="s">
        <v>1</v>
      </c>
      <c r="C10" s="14" t="s">
        <v>222</v>
      </c>
      <c r="D10" s="14" t="s">
        <v>224</v>
      </c>
      <c r="E10" s="212">
        <v>23910</v>
      </c>
      <c r="F10" s="15">
        <v>5256000</v>
      </c>
      <c r="G10" s="18">
        <f>F10*0.1</f>
        <v>525600</v>
      </c>
      <c r="H10" s="15">
        <f t="shared" si="1"/>
        <v>5781600</v>
      </c>
      <c r="I10" s="60">
        <f>H10-SUMIF('2023.02'!$B:$B,B10,'2022.11'!G:G)</f>
        <v>-20440200</v>
      </c>
      <c r="J10" s="194" t="s">
        <v>175</v>
      </c>
      <c r="K10" s="225">
        <v>44985</v>
      </c>
    </row>
    <row r="11" spans="1:11" s="98" customFormat="1" ht="24" customHeight="1">
      <c r="A11" s="8">
        <f t="shared" si="2"/>
        <v>8</v>
      </c>
      <c r="B11" s="220" t="s">
        <v>197</v>
      </c>
      <c r="C11" s="220" t="s">
        <v>104</v>
      </c>
      <c r="D11" s="220"/>
      <c r="E11" s="221">
        <v>56465</v>
      </c>
      <c r="F11" s="222">
        <v>1693950</v>
      </c>
      <c r="G11" s="222">
        <f>F11*0.1</f>
        <v>169395</v>
      </c>
      <c r="H11" s="222">
        <f t="shared" si="1"/>
        <v>1863345</v>
      </c>
      <c r="I11" s="223"/>
      <c r="J11" s="199"/>
      <c r="K11" s="234">
        <v>44985</v>
      </c>
    </row>
    <row r="12" spans="1:11" s="98" customFormat="1" ht="24" customHeight="1">
      <c r="A12" s="14">
        <f t="shared" si="2"/>
        <v>9</v>
      </c>
      <c r="B12" s="14" t="s">
        <v>69</v>
      </c>
      <c r="C12" s="14" t="s">
        <v>46</v>
      </c>
      <c r="D12" s="14"/>
      <c r="E12" s="15">
        <v>15485</v>
      </c>
      <c r="F12" s="15">
        <v>23227500</v>
      </c>
      <c r="G12" s="18">
        <f t="shared" si="0"/>
        <v>2322750</v>
      </c>
      <c r="H12" s="15">
        <f>+F12+G12</f>
        <v>25550250</v>
      </c>
      <c r="I12" s="60">
        <f>H12-SUMIF('2023.02'!$B:$B,B12,'2022.11'!G:G)</f>
        <v>25089350</v>
      </c>
      <c r="J12" s="194" t="s">
        <v>175</v>
      </c>
      <c r="K12" s="116">
        <v>44985</v>
      </c>
    </row>
    <row r="13" spans="1:11" s="98" customFormat="1" ht="24" customHeight="1">
      <c r="A13" s="14">
        <f t="shared" si="2"/>
        <v>10</v>
      </c>
      <c r="B13" s="14" t="s">
        <v>7</v>
      </c>
      <c r="C13" s="14" t="s">
        <v>222</v>
      </c>
      <c r="D13" s="14" t="s">
        <v>225</v>
      </c>
      <c r="E13" s="15">
        <v>1760</v>
      </c>
      <c r="F13" s="15">
        <v>246400</v>
      </c>
      <c r="G13" s="18">
        <f t="shared" si="0"/>
        <v>24640</v>
      </c>
      <c r="H13" s="15">
        <f t="shared" si="1"/>
        <v>271040</v>
      </c>
      <c r="I13" s="60">
        <f>H13-SUMIF('2023.02'!$B:$B,B13,'2022.11'!G:G)</f>
        <v>-7621460</v>
      </c>
      <c r="J13" s="193" t="s">
        <v>175</v>
      </c>
      <c r="K13" s="116">
        <v>44985</v>
      </c>
    </row>
    <row r="14" spans="1:11" s="98" customFormat="1" ht="24" customHeight="1">
      <c r="A14" s="14">
        <f t="shared" si="2"/>
        <v>11</v>
      </c>
      <c r="B14" s="14" t="s">
        <v>201</v>
      </c>
      <c r="C14" s="14" t="s">
        <v>222</v>
      </c>
      <c r="D14" s="219" t="s">
        <v>230</v>
      </c>
      <c r="E14" s="15"/>
      <c r="F14" s="15">
        <v>711200</v>
      </c>
      <c r="G14" s="18">
        <f t="shared" si="0"/>
        <v>71120</v>
      </c>
      <c r="H14" s="15">
        <f t="shared" si="1"/>
        <v>782320</v>
      </c>
      <c r="I14" s="60">
        <f>H14-SUMIF('2023.02'!$B:$B,B14,'2022.11'!G:G)</f>
        <v>-8982710</v>
      </c>
      <c r="J14" s="194" t="s">
        <v>175</v>
      </c>
      <c r="K14" s="116">
        <v>44972</v>
      </c>
    </row>
    <row r="15" spans="1:11" s="98" customFormat="1" ht="24" customHeight="1">
      <c r="A15" s="14">
        <f t="shared" si="2"/>
        <v>12</v>
      </c>
      <c r="B15" s="14" t="s">
        <v>201</v>
      </c>
      <c r="C15" s="14" t="s">
        <v>222</v>
      </c>
      <c r="D15" s="219" t="s">
        <v>92</v>
      </c>
      <c r="E15" s="15"/>
      <c r="F15" s="15">
        <v>161000</v>
      </c>
      <c r="G15" s="18">
        <f t="shared" ref="G15" si="5">+F15*0.1</f>
        <v>16100</v>
      </c>
      <c r="H15" s="15">
        <f t="shared" ref="H15" si="6">+F15+G15</f>
        <v>177100</v>
      </c>
      <c r="I15" s="60">
        <f>H15-SUMIF('2023.02'!$B:$B,B15,'2022.11'!G:G)</f>
        <v>-9587930</v>
      </c>
      <c r="J15" s="194" t="s">
        <v>175</v>
      </c>
      <c r="K15" s="116">
        <v>44977</v>
      </c>
    </row>
    <row r="16" spans="1:11" s="98" customFormat="1" ht="24" customHeight="1">
      <c r="A16" s="8">
        <f t="shared" si="2"/>
        <v>13</v>
      </c>
      <c r="B16" s="8" t="s">
        <v>201</v>
      </c>
      <c r="C16" s="8" t="s">
        <v>222</v>
      </c>
      <c r="D16" s="228" t="s">
        <v>230</v>
      </c>
      <c r="E16" s="36"/>
      <c r="F16" s="36"/>
      <c r="G16" s="22">
        <f>+F16*0.1</f>
        <v>0</v>
      </c>
      <c r="H16" s="36">
        <f>+F16+G16</f>
        <v>0</v>
      </c>
      <c r="I16" s="58">
        <f>H16-SUMIF('2023.02'!$B:$B,B16,'2022.11'!G:G)</f>
        <v>-9765030</v>
      </c>
      <c r="J16" s="199" t="s">
        <v>175</v>
      </c>
      <c r="K16" s="136"/>
    </row>
    <row r="17" spans="1:13" s="98" customFormat="1" ht="24" customHeight="1">
      <c r="A17" s="14">
        <f t="shared" si="2"/>
        <v>14</v>
      </c>
      <c r="B17" s="14" t="s">
        <v>201</v>
      </c>
      <c r="C17" s="14" t="s">
        <v>233</v>
      </c>
      <c r="D17" s="14" t="s">
        <v>243</v>
      </c>
      <c r="E17" s="15">
        <v>3306</v>
      </c>
      <c r="F17" s="15">
        <v>5950800</v>
      </c>
      <c r="G17" s="18">
        <f>+F17*0.1</f>
        <v>595080</v>
      </c>
      <c r="H17" s="15">
        <f>+F17+G17</f>
        <v>6545880</v>
      </c>
      <c r="I17" s="60">
        <f>H17-SUMIF('2023.02'!$B:$B,B17,'2022.11'!G:G)</f>
        <v>-3219150</v>
      </c>
      <c r="J17" s="194" t="s">
        <v>175</v>
      </c>
      <c r="K17" s="116">
        <v>44966</v>
      </c>
    </row>
    <row r="18" spans="1:13" s="98" customFormat="1" ht="24" customHeight="1">
      <c r="A18" s="14">
        <f t="shared" si="2"/>
        <v>15</v>
      </c>
      <c r="B18" s="14" t="s">
        <v>201</v>
      </c>
      <c r="C18" s="14" t="s">
        <v>125</v>
      </c>
      <c r="D18" s="14" t="s">
        <v>244</v>
      </c>
      <c r="E18" s="15">
        <v>2112</v>
      </c>
      <c r="F18" s="15">
        <v>3801600</v>
      </c>
      <c r="G18" s="18">
        <f>+F18*0.1</f>
        <v>380160</v>
      </c>
      <c r="H18" s="15">
        <f>+F18+G18</f>
        <v>4181760</v>
      </c>
      <c r="I18" s="60">
        <f>H18-SUMIF('2023.02'!$B:$B,B18,'2022.11'!G:G)</f>
        <v>-5583270</v>
      </c>
      <c r="J18" s="194" t="s">
        <v>175</v>
      </c>
      <c r="K18" s="116">
        <v>44979</v>
      </c>
    </row>
    <row r="19" spans="1:13" s="98" customFormat="1" ht="24" customHeight="1">
      <c r="A19" s="14">
        <f t="shared" si="2"/>
        <v>16</v>
      </c>
      <c r="B19" s="14" t="s">
        <v>201</v>
      </c>
      <c r="C19" s="14" t="s">
        <v>232</v>
      </c>
      <c r="D19" s="14" t="s">
        <v>245</v>
      </c>
      <c r="E19" s="15"/>
      <c r="F19" s="15">
        <v>5761300</v>
      </c>
      <c r="G19" s="18">
        <f>+F19*0.1</f>
        <v>576130</v>
      </c>
      <c r="H19" s="15">
        <f>+F19+G19</f>
        <v>6337430</v>
      </c>
      <c r="I19" s="60">
        <f>H19-SUMIF('2023.02'!$B:$B,B19,'2022.11'!G:G)</f>
        <v>-3427600</v>
      </c>
      <c r="J19" s="194" t="s">
        <v>175</v>
      </c>
      <c r="K19" s="116">
        <v>44979</v>
      </c>
    </row>
    <row r="20" spans="1:13" s="98" customFormat="1" ht="24" customHeight="1">
      <c r="A20" s="17">
        <f t="shared" si="2"/>
        <v>17</v>
      </c>
      <c r="B20" s="17" t="s">
        <v>75</v>
      </c>
      <c r="C20" s="17" t="s">
        <v>57</v>
      </c>
      <c r="D20" s="17"/>
      <c r="E20" s="107">
        <v>5815</v>
      </c>
      <c r="F20" s="107">
        <v>1860800</v>
      </c>
      <c r="G20" s="18">
        <f t="shared" si="0"/>
        <v>186080</v>
      </c>
      <c r="H20" s="107">
        <f t="shared" si="1"/>
        <v>2046880</v>
      </c>
      <c r="I20" s="60">
        <f>H20-SUMIF('2023.02'!$B:$B,B20,'2022.11'!G:G)</f>
        <v>-151760785</v>
      </c>
      <c r="J20" s="194" t="s">
        <v>183</v>
      </c>
      <c r="K20" s="171">
        <v>44959</v>
      </c>
      <c r="L20" s="102"/>
      <c r="M20" s="100"/>
    </row>
    <row r="21" spans="1:13" s="98" customFormat="1" ht="24" customHeight="1">
      <c r="A21" s="14">
        <f t="shared" si="2"/>
        <v>18</v>
      </c>
      <c r="B21" s="14" t="s">
        <v>133</v>
      </c>
      <c r="C21" s="14" t="s">
        <v>222</v>
      </c>
      <c r="D21" s="14" t="s">
        <v>226</v>
      </c>
      <c r="E21" s="15">
        <v>1195</v>
      </c>
      <c r="F21" s="15">
        <v>597500</v>
      </c>
      <c r="G21" s="18">
        <f t="shared" si="0"/>
        <v>59750</v>
      </c>
      <c r="H21" s="15">
        <f>+F21+G21</f>
        <v>657250</v>
      </c>
      <c r="I21" s="60">
        <f>H21-SUMIF('2023.02'!$B:$B,B21,'2022.11'!G:G)</f>
        <v>12917492.5</v>
      </c>
      <c r="J21" s="194" t="s">
        <v>175</v>
      </c>
      <c r="K21" s="116">
        <v>44966</v>
      </c>
    </row>
    <row r="22" spans="1:13" s="98" customFormat="1" ht="24" customHeight="1">
      <c r="A22" s="14">
        <f t="shared" si="2"/>
        <v>19</v>
      </c>
      <c r="B22" s="14" t="s">
        <v>133</v>
      </c>
      <c r="C22" s="14" t="s">
        <v>222</v>
      </c>
      <c r="D22" s="14" t="s">
        <v>227</v>
      </c>
      <c r="E22" s="15">
        <v>1125</v>
      </c>
      <c r="F22" s="15">
        <f>E22*500</f>
        <v>562500</v>
      </c>
      <c r="G22" s="18">
        <f t="shared" si="0"/>
        <v>56250</v>
      </c>
      <c r="H22" s="15">
        <f>+F22+G22</f>
        <v>618750</v>
      </c>
      <c r="I22" s="60">
        <f>H22-SUMIF('2023.02'!$B:$B,B22,'2022.11'!G:G)</f>
        <v>12878992.5</v>
      </c>
      <c r="J22" s="194" t="s">
        <v>175</v>
      </c>
      <c r="K22" s="116">
        <v>44973</v>
      </c>
    </row>
    <row r="23" spans="1:13" s="101" customFormat="1" ht="24" customHeight="1">
      <c r="A23" s="17">
        <f t="shared" si="2"/>
        <v>20</v>
      </c>
      <c r="B23" s="17" t="s">
        <v>91</v>
      </c>
      <c r="C23" s="14" t="s">
        <v>222</v>
      </c>
      <c r="D23" s="17" t="s">
        <v>226</v>
      </c>
      <c r="E23" s="18">
        <v>2115</v>
      </c>
      <c r="F23" s="18">
        <v>1057600</v>
      </c>
      <c r="G23" s="18">
        <f t="shared" si="0"/>
        <v>105760</v>
      </c>
      <c r="H23" s="107">
        <f t="shared" ref="H23" si="7">+F23+G23</f>
        <v>1163360</v>
      </c>
      <c r="I23" s="60">
        <f>H23-SUMIF('2023.02'!$B:$B,B23,'2022.11'!G:G)</f>
        <v>-3336639.9999999991</v>
      </c>
      <c r="J23" s="194" t="s">
        <v>175</v>
      </c>
      <c r="K23" s="236">
        <v>44981</v>
      </c>
    </row>
    <row r="24" spans="1:13" s="101" customFormat="1" ht="24" customHeight="1">
      <c r="A24" s="11">
        <f t="shared" si="2"/>
        <v>21</v>
      </c>
      <c r="B24" s="11" t="s">
        <v>91</v>
      </c>
      <c r="C24" s="8" t="s">
        <v>222</v>
      </c>
      <c r="D24" s="11" t="s">
        <v>228</v>
      </c>
      <c r="E24" s="22"/>
      <c r="F24" s="22"/>
      <c r="G24" s="22">
        <f t="shared" si="0"/>
        <v>0</v>
      </c>
      <c r="H24" s="132">
        <f t="shared" si="1"/>
        <v>0</v>
      </c>
      <c r="I24" s="58">
        <f>H24-SUMIF('2023.02'!$B:$B,B24,'2022.11'!G:G)</f>
        <v>-4499999.9999999991</v>
      </c>
      <c r="J24" s="199" t="s">
        <v>175</v>
      </c>
      <c r="K24" s="229"/>
    </row>
    <row r="25" spans="1:13" s="98" customFormat="1" ht="24" customHeight="1">
      <c r="A25" s="17">
        <f t="shared" si="2"/>
        <v>22</v>
      </c>
      <c r="B25" s="17" t="s">
        <v>4</v>
      </c>
      <c r="C25" s="14" t="s">
        <v>222</v>
      </c>
      <c r="D25" s="17" t="s">
        <v>229</v>
      </c>
      <c r="E25" s="124"/>
      <c r="F25" s="18">
        <v>5000000</v>
      </c>
      <c r="G25" s="18">
        <f>F25*0.1</f>
        <v>500000</v>
      </c>
      <c r="H25" s="107">
        <f t="shared" si="1"/>
        <v>5500000</v>
      </c>
      <c r="I25" s="60">
        <f>H25-SUMIF('2023.02'!$B:$B,B25,'2022.11'!G:G)</f>
        <v>2500000</v>
      </c>
      <c r="J25" s="194" t="s">
        <v>175</v>
      </c>
      <c r="K25" s="195">
        <v>44985</v>
      </c>
    </row>
    <row r="26" spans="1:13" s="98" customFormat="1" ht="24" hidden="1" customHeight="1">
      <c r="A26" s="11"/>
      <c r="B26" s="11"/>
      <c r="C26" s="11"/>
      <c r="D26" s="11"/>
      <c r="E26" s="22"/>
      <c r="F26" s="22"/>
      <c r="G26" s="22"/>
      <c r="H26" s="22"/>
      <c r="I26" s="58">
        <f>H26-SUMIF('2022.04'!$B:$B,B26,'2022.04'!G:G)</f>
        <v>0</v>
      </c>
      <c r="J26" s="199"/>
      <c r="K26" s="131"/>
    </row>
    <row r="27" spans="1:13" s="101" customFormat="1" ht="24" hidden="1" customHeight="1">
      <c r="A27" s="129">
        <f t="shared" si="2"/>
        <v>24</v>
      </c>
      <c r="B27" s="129" t="s">
        <v>37</v>
      </c>
      <c r="C27" s="129" t="s">
        <v>47</v>
      </c>
      <c r="D27" s="129"/>
      <c r="E27" s="130"/>
      <c r="F27" s="130"/>
      <c r="G27" s="130"/>
      <c r="H27" s="130">
        <f>+F27+G27</f>
        <v>0</v>
      </c>
      <c r="I27" s="58">
        <f>H27-SUMIF('2022.04'!$B:$B,B27,'2022.04'!G:G)</f>
        <v>0</v>
      </c>
      <c r="J27" s="199"/>
      <c r="K27" s="138"/>
    </row>
    <row r="28" spans="1:13" s="39" customFormat="1" ht="24" customHeight="1">
      <c r="A28" s="364" t="s">
        <v>18</v>
      </c>
      <c r="B28" s="365"/>
      <c r="C28" s="226"/>
      <c r="D28" s="235"/>
      <c r="E28" s="139">
        <f>SUM(E4:E27)</f>
        <v>663298</v>
      </c>
      <c r="F28" s="139">
        <f>SUM(F4:F27)</f>
        <v>154161800</v>
      </c>
      <c r="G28" s="139">
        <f>SUM(G4:G27)</f>
        <v>15416180</v>
      </c>
      <c r="H28" s="139">
        <f>SUM(H4:H27)</f>
        <v>169577980</v>
      </c>
      <c r="I28" s="203">
        <f>H28-'2022.11'!G20</f>
        <v>15770315</v>
      </c>
      <c r="J28" s="204"/>
      <c r="K28" s="37"/>
    </row>
    <row r="29" spans="1:13">
      <c r="A29" s="40"/>
      <c r="B29" s="40"/>
      <c r="C29" s="40"/>
      <c r="D29" s="40"/>
      <c r="E29" s="205"/>
      <c r="F29" s="205"/>
      <c r="G29" s="205"/>
      <c r="H29" s="205"/>
      <c r="I29" s="205"/>
      <c r="J29" s="205"/>
      <c r="K29" s="40"/>
    </row>
    <row r="30" spans="1:13">
      <c r="A30" s="40"/>
      <c r="B30" s="206" t="s">
        <v>50</v>
      </c>
      <c r="C30" s="40"/>
      <c r="D30" s="40"/>
      <c r="E30" s="205"/>
      <c r="F30" s="207">
        <f>F28-'2022.10'!E20</f>
        <v>3190975</v>
      </c>
      <c r="G30" s="207">
        <f>G28-'2022.10'!F20</f>
        <v>319097.5</v>
      </c>
      <c r="H30" s="207">
        <f>H28-'2022.10'!G20</f>
        <v>3510072.5</v>
      </c>
      <c r="I30" s="207"/>
      <c r="J30" s="207"/>
      <c r="K30" s="208"/>
    </row>
    <row r="31" spans="1:13">
      <c r="A31" s="40"/>
      <c r="B31" s="40"/>
      <c r="C31" s="40"/>
      <c r="D31" s="40"/>
      <c r="E31" s="40"/>
      <c r="F31" s="205"/>
      <c r="G31" s="205"/>
      <c r="H31" s="205"/>
      <c r="I31" s="205"/>
      <c r="J31" s="205"/>
      <c r="K31" s="40"/>
    </row>
    <row r="32" spans="1:13">
      <c r="A32" s="181" t="s">
        <v>148</v>
      </c>
      <c r="B32" s="182" t="s">
        <v>149</v>
      </c>
      <c r="C32" s="182" t="s">
        <v>151</v>
      </c>
      <c r="D32" s="182"/>
      <c r="E32" s="187">
        <v>600</v>
      </c>
      <c r="F32" s="197">
        <v>1636364</v>
      </c>
      <c r="G32" s="197">
        <f>F32*0.1</f>
        <v>163636.40000000002</v>
      </c>
      <c r="H32" s="184">
        <f>F32+G32</f>
        <v>1800000.4</v>
      </c>
      <c r="I32" s="184">
        <f>H32-'2022.11'!G24</f>
        <v>-2699999.5999999992</v>
      </c>
      <c r="J32" s="194" t="s">
        <v>175</v>
      </c>
      <c r="K32" s="224">
        <v>44985</v>
      </c>
    </row>
    <row r="33" spans="1:11">
      <c r="A33" s="181" t="s">
        <v>148</v>
      </c>
      <c r="B33" s="182" t="s">
        <v>150</v>
      </c>
      <c r="C33" s="182" t="s">
        <v>151</v>
      </c>
      <c r="D33" s="182"/>
      <c r="E33" s="187">
        <v>400</v>
      </c>
      <c r="F33" s="15">
        <v>1090909</v>
      </c>
      <c r="G33" s="185">
        <f>F33*0.1</f>
        <v>109090.90000000001</v>
      </c>
      <c r="H33" s="184">
        <f>F33+G33</f>
        <v>1199999.8999999999</v>
      </c>
      <c r="I33" s="184">
        <f>H33-'2022.11'!G25</f>
        <v>-1800000.1</v>
      </c>
      <c r="J33" s="194" t="s">
        <v>175</v>
      </c>
      <c r="K33" s="224">
        <v>44985</v>
      </c>
    </row>
  </sheetData>
  <autoFilter ref="A3:K3"/>
  <mergeCells count="2">
    <mergeCell ref="A1:K1"/>
    <mergeCell ref="A28:B2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"/>
  <sheetViews>
    <sheetView showGridLines="0" workbookViewId="0">
      <pane xSplit="2" ySplit="3" topLeftCell="C24" activePane="bottomRight" state="frozen"/>
      <selection pane="topRight" activeCell="C1" sqref="C1"/>
      <selection pane="bottomLeft" activeCell="A2" sqref="A2"/>
      <selection pane="bottomRight" activeCell="G19" sqref="G19"/>
    </sheetView>
  </sheetViews>
  <sheetFormatPr defaultColWidth="9" defaultRowHeight="16.5"/>
  <cols>
    <col min="1" max="1" width="7.5" bestFit="1" customWidth="1"/>
    <col min="2" max="2" width="20" customWidth="1"/>
    <col min="3" max="3" width="20" bestFit="1" customWidth="1"/>
    <col min="4" max="4" width="12.375" style="2" bestFit="1" customWidth="1"/>
    <col min="5" max="5" width="14.875" style="2" bestFit="1" customWidth="1"/>
    <col min="6" max="6" width="13.625" style="2" bestFit="1" customWidth="1"/>
    <col min="7" max="7" width="14.875" style="2" bestFit="1" customWidth="1"/>
    <col min="8" max="8" width="14.875" style="2" customWidth="1"/>
    <col min="9" max="9" width="10.75" style="2" customWidth="1"/>
    <col min="10" max="10" width="47.375" customWidth="1"/>
    <col min="11" max="11" width="9.5" style="40" bestFit="1" customWidth="1"/>
    <col min="12" max="12" width="9.25" style="40" bestFit="1" customWidth="1"/>
    <col min="13" max="16384" width="9" style="40"/>
  </cols>
  <sheetData>
    <row r="1" spans="1:12" ht="38.25">
      <c r="A1" s="363" t="s">
        <v>199</v>
      </c>
      <c r="B1" s="363"/>
      <c r="C1" s="363"/>
      <c r="D1" s="363"/>
      <c r="E1" s="363"/>
      <c r="F1" s="363"/>
      <c r="G1" s="363"/>
      <c r="H1" s="363"/>
      <c r="I1" s="363"/>
      <c r="J1" s="363"/>
    </row>
    <row r="2" spans="1:12">
      <c r="J2" s="44" t="s">
        <v>200</v>
      </c>
    </row>
    <row r="3" spans="1:12" s="38" customFormat="1">
      <c r="A3" s="5" t="s">
        <v>12</v>
      </c>
      <c r="B3" s="5" t="s">
        <v>0</v>
      </c>
      <c r="C3" s="5" t="s">
        <v>26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50</v>
      </c>
      <c r="I3" s="1" t="s">
        <v>179</v>
      </c>
      <c r="J3" s="5" t="s">
        <v>23</v>
      </c>
    </row>
    <row r="4" spans="1:12" s="98" customFormat="1" ht="24" customHeight="1">
      <c r="A4" s="8">
        <f>ROW()-3</f>
        <v>1</v>
      </c>
      <c r="B4" s="8" t="s">
        <v>13</v>
      </c>
      <c r="C4" s="8" t="s">
        <v>27</v>
      </c>
      <c r="D4" s="36"/>
      <c r="E4" s="36">
        <f>D4*200</f>
        <v>0</v>
      </c>
      <c r="F4" s="22">
        <f t="shared" ref="F4:F20" si="0">+E4*0.1</f>
        <v>0</v>
      </c>
      <c r="G4" s="36">
        <f t="shared" ref="G4:G21" si="1">+E4+F4</f>
        <v>0</v>
      </c>
      <c r="H4" s="58">
        <f>G4-SUMIF('2023.01'!$B:$B,B4,'202212'!G:G)</f>
        <v>0</v>
      </c>
      <c r="I4" s="199" t="s">
        <v>175</v>
      </c>
      <c r="J4" s="200"/>
    </row>
    <row r="5" spans="1:12" s="98" customFormat="1" ht="24" customHeight="1">
      <c r="A5" s="14">
        <f t="shared" ref="A5:A23" si="2">ROW()-3</f>
        <v>2</v>
      </c>
      <c r="B5" s="14" t="s">
        <v>5</v>
      </c>
      <c r="C5" s="14" t="s">
        <v>34</v>
      </c>
      <c r="D5" s="15">
        <v>721820</v>
      </c>
      <c r="E5" s="15">
        <v>68212400</v>
      </c>
      <c r="F5" s="18">
        <f t="shared" si="0"/>
        <v>6821240</v>
      </c>
      <c r="G5" s="15">
        <f t="shared" si="1"/>
        <v>75033640</v>
      </c>
      <c r="H5" s="60">
        <f>G5-SUMIF('2023.01'!$B:$B,B5,'202212'!G:G)</f>
        <v>21929490</v>
      </c>
      <c r="I5" s="194" t="s">
        <v>175</v>
      </c>
      <c r="J5" s="16" t="s">
        <v>219</v>
      </c>
    </row>
    <row r="6" spans="1:12" s="98" customFormat="1" ht="24" customHeight="1">
      <c r="A6" s="14">
        <f t="shared" si="2"/>
        <v>3</v>
      </c>
      <c r="B6" s="14" t="s">
        <v>11</v>
      </c>
      <c r="C6" s="14" t="s">
        <v>34</v>
      </c>
      <c r="D6" s="15">
        <v>624450</v>
      </c>
      <c r="E6" s="15">
        <v>69287150</v>
      </c>
      <c r="F6" s="18">
        <f t="shared" si="0"/>
        <v>6928715</v>
      </c>
      <c r="G6" s="15">
        <f t="shared" si="1"/>
        <v>76215865</v>
      </c>
      <c r="H6" s="60">
        <f>G6-SUMIF('2023.01'!$B:$B,B6,'202212'!G:G)</f>
        <v>8951167.5</v>
      </c>
      <c r="I6" s="194" t="s">
        <v>175</v>
      </c>
      <c r="J6" s="116">
        <v>44957</v>
      </c>
    </row>
    <row r="7" spans="1:12" s="98" customFormat="1" ht="24" customHeight="1">
      <c r="A7" s="14">
        <f t="shared" si="2"/>
        <v>4</v>
      </c>
      <c r="B7" s="17" t="s">
        <v>2</v>
      </c>
      <c r="C7" s="17" t="s">
        <v>28</v>
      </c>
      <c r="D7" s="15">
        <v>35610</v>
      </c>
      <c r="E7" s="15">
        <v>3739050</v>
      </c>
      <c r="F7" s="18">
        <f t="shared" si="0"/>
        <v>373905</v>
      </c>
      <c r="G7" s="15">
        <f t="shared" si="1"/>
        <v>4112955</v>
      </c>
      <c r="H7" s="60">
        <f>G7-SUMIF('2023.01'!$B:$B,B7,'202212'!G:G)</f>
        <v>1777655</v>
      </c>
      <c r="I7" s="194" t="s">
        <v>175</v>
      </c>
      <c r="J7" s="116">
        <v>44957</v>
      </c>
    </row>
    <row r="8" spans="1:12" s="98" customFormat="1" ht="24" customHeight="1">
      <c r="A8" s="8">
        <f t="shared" si="2"/>
        <v>5</v>
      </c>
      <c r="B8" s="11" t="s">
        <v>9</v>
      </c>
      <c r="C8" s="11" t="s">
        <v>28</v>
      </c>
      <c r="D8" s="132"/>
      <c r="E8" s="36"/>
      <c r="F8" s="22"/>
      <c r="G8" s="36">
        <f t="shared" si="1"/>
        <v>0</v>
      </c>
      <c r="H8" s="58">
        <f>G8-SUMIF('2023.01'!$B:$B,B8,'202212'!G:G)</f>
        <v>0</v>
      </c>
      <c r="I8" s="199"/>
      <c r="J8" s="37"/>
    </row>
    <row r="9" spans="1:12" s="98" customFormat="1" ht="24" customHeight="1">
      <c r="A9" s="14">
        <f t="shared" si="2"/>
        <v>6</v>
      </c>
      <c r="B9" s="14" t="s">
        <v>1</v>
      </c>
      <c r="C9" s="14" t="s">
        <v>49</v>
      </c>
      <c r="D9" s="212">
        <v>24950</v>
      </c>
      <c r="E9" s="15">
        <v>5485000</v>
      </c>
      <c r="F9" s="18">
        <f>E9*0.1</f>
        <v>548500</v>
      </c>
      <c r="G9" s="15">
        <f t="shared" si="1"/>
        <v>6033500</v>
      </c>
      <c r="H9" s="60">
        <f>G9-SUMIF('2023.01'!$B:$B,B9,'202212'!G:G)</f>
        <v>658900</v>
      </c>
      <c r="I9" s="194" t="s">
        <v>175</v>
      </c>
      <c r="J9" s="225">
        <v>44957</v>
      </c>
    </row>
    <row r="10" spans="1:12" s="98" customFormat="1" ht="24" customHeight="1">
      <c r="A10" s="8">
        <f t="shared" si="2"/>
        <v>7</v>
      </c>
      <c r="B10" s="220" t="s">
        <v>197</v>
      </c>
      <c r="C10" s="220" t="s">
        <v>198</v>
      </c>
      <c r="D10" s="230">
        <v>54590</v>
      </c>
      <c r="E10" s="231">
        <v>1637700</v>
      </c>
      <c r="F10" s="231">
        <f>E10*0.1</f>
        <v>163770</v>
      </c>
      <c r="G10" s="231">
        <f t="shared" si="1"/>
        <v>1801470</v>
      </c>
      <c r="H10" s="232">
        <f>G10-SUMIF('2023.01'!$B:$B,B10,'202212'!G:G)</f>
        <v>3334980</v>
      </c>
      <c r="I10" s="233"/>
      <c r="J10" s="234">
        <v>44957</v>
      </c>
    </row>
    <row r="11" spans="1:12" s="98" customFormat="1" ht="24" customHeight="1">
      <c r="A11" s="14">
        <f t="shared" si="2"/>
        <v>8</v>
      </c>
      <c r="B11" s="14" t="s">
        <v>69</v>
      </c>
      <c r="C11" s="14" t="s">
        <v>46</v>
      </c>
      <c r="D11" s="15">
        <v>16075</v>
      </c>
      <c r="E11" s="15">
        <v>22505000</v>
      </c>
      <c r="F11" s="18">
        <f t="shared" si="0"/>
        <v>2250500</v>
      </c>
      <c r="G11" s="15">
        <f>+E11+F11</f>
        <v>24755500</v>
      </c>
      <c r="H11" s="60">
        <f>G11-SUMIF('2023.01'!$B:$B,B11,'202212'!G:G)</f>
        <v>-4448950</v>
      </c>
      <c r="I11" s="194" t="s">
        <v>175</v>
      </c>
      <c r="J11" s="116">
        <v>44957</v>
      </c>
    </row>
    <row r="12" spans="1:12" s="98" customFormat="1" ht="24" customHeight="1">
      <c r="A12" s="14">
        <f t="shared" si="2"/>
        <v>9</v>
      </c>
      <c r="B12" s="14" t="s">
        <v>7</v>
      </c>
      <c r="C12" s="14" t="s">
        <v>32</v>
      </c>
      <c r="D12" s="15">
        <v>3705</v>
      </c>
      <c r="E12" s="15">
        <v>518700</v>
      </c>
      <c r="F12" s="18">
        <f t="shared" si="0"/>
        <v>51870</v>
      </c>
      <c r="G12" s="15">
        <f t="shared" si="1"/>
        <v>570570</v>
      </c>
      <c r="H12" s="60">
        <f>G12-SUMIF('2023.01'!$B:$B,B12,'202212'!G:G)</f>
        <v>77770</v>
      </c>
      <c r="I12" s="193" t="s">
        <v>193</v>
      </c>
      <c r="J12" s="116">
        <v>44957</v>
      </c>
    </row>
    <row r="13" spans="1:12" s="98" customFormat="1" ht="24" customHeight="1">
      <c r="A13" s="14">
        <f t="shared" si="2"/>
        <v>10</v>
      </c>
      <c r="B13" s="14" t="s">
        <v>206</v>
      </c>
      <c r="C13" s="219" t="s">
        <v>208</v>
      </c>
      <c r="D13" s="15"/>
      <c r="E13" s="15">
        <v>321000</v>
      </c>
      <c r="F13" s="18">
        <f t="shared" si="0"/>
        <v>32100</v>
      </c>
      <c r="G13" s="15">
        <f t="shared" si="1"/>
        <v>353100</v>
      </c>
      <c r="H13" s="60">
        <f>G13-SUMIF('2023.01'!$B:$B,B13,'202212'!G:G)</f>
        <v>-13495460</v>
      </c>
      <c r="I13" s="194" t="s">
        <v>175</v>
      </c>
      <c r="J13" s="116" t="s">
        <v>207</v>
      </c>
    </row>
    <row r="14" spans="1:12" s="98" customFormat="1" ht="24" customHeight="1">
      <c r="A14" s="14">
        <f t="shared" si="2"/>
        <v>11</v>
      </c>
      <c r="B14" s="14" t="s">
        <v>201</v>
      </c>
      <c r="C14" s="14" t="s">
        <v>39</v>
      </c>
      <c r="D14" s="15">
        <v>3624</v>
      </c>
      <c r="E14" s="15">
        <f>D14*1800</f>
        <v>6523200</v>
      </c>
      <c r="F14" s="18">
        <f>+E14*0.1</f>
        <v>652320</v>
      </c>
      <c r="G14" s="15">
        <f>+E14+F14</f>
        <v>7175520</v>
      </c>
      <c r="H14" s="60">
        <f>G14-SUMIF('2023.01'!$B:$B,B14,'202212'!G:G)</f>
        <v>-6673040</v>
      </c>
      <c r="I14" s="194" t="s">
        <v>175</v>
      </c>
      <c r="J14" s="116" t="s">
        <v>211</v>
      </c>
    </row>
    <row r="15" spans="1:12" s="98" customFormat="1" ht="24" customHeight="1">
      <c r="A15" s="14">
        <f t="shared" si="2"/>
        <v>12</v>
      </c>
      <c r="B15" s="14" t="s">
        <v>201</v>
      </c>
      <c r="C15" s="219" t="s">
        <v>208</v>
      </c>
      <c r="D15" s="15"/>
      <c r="E15" s="15">
        <v>1461300</v>
      </c>
      <c r="F15" s="18">
        <f>+E15*0.1</f>
        <v>146130</v>
      </c>
      <c r="G15" s="15">
        <f>+E15+F15</f>
        <v>1607430</v>
      </c>
      <c r="H15" s="60">
        <f>G15-SUMIF('2023.01'!$B:$B,B15,'202212'!G:G)</f>
        <v>-12241130</v>
      </c>
      <c r="I15" s="194" t="s">
        <v>175</v>
      </c>
      <c r="J15" s="116" t="s">
        <v>212</v>
      </c>
    </row>
    <row r="16" spans="1:12" s="98" customFormat="1" ht="24" customHeight="1">
      <c r="A16" s="11">
        <f t="shared" si="2"/>
        <v>13</v>
      </c>
      <c r="B16" s="11" t="s">
        <v>75</v>
      </c>
      <c r="C16" s="11" t="s">
        <v>57</v>
      </c>
      <c r="D16" s="132"/>
      <c r="E16" s="132"/>
      <c r="F16" s="22">
        <f t="shared" si="0"/>
        <v>0</v>
      </c>
      <c r="G16" s="132">
        <f t="shared" si="1"/>
        <v>0</v>
      </c>
      <c r="H16" s="58">
        <f>G16-SUMIF('2023.01'!$B:$B,B16,'202212'!G:G)</f>
        <v>0</v>
      </c>
      <c r="I16" s="199" t="s">
        <v>183</v>
      </c>
      <c r="J16" s="201"/>
      <c r="K16" s="102"/>
      <c r="L16" s="100"/>
    </row>
    <row r="17" spans="1:10" s="98" customFormat="1" ht="24" customHeight="1">
      <c r="A17" s="14">
        <f t="shared" si="2"/>
        <v>14</v>
      </c>
      <c r="B17" s="14" t="s">
        <v>133</v>
      </c>
      <c r="C17" s="14" t="s">
        <v>36</v>
      </c>
      <c r="D17" s="15">
        <v>1235</v>
      </c>
      <c r="E17" s="15">
        <f>1235*500</f>
        <v>617500</v>
      </c>
      <c r="F17" s="18">
        <f t="shared" si="0"/>
        <v>61750</v>
      </c>
      <c r="G17" s="15">
        <f>+E17+F17</f>
        <v>679250</v>
      </c>
      <c r="H17" s="60">
        <f>G17-SUMIF('2023.01'!$B:$B,B17,'202212'!G:G)</f>
        <v>-1034000</v>
      </c>
      <c r="I17" s="194" t="s">
        <v>175</v>
      </c>
      <c r="J17" s="224" t="s">
        <v>213</v>
      </c>
    </row>
    <row r="18" spans="1:10" s="98" customFormat="1" ht="24" customHeight="1">
      <c r="A18" s="14">
        <f t="shared" si="2"/>
        <v>15</v>
      </c>
      <c r="B18" s="14" t="s">
        <v>133</v>
      </c>
      <c r="C18" s="14" t="s">
        <v>36</v>
      </c>
      <c r="D18" s="15">
        <v>965</v>
      </c>
      <c r="E18" s="15">
        <f>965*500</f>
        <v>482500</v>
      </c>
      <c r="F18" s="18">
        <f t="shared" ref="F18:F19" si="3">+E18*0.1</f>
        <v>48250</v>
      </c>
      <c r="G18" s="15">
        <f>+E18+F18</f>
        <v>530750</v>
      </c>
      <c r="H18" s="60">
        <f>G18-SUMIF('2023.01'!$B:$B,B18,'202212'!G:G)</f>
        <v>-1182500</v>
      </c>
      <c r="I18" s="194" t="s">
        <v>175</v>
      </c>
      <c r="J18" s="224" t="s">
        <v>214</v>
      </c>
    </row>
    <row r="19" spans="1:10" s="101" customFormat="1" ht="24" customHeight="1">
      <c r="A19" s="17">
        <f t="shared" si="2"/>
        <v>16</v>
      </c>
      <c r="B19" s="17" t="s">
        <v>91</v>
      </c>
      <c r="C19" s="17" t="s">
        <v>36</v>
      </c>
      <c r="D19" s="18">
        <v>2150</v>
      </c>
      <c r="E19" s="18">
        <f>1075000+482500</f>
        <v>1557500</v>
      </c>
      <c r="F19" s="18">
        <f t="shared" si="3"/>
        <v>155750</v>
      </c>
      <c r="G19" s="107">
        <f t="shared" ref="G19" si="4">+E19+F19</f>
        <v>1713250</v>
      </c>
      <c r="H19" s="60">
        <f>G19-SUMIF('2023.01'!$B:$B,B19,'202212'!G:G)</f>
        <v>-3786750</v>
      </c>
      <c r="I19" s="194" t="s">
        <v>175</v>
      </c>
      <c r="J19" s="173">
        <v>44932</v>
      </c>
    </row>
    <row r="20" spans="1:10" s="101" customFormat="1" ht="24" customHeight="1">
      <c r="A20" s="17">
        <f t="shared" si="2"/>
        <v>17</v>
      </c>
      <c r="B20" s="17" t="s">
        <v>91</v>
      </c>
      <c r="C20" s="17" t="s">
        <v>36</v>
      </c>
      <c r="D20" s="18">
        <v>2395</v>
      </c>
      <c r="E20" s="18">
        <v>1197500</v>
      </c>
      <c r="F20" s="18">
        <f t="shared" si="0"/>
        <v>119750</v>
      </c>
      <c r="G20" s="107">
        <f t="shared" si="1"/>
        <v>1317250</v>
      </c>
      <c r="H20" s="60">
        <f>G20-SUMIF('2023.01'!$B:$B,B20,'202212'!G:G)</f>
        <v>-4182750</v>
      </c>
      <c r="I20" s="194" t="s">
        <v>175</v>
      </c>
      <c r="J20" s="173">
        <v>44957</v>
      </c>
    </row>
    <row r="21" spans="1:10" s="98" customFormat="1" ht="24" customHeight="1">
      <c r="A21" s="17">
        <f t="shared" si="2"/>
        <v>18</v>
      </c>
      <c r="B21" s="17" t="s">
        <v>4</v>
      </c>
      <c r="C21" s="17" t="s">
        <v>30</v>
      </c>
      <c r="D21" s="124"/>
      <c r="E21" s="18">
        <v>5000000</v>
      </c>
      <c r="F21" s="18">
        <f>E21*0.1</f>
        <v>500000</v>
      </c>
      <c r="G21" s="107">
        <f t="shared" si="1"/>
        <v>5500000</v>
      </c>
      <c r="H21" s="60">
        <f>G21-SUMIF('2023.01'!$B:$B,B21,'202212'!G:G)</f>
        <v>5500000</v>
      </c>
      <c r="I21" s="194" t="s">
        <v>175</v>
      </c>
      <c r="J21" s="195">
        <v>44957</v>
      </c>
    </row>
    <row r="22" spans="1:10" s="98" customFormat="1" ht="24" hidden="1" customHeight="1">
      <c r="A22" s="11"/>
      <c r="B22" s="11"/>
      <c r="C22" s="11"/>
      <c r="D22" s="22"/>
      <c r="E22" s="22"/>
      <c r="F22" s="22"/>
      <c r="G22" s="22"/>
      <c r="H22" s="58">
        <f>G22-SUMIF('2022.04'!$B:$B,B22,'2022.04'!G:G)</f>
        <v>0</v>
      </c>
      <c r="I22" s="199"/>
      <c r="J22" s="131"/>
    </row>
    <row r="23" spans="1:10" s="101" customFormat="1" ht="24" hidden="1" customHeight="1">
      <c r="A23" s="129">
        <f t="shared" si="2"/>
        <v>20</v>
      </c>
      <c r="B23" s="129" t="s">
        <v>37</v>
      </c>
      <c r="C23" s="129" t="s">
        <v>47</v>
      </c>
      <c r="D23" s="130"/>
      <c r="E23" s="130"/>
      <c r="F23" s="130"/>
      <c r="G23" s="130">
        <f>+E23+F23</f>
        <v>0</v>
      </c>
      <c r="H23" s="58">
        <f>G23-SUMIF('2022.04'!$B:$B,B23,'2022.04'!G:G)</f>
        <v>0</v>
      </c>
      <c r="I23" s="199"/>
      <c r="J23" s="138"/>
    </row>
    <row r="24" spans="1:10" s="39" customFormat="1" ht="24" customHeight="1">
      <c r="A24" s="364" t="s">
        <v>18</v>
      </c>
      <c r="B24" s="365"/>
      <c r="C24" s="209"/>
      <c r="D24" s="139">
        <f>SUM(D4:D23)</f>
        <v>1491569</v>
      </c>
      <c r="E24" s="139">
        <f>SUM(E4:E23)</f>
        <v>188545500</v>
      </c>
      <c r="F24" s="139">
        <f>SUM(F4:F23)</f>
        <v>18854550</v>
      </c>
      <c r="G24" s="139">
        <f>SUM(G4:G23)</f>
        <v>207400050</v>
      </c>
      <c r="H24" s="203">
        <f>G24-'202212'!H22</f>
        <v>183903417.5</v>
      </c>
      <c r="I24" s="204"/>
      <c r="J24" s="37"/>
    </row>
    <row r="25" spans="1:10">
      <c r="A25" s="40"/>
      <c r="B25" s="40"/>
      <c r="C25" s="40"/>
      <c r="D25" s="205"/>
      <c r="E25" s="205"/>
      <c r="F25" s="205"/>
      <c r="G25" s="205"/>
      <c r="H25" s="205"/>
      <c r="I25" s="205"/>
      <c r="J25" s="40"/>
    </row>
    <row r="26" spans="1:10">
      <c r="A26" s="40"/>
      <c r="B26" s="206" t="s">
        <v>50</v>
      </c>
      <c r="C26" s="40"/>
      <c r="D26" s="205"/>
      <c r="E26" s="207">
        <f>E24-'202212'!E22</f>
        <v>27359775</v>
      </c>
      <c r="F26" s="207">
        <f>F24-'202212'!F22</f>
        <v>2735977.5</v>
      </c>
      <c r="G26" s="207">
        <f>G24-'202212'!G22</f>
        <v>30095752.5</v>
      </c>
      <c r="H26" s="207"/>
      <c r="I26" s="207"/>
      <c r="J26" s="208"/>
    </row>
    <row r="27" spans="1:10">
      <c r="A27" s="40"/>
      <c r="B27" s="40"/>
      <c r="C27" s="40"/>
      <c r="D27" s="40"/>
      <c r="E27" s="205"/>
      <c r="F27" s="205"/>
      <c r="G27" s="205"/>
      <c r="H27" s="205"/>
      <c r="I27" s="205"/>
      <c r="J27" s="40"/>
    </row>
    <row r="28" spans="1:10">
      <c r="A28" s="181" t="s">
        <v>148</v>
      </c>
      <c r="B28" s="182" t="s">
        <v>149</v>
      </c>
      <c r="C28" s="182" t="s">
        <v>151</v>
      </c>
      <c r="D28" s="187">
        <v>600</v>
      </c>
      <c r="E28" s="197">
        <v>1636364</v>
      </c>
      <c r="F28" s="197">
        <f>E28*0.1</f>
        <v>163636.40000000002</v>
      </c>
      <c r="G28" s="184">
        <f>E28+F28</f>
        <v>1800000.4</v>
      </c>
      <c r="H28" s="184">
        <f>G28-'2022.11'!G24</f>
        <v>-2699999.5999999992</v>
      </c>
      <c r="I28" s="194" t="s">
        <v>175</v>
      </c>
      <c r="J28" s="198" t="s">
        <v>217</v>
      </c>
    </row>
    <row r="29" spans="1:10">
      <c r="A29" s="181" t="s">
        <v>148</v>
      </c>
      <c r="B29" s="182" t="s">
        <v>150</v>
      </c>
      <c r="C29" s="182" t="s">
        <v>151</v>
      </c>
      <c r="D29" s="187">
        <v>400</v>
      </c>
      <c r="E29" s="15">
        <v>1090909</v>
      </c>
      <c r="F29" s="185">
        <f>E29*0.1</f>
        <v>109090.90000000001</v>
      </c>
      <c r="G29" s="184">
        <f>E29+F29</f>
        <v>1199999.8999999999</v>
      </c>
      <c r="H29" s="184">
        <f>G29-'2022.11'!G25</f>
        <v>-1800000.1</v>
      </c>
      <c r="I29" s="194" t="s">
        <v>175</v>
      </c>
      <c r="J29" s="198" t="s">
        <v>218</v>
      </c>
    </row>
  </sheetData>
  <autoFilter ref="A3:J3"/>
  <mergeCells count="2">
    <mergeCell ref="A1:J1"/>
    <mergeCell ref="A24:B2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showGridLines="0" workbookViewId="0">
      <pane xSplit="2" ySplit="3" topLeftCell="C19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ColWidth="9" defaultRowHeight="16.5"/>
  <cols>
    <col min="1" max="1" width="7.5" bestFit="1" customWidth="1"/>
    <col min="2" max="2" width="20" customWidth="1"/>
    <col min="3" max="3" width="15.375" bestFit="1" customWidth="1"/>
    <col min="4" max="4" width="12.375" style="2" bestFit="1" customWidth="1"/>
    <col min="5" max="5" width="14.875" style="2" bestFit="1" customWidth="1"/>
    <col min="6" max="6" width="13.625" style="2" bestFit="1" customWidth="1"/>
    <col min="7" max="7" width="14.875" style="2" bestFit="1" customWidth="1"/>
    <col min="8" max="8" width="14.875" style="2" customWidth="1"/>
    <col min="9" max="9" width="10.75" style="2" customWidth="1"/>
    <col min="10" max="10" width="47.375" customWidth="1"/>
    <col min="11" max="11" width="9.5" style="40" bestFit="1" customWidth="1"/>
    <col min="12" max="12" width="9.25" style="40" bestFit="1" customWidth="1"/>
    <col min="13" max="16384" width="9" style="40"/>
  </cols>
  <sheetData>
    <row r="1" spans="1:12" ht="38.25">
      <c r="A1" s="363" t="s">
        <v>191</v>
      </c>
      <c r="B1" s="363"/>
      <c r="C1" s="363"/>
      <c r="D1" s="363"/>
      <c r="E1" s="363"/>
      <c r="F1" s="363"/>
      <c r="G1" s="363"/>
      <c r="H1" s="363"/>
      <c r="I1" s="363"/>
      <c r="J1" s="363"/>
    </row>
    <row r="2" spans="1:12">
      <c r="J2" s="44" t="s">
        <v>192</v>
      </c>
    </row>
    <row r="3" spans="1:12" s="38" customFormat="1">
      <c r="A3" s="5" t="s">
        <v>12</v>
      </c>
      <c r="B3" s="5" t="s">
        <v>0</v>
      </c>
      <c r="C3" s="5" t="s">
        <v>26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50</v>
      </c>
      <c r="I3" s="1" t="s">
        <v>179</v>
      </c>
      <c r="J3" s="5" t="s">
        <v>23</v>
      </c>
    </row>
    <row r="4" spans="1:12" s="98" customFormat="1" ht="24" customHeight="1">
      <c r="A4" s="8">
        <f>ROW()-3</f>
        <v>1</v>
      </c>
      <c r="B4" s="8" t="s">
        <v>13</v>
      </c>
      <c r="C4" s="8" t="s">
        <v>27</v>
      </c>
      <c r="D4" s="36"/>
      <c r="E4" s="36">
        <f>D4*200</f>
        <v>0</v>
      </c>
      <c r="F4" s="22">
        <f t="shared" ref="F4:F18" si="0">+E4*0.1</f>
        <v>0</v>
      </c>
      <c r="G4" s="36">
        <f t="shared" ref="G4:G19" si="1">+E4+F4</f>
        <v>0</v>
      </c>
      <c r="H4" s="58">
        <f>G4-SUMIF('202212'!$B:$B,B4,'2022.11'!G:G)</f>
        <v>-206800</v>
      </c>
      <c r="I4" s="199" t="s">
        <v>175</v>
      </c>
      <c r="J4" s="200"/>
    </row>
    <row r="5" spans="1:12" s="98" customFormat="1" ht="24" customHeight="1">
      <c r="A5" s="14">
        <f t="shared" ref="A5:A21" si="2">ROW()-3</f>
        <v>2</v>
      </c>
      <c r="B5" s="14" t="s">
        <v>5</v>
      </c>
      <c r="C5" s="14" t="s">
        <v>34</v>
      </c>
      <c r="D5" s="15">
        <v>502950</v>
      </c>
      <c r="E5" s="15">
        <v>48276500</v>
      </c>
      <c r="F5" s="18">
        <f t="shared" si="0"/>
        <v>4827650</v>
      </c>
      <c r="G5" s="15">
        <f t="shared" si="1"/>
        <v>53104150</v>
      </c>
      <c r="H5" s="60">
        <f>G5-SUMIF('202212'!$B:$B,B5,'2022.11'!G:G)</f>
        <v>5300185</v>
      </c>
      <c r="I5" s="194" t="s">
        <v>175</v>
      </c>
      <c r="J5" s="16" t="s">
        <v>195</v>
      </c>
    </row>
    <row r="6" spans="1:12" s="98" customFormat="1" ht="24" customHeight="1">
      <c r="A6" s="14">
        <f t="shared" si="2"/>
        <v>3</v>
      </c>
      <c r="B6" s="14" t="s">
        <v>11</v>
      </c>
      <c r="C6" s="14" t="s">
        <v>34</v>
      </c>
      <c r="D6" s="15">
        <v>543565</v>
      </c>
      <c r="E6" s="15">
        <v>61149725</v>
      </c>
      <c r="F6" s="18">
        <f t="shared" si="0"/>
        <v>6114972.5</v>
      </c>
      <c r="G6" s="15">
        <f t="shared" si="1"/>
        <v>67264697.5</v>
      </c>
      <c r="H6" s="60">
        <f>G6-SUMIF('202212'!$B:$B,B6,'2022.11'!G:G)</f>
        <v>8486637.5</v>
      </c>
      <c r="I6" s="194" t="s">
        <v>175</v>
      </c>
      <c r="J6" s="16" t="s">
        <v>195</v>
      </c>
    </row>
    <row r="7" spans="1:12" s="98" customFormat="1" ht="24" customHeight="1">
      <c r="A7" s="14">
        <f t="shared" si="2"/>
        <v>4</v>
      </c>
      <c r="B7" s="17" t="s">
        <v>2</v>
      </c>
      <c r="C7" s="17" t="s">
        <v>28</v>
      </c>
      <c r="D7" s="15">
        <f>12980+7180</f>
        <v>20160</v>
      </c>
      <c r="E7" s="15">
        <v>2123000</v>
      </c>
      <c r="F7" s="18">
        <f t="shared" si="0"/>
        <v>212300</v>
      </c>
      <c r="G7" s="15">
        <f t="shared" si="1"/>
        <v>2335300</v>
      </c>
      <c r="H7" s="60">
        <f>G7-SUMIF('202212'!$B:$B,B7,'2022.11'!G:G)</f>
        <v>495990</v>
      </c>
      <c r="I7" s="194" t="s">
        <v>175</v>
      </c>
      <c r="J7" s="116" t="s">
        <v>194</v>
      </c>
    </row>
    <row r="8" spans="1:12" s="98" customFormat="1" ht="24" customHeight="1">
      <c r="A8" s="8">
        <f t="shared" si="2"/>
        <v>5</v>
      </c>
      <c r="B8" s="11" t="s">
        <v>9</v>
      </c>
      <c r="C8" s="11" t="s">
        <v>28</v>
      </c>
      <c r="D8" s="132"/>
      <c r="E8" s="36"/>
      <c r="F8" s="22"/>
      <c r="G8" s="36">
        <f t="shared" si="1"/>
        <v>0</v>
      </c>
      <c r="H8" s="58">
        <f>G8-SUMIF('202212'!$B:$B,B8,'2022.11'!G:G)</f>
        <v>0</v>
      </c>
      <c r="I8" s="199"/>
      <c r="J8" s="37"/>
    </row>
    <row r="9" spans="1:12" s="98" customFormat="1" ht="24" customHeight="1">
      <c r="A9" s="14">
        <f t="shared" si="2"/>
        <v>6</v>
      </c>
      <c r="B9" s="14" t="s">
        <v>1</v>
      </c>
      <c r="C9" s="14" t="s">
        <v>49</v>
      </c>
      <c r="D9" s="212">
        <v>22230</v>
      </c>
      <c r="E9" s="15">
        <v>4886000</v>
      </c>
      <c r="F9" s="18">
        <f>E9*0.1</f>
        <v>488600</v>
      </c>
      <c r="G9" s="15">
        <f t="shared" si="1"/>
        <v>5374600</v>
      </c>
      <c r="H9" s="60">
        <f>G9-SUMIF('202212'!$B:$B,B9,'2022.11'!G:G)</f>
        <v>5374600</v>
      </c>
      <c r="I9" s="194" t="s">
        <v>175</v>
      </c>
      <c r="J9" s="213"/>
    </row>
    <row r="10" spans="1:12" s="98" customFormat="1" ht="24" customHeight="1">
      <c r="A10" s="8">
        <f t="shared" si="2"/>
        <v>7</v>
      </c>
      <c r="B10" s="8" t="s">
        <v>197</v>
      </c>
      <c r="C10" s="8" t="s">
        <v>198</v>
      </c>
      <c r="D10" s="144"/>
      <c r="E10" s="210">
        <v>-1394100</v>
      </c>
      <c r="F10" s="211">
        <f>E10*0.1</f>
        <v>-139410</v>
      </c>
      <c r="G10" s="210">
        <f t="shared" ref="G10" si="3">+E10+F10</f>
        <v>-1533510</v>
      </c>
      <c r="H10" s="58"/>
      <c r="I10" s="199"/>
      <c r="J10" s="133"/>
    </row>
    <row r="11" spans="1:12" s="98" customFormat="1" ht="24" customHeight="1">
      <c r="A11" s="14">
        <f t="shared" si="2"/>
        <v>8</v>
      </c>
      <c r="B11" s="14" t="s">
        <v>69</v>
      </c>
      <c r="C11" s="14" t="s">
        <v>46</v>
      </c>
      <c r="D11" s="15">
        <v>18310</v>
      </c>
      <c r="E11" s="15">
        <v>26549500</v>
      </c>
      <c r="F11" s="18">
        <f t="shared" si="0"/>
        <v>2654950</v>
      </c>
      <c r="G11" s="15">
        <f>+E11+F11</f>
        <v>29204450</v>
      </c>
      <c r="H11" s="60">
        <f>G11-SUMIF('202212'!$B:$B,B11,'2022.11'!G:G)</f>
        <v>28365150</v>
      </c>
      <c r="I11" s="194" t="s">
        <v>175</v>
      </c>
      <c r="J11" s="116"/>
    </row>
    <row r="12" spans="1:12" s="98" customFormat="1" ht="24" customHeight="1">
      <c r="A12" s="14">
        <f t="shared" si="2"/>
        <v>9</v>
      </c>
      <c r="B12" s="14" t="s">
        <v>7</v>
      </c>
      <c r="C12" s="14" t="s">
        <v>32</v>
      </c>
      <c r="D12" s="15">
        <v>3200</v>
      </c>
      <c r="E12" s="15">
        <v>448000</v>
      </c>
      <c r="F12" s="18">
        <f t="shared" si="0"/>
        <v>44800</v>
      </c>
      <c r="G12" s="15">
        <f t="shared" si="1"/>
        <v>492800</v>
      </c>
      <c r="H12" s="60">
        <f>G12-SUMIF('202212'!$B:$B,B12,'2022.11'!G:G)</f>
        <v>31900</v>
      </c>
      <c r="I12" s="193" t="s">
        <v>193</v>
      </c>
      <c r="J12" s="116">
        <v>44925</v>
      </c>
    </row>
    <row r="13" spans="1:12" s="98" customFormat="1" ht="24" customHeight="1">
      <c r="A13" s="14">
        <f t="shared" si="2"/>
        <v>10</v>
      </c>
      <c r="B13" s="14" t="s">
        <v>201</v>
      </c>
      <c r="C13" s="14" t="s">
        <v>202</v>
      </c>
      <c r="D13" s="15"/>
      <c r="E13" s="15">
        <v>719900</v>
      </c>
      <c r="F13" s="18">
        <f t="shared" si="0"/>
        <v>71990</v>
      </c>
      <c r="G13" s="15">
        <f t="shared" si="1"/>
        <v>791890</v>
      </c>
      <c r="H13" s="60">
        <f>G13-SUMIF('202212'!$B:$B,B13,'2022.11'!G:G)</f>
        <v>-10018140</v>
      </c>
      <c r="I13" s="194" t="s">
        <v>175</v>
      </c>
      <c r="J13" s="116" t="s">
        <v>203</v>
      </c>
    </row>
    <row r="14" spans="1:12" s="98" customFormat="1" ht="24" customHeight="1">
      <c r="A14" s="14">
        <f t="shared" si="2"/>
        <v>11</v>
      </c>
      <c r="B14" s="14" t="s">
        <v>201</v>
      </c>
      <c r="C14" s="14" t="s">
        <v>204</v>
      </c>
      <c r="D14" s="15"/>
      <c r="E14" s="15">
        <v>5436500</v>
      </c>
      <c r="F14" s="18">
        <f>+E14*0.1</f>
        <v>543650</v>
      </c>
      <c r="G14" s="15">
        <f>+E14+F14</f>
        <v>5980150</v>
      </c>
      <c r="H14" s="60">
        <f>G14-SUMIF('202212'!$B:$B,B14,'2022.11'!G:G)</f>
        <v>-4829880</v>
      </c>
      <c r="I14" s="194" t="s">
        <v>175</v>
      </c>
      <c r="J14" s="116" t="s">
        <v>205</v>
      </c>
    </row>
    <row r="15" spans="1:12" s="98" customFormat="1" ht="24" customHeight="1">
      <c r="A15" s="14">
        <f t="shared" si="2"/>
        <v>12</v>
      </c>
      <c r="B15" s="14" t="s">
        <v>201</v>
      </c>
      <c r="C15" s="14" t="s">
        <v>39</v>
      </c>
      <c r="D15" s="15">
        <v>3574</v>
      </c>
      <c r="E15" s="15">
        <f>D15*1800</f>
        <v>6433200</v>
      </c>
      <c r="F15" s="18">
        <f>+E15*0.1</f>
        <v>643320</v>
      </c>
      <c r="G15" s="15">
        <f>+E15+F15</f>
        <v>7076520</v>
      </c>
      <c r="H15" s="60">
        <f>G15-SUMIF('202212'!$B:$B,B15,'2022.11'!G:G)</f>
        <v>-3733510</v>
      </c>
      <c r="I15" s="194" t="s">
        <v>175</v>
      </c>
      <c r="J15" s="116" t="s">
        <v>205</v>
      </c>
    </row>
    <row r="16" spans="1:12" s="98" customFormat="1" ht="24" customHeight="1">
      <c r="A16" s="11">
        <f t="shared" si="2"/>
        <v>13</v>
      </c>
      <c r="B16" s="11" t="s">
        <v>75</v>
      </c>
      <c r="C16" s="11" t="s">
        <v>57</v>
      </c>
      <c r="D16" s="132"/>
      <c r="E16" s="132">
        <f>D16*320</f>
        <v>0</v>
      </c>
      <c r="F16" s="22">
        <f t="shared" si="0"/>
        <v>0</v>
      </c>
      <c r="G16" s="132">
        <f t="shared" si="1"/>
        <v>0</v>
      </c>
      <c r="H16" s="58">
        <f>G16-SUMIF('202212'!$B:$B,B16,'2022.11'!G:G)</f>
        <v>-1347500</v>
      </c>
      <c r="I16" s="199" t="s">
        <v>183</v>
      </c>
      <c r="J16" s="201"/>
      <c r="K16" s="102"/>
      <c r="L16" s="100"/>
    </row>
    <row r="17" spans="1:10" s="98" customFormat="1" ht="24" customHeight="1">
      <c r="A17" s="14">
        <f t="shared" si="2"/>
        <v>14</v>
      </c>
      <c r="B17" s="14" t="s">
        <v>133</v>
      </c>
      <c r="C17" s="14" t="s">
        <v>36</v>
      </c>
      <c r="D17" s="15">
        <v>950</v>
      </c>
      <c r="E17" s="15">
        <v>475000</v>
      </c>
      <c r="F17" s="18">
        <f t="shared" si="0"/>
        <v>47500</v>
      </c>
      <c r="G17" s="15">
        <f>+E17+F17</f>
        <v>522500</v>
      </c>
      <c r="H17" s="60">
        <f>G17-SUMIF('202212'!$B:$B,B17,'2022.11'!G:G)</f>
        <v>-4977500</v>
      </c>
      <c r="I17" s="194" t="s">
        <v>175</v>
      </c>
      <c r="J17" s="172">
        <v>44912</v>
      </c>
    </row>
    <row r="18" spans="1:10" s="101" customFormat="1" ht="24" customHeight="1">
      <c r="A18" s="17">
        <f t="shared" si="2"/>
        <v>15</v>
      </c>
      <c r="B18" s="17" t="s">
        <v>91</v>
      </c>
      <c r="C18" s="17" t="s">
        <v>36</v>
      </c>
      <c r="D18" s="18">
        <v>2165</v>
      </c>
      <c r="E18" s="18">
        <v>1082500</v>
      </c>
      <c r="F18" s="18">
        <f t="shared" si="0"/>
        <v>108250</v>
      </c>
      <c r="G18" s="107">
        <f t="shared" si="1"/>
        <v>1190750</v>
      </c>
      <c r="H18" s="60">
        <f>G18-SUMIF('202212'!$B:$B,B18,'2022.11'!G:G)</f>
        <v>1190750</v>
      </c>
      <c r="I18" s="194" t="s">
        <v>175</v>
      </c>
      <c r="J18" s="173">
        <v>44901</v>
      </c>
    </row>
    <row r="19" spans="1:10" s="98" customFormat="1" ht="24" customHeight="1">
      <c r="A19" s="17">
        <f t="shared" si="2"/>
        <v>16</v>
      </c>
      <c r="B19" s="17" t="s">
        <v>4</v>
      </c>
      <c r="C19" s="17" t="s">
        <v>30</v>
      </c>
      <c r="D19" s="124"/>
      <c r="E19" s="18">
        <v>5000000</v>
      </c>
      <c r="F19" s="18">
        <f>E19*0.1</f>
        <v>500000</v>
      </c>
      <c r="G19" s="107">
        <f t="shared" si="1"/>
        <v>5500000</v>
      </c>
      <c r="H19" s="60">
        <f>G19-SUMIF('202212'!$B:$B,B19,'2022.11'!G:G)</f>
        <v>5500000</v>
      </c>
      <c r="I19" s="194" t="s">
        <v>175</v>
      </c>
      <c r="J19" s="195">
        <v>44925</v>
      </c>
    </row>
    <row r="20" spans="1:10" s="98" customFormat="1" ht="24" hidden="1" customHeight="1">
      <c r="A20" s="11"/>
      <c r="B20" s="11"/>
      <c r="C20" s="11"/>
      <c r="D20" s="22"/>
      <c r="E20" s="22"/>
      <c r="F20" s="22"/>
      <c r="G20" s="22"/>
      <c r="H20" s="58">
        <f>G20-SUMIF('2022.04'!$B:$B,B20,'2022.04'!G:G)</f>
        <v>0</v>
      </c>
      <c r="I20" s="199"/>
      <c r="J20" s="131" t="s">
        <v>16</v>
      </c>
    </row>
    <row r="21" spans="1:10" s="101" customFormat="1" ht="24" hidden="1" customHeight="1">
      <c r="A21" s="129">
        <f t="shared" si="2"/>
        <v>18</v>
      </c>
      <c r="B21" s="129" t="s">
        <v>37</v>
      </c>
      <c r="C21" s="129" t="s">
        <v>47</v>
      </c>
      <c r="D21" s="130"/>
      <c r="E21" s="130"/>
      <c r="F21" s="130"/>
      <c r="G21" s="130">
        <f>+E21+F21</f>
        <v>0</v>
      </c>
      <c r="H21" s="58">
        <f>G21-SUMIF('2022.04'!$B:$B,B21,'2022.04'!G:G)</f>
        <v>0</v>
      </c>
      <c r="I21" s="199"/>
      <c r="J21" s="138" t="s">
        <v>16</v>
      </c>
    </row>
    <row r="22" spans="1:10" s="39" customFormat="1" ht="24" customHeight="1">
      <c r="A22" s="364" t="s">
        <v>18</v>
      </c>
      <c r="B22" s="365"/>
      <c r="C22" s="202"/>
      <c r="D22" s="139">
        <f>SUM(D4:D21)</f>
        <v>1117104</v>
      </c>
      <c r="E22" s="139">
        <f>SUM(E4:E21)</f>
        <v>161185725</v>
      </c>
      <c r="F22" s="139">
        <f>SUM(F4:F21)</f>
        <v>16118572.5</v>
      </c>
      <c r="G22" s="139">
        <f>SUM(G4:G21)</f>
        <v>177304297.5</v>
      </c>
      <c r="H22" s="203">
        <f>G22-'2022.11'!G20</f>
        <v>23496632.5</v>
      </c>
      <c r="I22" s="204"/>
      <c r="J22" s="37"/>
    </row>
    <row r="23" spans="1:10">
      <c r="A23" s="40"/>
      <c r="B23" s="40"/>
      <c r="C23" s="40"/>
      <c r="D23" s="205"/>
      <c r="E23" s="205"/>
      <c r="F23" s="205"/>
      <c r="G23" s="205"/>
      <c r="H23" s="205"/>
      <c r="I23" s="205"/>
      <c r="J23" s="40"/>
    </row>
    <row r="24" spans="1:10">
      <c r="A24" s="40"/>
      <c r="B24" s="206" t="s">
        <v>50</v>
      </c>
      <c r="C24" s="40"/>
      <c r="D24" s="205"/>
      <c r="E24" s="207">
        <f>E22-'2022.11'!E20</f>
        <v>21360575</v>
      </c>
      <c r="F24" s="207">
        <f>F22-'2022.11'!F20</f>
        <v>2136057.5</v>
      </c>
      <c r="G24" s="207">
        <f>G22-'2022.11'!G20</f>
        <v>23496632.5</v>
      </c>
      <c r="H24" s="207"/>
      <c r="I24" s="207"/>
      <c r="J24" s="208"/>
    </row>
    <row r="25" spans="1:10">
      <c r="A25" s="40"/>
      <c r="B25" s="40"/>
      <c r="C25" s="40"/>
      <c r="D25" s="40"/>
      <c r="E25" s="205"/>
      <c r="F25" s="205"/>
      <c r="G25" s="205"/>
      <c r="H25" s="205"/>
      <c r="I25" s="205"/>
      <c r="J25" s="40"/>
    </row>
    <row r="26" spans="1:10">
      <c r="A26" s="181" t="s">
        <v>148</v>
      </c>
      <c r="B26" s="182" t="s">
        <v>149</v>
      </c>
      <c r="C26" s="182" t="s">
        <v>151</v>
      </c>
      <c r="D26" s="187">
        <v>600</v>
      </c>
      <c r="E26" s="197">
        <v>1636363.6363636362</v>
      </c>
      <c r="F26" s="197">
        <v>163636.36363636365</v>
      </c>
      <c r="G26" s="184">
        <f>E26+F26</f>
        <v>1800000</v>
      </c>
      <c r="H26" s="184">
        <f>G26-'2022.11'!G24</f>
        <v>-2699999.9999999991</v>
      </c>
      <c r="I26" s="194" t="s">
        <v>175</v>
      </c>
      <c r="J26" s="198" t="s">
        <v>196</v>
      </c>
    </row>
    <row r="27" spans="1:10">
      <c r="A27" s="181" t="s">
        <v>148</v>
      </c>
      <c r="B27" s="182" t="s">
        <v>150</v>
      </c>
      <c r="C27" s="182" t="s">
        <v>151</v>
      </c>
      <c r="D27" s="187">
        <v>400</v>
      </c>
      <c r="E27" s="15">
        <v>1090909.0909090908</v>
      </c>
      <c r="F27" s="185">
        <v>109090.90909090909</v>
      </c>
      <c r="G27" s="184">
        <f>E27+F27</f>
        <v>1200000</v>
      </c>
      <c r="H27" s="184">
        <f>G27-'2022.11'!G25</f>
        <v>-1800000</v>
      </c>
      <c r="I27" s="194" t="s">
        <v>175</v>
      </c>
      <c r="J27" s="198" t="s">
        <v>196</v>
      </c>
    </row>
  </sheetData>
  <autoFilter ref="A3:J3"/>
  <mergeCells count="2">
    <mergeCell ref="A1:J1"/>
    <mergeCell ref="A22:B2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showGridLines="0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L13" sqref="L13"/>
    </sheetView>
  </sheetViews>
  <sheetFormatPr defaultColWidth="9" defaultRowHeight="16.5"/>
  <cols>
    <col min="1" max="1" width="7.5" bestFit="1" customWidth="1"/>
    <col min="2" max="2" width="20" customWidth="1"/>
    <col min="3" max="3" width="15.375" bestFit="1" customWidth="1"/>
    <col min="4" max="4" width="12.375" style="2" bestFit="1" customWidth="1"/>
    <col min="5" max="5" width="14.875" style="2" bestFit="1" customWidth="1"/>
    <col min="6" max="6" width="13.625" style="2" bestFit="1" customWidth="1"/>
    <col min="7" max="7" width="14.875" style="2" bestFit="1" customWidth="1"/>
    <col min="8" max="8" width="14.875" style="2" customWidth="1"/>
    <col min="9" max="9" width="10.75" style="2" customWidth="1"/>
    <col min="10" max="10" width="47.375" customWidth="1"/>
    <col min="11" max="11" width="9.5" style="40" bestFit="1" customWidth="1"/>
    <col min="12" max="12" width="9.25" style="40" bestFit="1" customWidth="1"/>
    <col min="13" max="16384" width="9" style="40"/>
  </cols>
  <sheetData>
    <row r="1" spans="1:12" ht="38.25">
      <c r="A1" s="363" t="s">
        <v>167</v>
      </c>
      <c r="B1" s="363"/>
      <c r="C1" s="363"/>
      <c r="D1" s="363"/>
      <c r="E1" s="363"/>
      <c r="F1" s="363"/>
      <c r="G1" s="363"/>
      <c r="H1" s="363"/>
      <c r="I1" s="363"/>
      <c r="J1" s="363"/>
    </row>
    <row r="2" spans="1:12">
      <c r="J2" s="44" t="s">
        <v>168</v>
      </c>
    </row>
    <row r="3" spans="1:12" s="38" customFormat="1">
      <c r="A3" s="5" t="s">
        <v>12</v>
      </c>
      <c r="B3" s="5" t="s">
        <v>0</v>
      </c>
      <c r="C3" s="5" t="s">
        <v>26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50</v>
      </c>
      <c r="I3" s="1" t="s">
        <v>179</v>
      </c>
      <c r="J3" s="5" t="s">
        <v>23</v>
      </c>
    </row>
    <row r="4" spans="1:12" s="98" customFormat="1" ht="24" customHeight="1">
      <c r="A4" s="14">
        <f>ROW()-3</f>
        <v>1</v>
      </c>
      <c r="B4" s="14" t="s">
        <v>13</v>
      </c>
      <c r="C4" s="14" t="s">
        <v>27</v>
      </c>
      <c r="D4" s="15">
        <v>940</v>
      </c>
      <c r="E4" s="15">
        <f>D4*200</f>
        <v>188000</v>
      </c>
      <c r="F4" s="18">
        <f t="shared" ref="F4:F16" si="0">+E4*0.1</f>
        <v>18800</v>
      </c>
      <c r="G4" s="15">
        <f t="shared" ref="G4:G17" si="1">+E4+F4</f>
        <v>206800</v>
      </c>
      <c r="H4" s="60">
        <f>G4-SUMIF('2022.11'!$B:$B,B4,'2022.10'!G:G)</f>
        <v>206800</v>
      </c>
      <c r="I4" s="194" t="s">
        <v>175</v>
      </c>
      <c r="J4" s="172">
        <v>44869</v>
      </c>
    </row>
    <row r="5" spans="1:12" s="98" customFormat="1" ht="24" customHeight="1">
      <c r="A5" s="14">
        <f t="shared" ref="A5:A19" si="2">ROW()-3</f>
        <v>2</v>
      </c>
      <c r="B5" s="14" t="s">
        <v>5</v>
      </c>
      <c r="C5" s="14" t="s">
        <v>34</v>
      </c>
      <c r="D5" s="15">
        <v>413450</v>
      </c>
      <c r="E5" s="15">
        <v>43458150</v>
      </c>
      <c r="F5" s="18">
        <f t="shared" si="0"/>
        <v>4345815</v>
      </c>
      <c r="G5" s="15">
        <f t="shared" si="1"/>
        <v>47803965</v>
      </c>
      <c r="H5" s="60">
        <f>G5-SUMIF('2022.11'!$B:$B,B5,'2022.10'!G:G)</f>
        <v>-8665470</v>
      </c>
      <c r="I5" s="194" t="s">
        <v>175</v>
      </c>
      <c r="J5" s="16" t="s">
        <v>187</v>
      </c>
    </row>
    <row r="6" spans="1:12" s="98" customFormat="1" ht="24" customHeight="1">
      <c r="A6" s="14">
        <f t="shared" si="2"/>
        <v>3</v>
      </c>
      <c r="B6" s="14" t="s">
        <v>11</v>
      </c>
      <c r="C6" s="14" t="s">
        <v>34</v>
      </c>
      <c r="D6" s="15">
        <v>464330</v>
      </c>
      <c r="E6" s="15">
        <v>53434600</v>
      </c>
      <c r="F6" s="18">
        <f t="shared" si="0"/>
        <v>5343460</v>
      </c>
      <c r="G6" s="15">
        <f t="shared" si="1"/>
        <v>58778060</v>
      </c>
      <c r="H6" s="60">
        <f>G6-SUMIF('2022.11'!$B:$B,B6,'2022.10'!G:G)</f>
        <v>1678077.5</v>
      </c>
      <c r="I6" s="194" t="s">
        <v>176</v>
      </c>
      <c r="J6" s="16" t="s">
        <v>170</v>
      </c>
    </row>
    <row r="7" spans="1:12" s="98" customFormat="1" ht="24" customHeight="1">
      <c r="A7" s="14">
        <f t="shared" si="2"/>
        <v>4</v>
      </c>
      <c r="B7" s="17" t="s">
        <v>2</v>
      </c>
      <c r="C7" s="17" t="s">
        <v>28</v>
      </c>
      <c r="D7" s="15">
        <v>14540</v>
      </c>
      <c r="E7" s="15">
        <v>1672100</v>
      </c>
      <c r="F7" s="18">
        <f t="shared" si="0"/>
        <v>167210</v>
      </c>
      <c r="G7" s="15">
        <f t="shared" si="1"/>
        <v>1839310</v>
      </c>
      <c r="H7" s="60">
        <f>G7-SUMIF('2022.11'!$B:$B,B7,'2022.10'!G:G)</f>
        <v>-437195</v>
      </c>
      <c r="I7" s="194" t="s">
        <v>175</v>
      </c>
      <c r="J7" s="116" t="s">
        <v>185</v>
      </c>
    </row>
    <row r="8" spans="1:12" s="98" customFormat="1" ht="24" customHeight="1">
      <c r="A8" s="78">
        <f t="shared" si="2"/>
        <v>5</v>
      </c>
      <c r="B8" s="83" t="s">
        <v>9</v>
      </c>
      <c r="C8" s="83" t="s">
        <v>28</v>
      </c>
      <c r="D8" s="88"/>
      <c r="E8" s="79"/>
      <c r="F8" s="80"/>
      <c r="G8" s="79">
        <f t="shared" si="1"/>
        <v>0</v>
      </c>
      <c r="H8" s="81">
        <f>G8-SUMIF('2022.11'!$B:$B,B8,'2022.10'!G:G)</f>
        <v>0</v>
      </c>
      <c r="I8" s="149"/>
      <c r="J8" s="82" t="s">
        <v>188</v>
      </c>
    </row>
    <row r="9" spans="1:12" s="98" customFormat="1" ht="24" customHeight="1">
      <c r="A9" s="78">
        <f t="shared" si="2"/>
        <v>6</v>
      </c>
      <c r="B9" s="78" t="s">
        <v>1</v>
      </c>
      <c r="C9" s="78" t="s">
        <v>49</v>
      </c>
      <c r="D9" s="157"/>
      <c r="E9" s="79"/>
      <c r="F9" s="80">
        <v>0</v>
      </c>
      <c r="G9" s="79">
        <f t="shared" si="1"/>
        <v>0</v>
      </c>
      <c r="H9" s="81">
        <f>G9-SUMIF('2022.11'!$B:$B,B9,'2022.10'!G:G)</f>
        <v>0</v>
      </c>
      <c r="I9" s="149"/>
      <c r="J9" s="112"/>
    </row>
    <row r="10" spans="1:12" s="98" customFormat="1" ht="24" customHeight="1">
      <c r="A10" s="14">
        <f t="shared" si="2"/>
        <v>7</v>
      </c>
      <c r="B10" s="14" t="s">
        <v>69</v>
      </c>
      <c r="C10" s="14" t="s">
        <v>46</v>
      </c>
      <c r="D10" s="15">
        <f>5575+10865</f>
        <v>16440</v>
      </c>
      <c r="E10" s="15">
        <f>8083750+15754250</f>
        <v>23838000</v>
      </c>
      <c r="F10" s="18">
        <f t="shared" si="0"/>
        <v>2383800</v>
      </c>
      <c r="G10" s="15">
        <f>+E10+F10</f>
        <v>26221800</v>
      </c>
      <c r="H10" s="60">
        <f>G10-SUMIF('2022.11'!$B:$B,B10,'2022.10'!G:G)</f>
        <v>2236300</v>
      </c>
      <c r="I10" s="196" t="s">
        <v>189</v>
      </c>
      <c r="J10" s="116">
        <v>44895</v>
      </c>
    </row>
    <row r="11" spans="1:12" s="98" customFormat="1" ht="24" customHeight="1">
      <c r="A11" s="14">
        <f t="shared" si="2"/>
        <v>8</v>
      </c>
      <c r="B11" s="14" t="s">
        <v>7</v>
      </c>
      <c r="C11" s="14" t="s">
        <v>32</v>
      </c>
      <c r="D11" s="15">
        <f>1745+3705</f>
        <v>5450</v>
      </c>
      <c r="E11" s="15">
        <f>518700+244300</f>
        <v>763000</v>
      </c>
      <c r="F11" s="18">
        <f t="shared" si="0"/>
        <v>76300</v>
      </c>
      <c r="G11" s="15">
        <f t="shared" si="1"/>
        <v>839300</v>
      </c>
      <c r="H11" s="60">
        <f>G11-SUMIF('2022.11'!$B:$B,B11,'2022.10'!G:G)</f>
        <v>294140</v>
      </c>
      <c r="I11" s="193" t="s">
        <v>186</v>
      </c>
      <c r="J11" s="116">
        <v>44895</v>
      </c>
    </row>
    <row r="12" spans="1:12" s="98" customFormat="1" ht="24" customHeight="1">
      <c r="A12" s="14">
        <f t="shared" si="2"/>
        <v>9</v>
      </c>
      <c r="B12" s="14" t="s">
        <v>38</v>
      </c>
      <c r="C12" s="14" t="s">
        <v>92</v>
      </c>
      <c r="D12" s="15"/>
      <c r="E12" s="15">
        <v>419000</v>
      </c>
      <c r="F12" s="18">
        <f t="shared" si="0"/>
        <v>41900</v>
      </c>
      <c r="G12" s="15">
        <f t="shared" si="1"/>
        <v>460900</v>
      </c>
      <c r="H12" s="60">
        <f>G12-SUMIF('2022.11'!$B:$B,B12,'2022.10'!G:G)</f>
        <v>-13629055</v>
      </c>
      <c r="I12" s="194" t="s">
        <v>177</v>
      </c>
      <c r="J12" s="116" t="s">
        <v>174</v>
      </c>
    </row>
    <row r="13" spans="1:12" s="98" customFormat="1" ht="24" customHeight="1">
      <c r="A13" s="14">
        <f t="shared" si="2"/>
        <v>10</v>
      </c>
      <c r="B13" s="14" t="s">
        <v>38</v>
      </c>
      <c r="C13" s="14" t="s">
        <v>172</v>
      </c>
      <c r="D13" s="15">
        <v>4100</v>
      </c>
      <c r="E13" s="15">
        <f>D13*1750</f>
        <v>7175000</v>
      </c>
      <c r="F13" s="18">
        <f>+E13*0.1</f>
        <v>717500</v>
      </c>
      <c r="G13" s="15">
        <f>+E13+F13</f>
        <v>7892500</v>
      </c>
      <c r="H13" s="60">
        <f>G13-SUMIF('2022.11'!$B:$B,B13,'2022.10'!G:G)</f>
        <v>-6197455</v>
      </c>
      <c r="I13" s="194" t="s">
        <v>175</v>
      </c>
      <c r="J13" s="116" t="s">
        <v>173</v>
      </c>
    </row>
    <row r="14" spans="1:12" s="98" customFormat="1" ht="24" customHeight="1">
      <c r="A14" s="17">
        <f t="shared" si="2"/>
        <v>11</v>
      </c>
      <c r="B14" s="17" t="s">
        <v>75</v>
      </c>
      <c r="C14" s="17" t="s">
        <v>57</v>
      </c>
      <c r="D14" s="107">
        <v>4890</v>
      </c>
      <c r="E14" s="107">
        <f>D14*320</f>
        <v>1564800</v>
      </c>
      <c r="F14" s="18">
        <f t="shared" si="0"/>
        <v>156480</v>
      </c>
      <c r="G14" s="107">
        <f t="shared" si="1"/>
        <v>1721280</v>
      </c>
      <c r="H14" s="60">
        <f>G14-SUMIF('2022.11'!$B:$B,B14,'2022.10'!G:G)</f>
        <v>116160</v>
      </c>
      <c r="I14" s="194" t="s">
        <v>183</v>
      </c>
      <c r="J14" s="171" t="s">
        <v>184</v>
      </c>
      <c r="K14" s="102"/>
      <c r="L14" s="100"/>
    </row>
    <row r="15" spans="1:12" s="98" customFormat="1" ht="24" customHeight="1">
      <c r="A15" s="14">
        <f t="shared" si="2"/>
        <v>12</v>
      </c>
      <c r="B15" s="14" t="s">
        <v>133</v>
      </c>
      <c r="C15" s="14" t="s">
        <v>36</v>
      </c>
      <c r="D15" s="15">
        <f>1195+980</f>
        <v>2175</v>
      </c>
      <c r="E15" s="15">
        <f>597500+490000</f>
        <v>1087500</v>
      </c>
      <c r="F15" s="18">
        <f>59750+49000</f>
        <v>108750</v>
      </c>
      <c r="G15" s="15">
        <f>+E15+F15</f>
        <v>1196250</v>
      </c>
      <c r="H15" s="60">
        <f>G15-SUMIF('2022.11'!$B:$B,B15,'2022.10'!G:G)</f>
        <v>-2164250</v>
      </c>
      <c r="I15" s="194" t="s">
        <v>178</v>
      </c>
      <c r="J15" s="172" t="s">
        <v>171</v>
      </c>
    </row>
    <row r="16" spans="1:12" s="101" customFormat="1" ht="24" customHeight="1">
      <c r="A16" s="17">
        <f t="shared" si="2"/>
        <v>13</v>
      </c>
      <c r="B16" s="17" t="s">
        <v>91</v>
      </c>
      <c r="C16" s="17" t="s">
        <v>36</v>
      </c>
      <c r="D16" s="18">
        <v>2450</v>
      </c>
      <c r="E16" s="18">
        <v>1225000</v>
      </c>
      <c r="F16" s="18">
        <f t="shared" si="0"/>
        <v>122500</v>
      </c>
      <c r="G16" s="107">
        <f t="shared" si="1"/>
        <v>1347500</v>
      </c>
      <c r="H16" s="60">
        <f>G16-SUMIF('2022.11'!$B:$B,B16,'2022.10'!G:G)</f>
        <v>211750</v>
      </c>
      <c r="I16" s="194" t="s">
        <v>176</v>
      </c>
      <c r="J16" s="173">
        <v>44876</v>
      </c>
    </row>
    <row r="17" spans="1:10" s="98" customFormat="1" ht="24" customHeight="1">
      <c r="A17" s="17">
        <f t="shared" si="2"/>
        <v>14</v>
      </c>
      <c r="B17" s="17" t="s">
        <v>4</v>
      </c>
      <c r="C17" s="17" t="s">
        <v>30</v>
      </c>
      <c r="D17" s="124"/>
      <c r="E17" s="18">
        <v>5000000</v>
      </c>
      <c r="F17" s="18">
        <f>E17*0.1</f>
        <v>500000</v>
      </c>
      <c r="G17" s="107">
        <f t="shared" si="1"/>
        <v>5500000</v>
      </c>
      <c r="H17" s="60">
        <f>G17-SUMIF('2022.11'!$B:$B,B17,'2022.10'!G:G)</f>
        <v>0</v>
      </c>
      <c r="I17" s="194" t="s">
        <v>175</v>
      </c>
      <c r="J17" s="195">
        <v>44895</v>
      </c>
    </row>
    <row r="18" spans="1:10" s="98" customFormat="1" ht="24" hidden="1" customHeight="1">
      <c r="A18" s="83"/>
      <c r="B18" s="83"/>
      <c r="C18" s="83"/>
      <c r="D18" s="80"/>
      <c r="E18" s="80"/>
      <c r="F18" s="80"/>
      <c r="G18" s="80"/>
      <c r="H18" s="81">
        <f>G18-SUMIF('2022.04'!$B:$B,B18,'2022.04'!G:G)</f>
        <v>0</v>
      </c>
      <c r="I18" s="149"/>
      <c r="J18" s="92" t="s">
        <v>16</v>
      </c>
    </row>
    <row r="19" spans="1:10" s="101" customFormat="1" ht="24" hidden="1" customHeight="1">
      <c r="A19" s="84">
        <f t="shared" si="2"/>
        <v>16</v>
      </c>
      <c r="B19" s="84" t="s">
        <v>37</v>
      </c>
      <c r="C19" s="84" t="s">
        <v>47</v>
      </c>
      <c r="D19" s="85"/>
      <c r="E19" s="85"/>
      <c r="F19" s="85"/>
      <c r="G19" s="85">
        <f>+E19+F19</f>
        <v>0</v>
      </c>
      <c r="H19" s="81">
        <f>G19-SUMIF('2022.04'!$B:$B,B19,'2022.04'!G:G)</f>
        <v>0</v>
      </c>
      <c r="I19" s="149"/>
      <c r="J19" s="87" t="s">
        <v>16</v>
      </c>
    </row>
    <row r="20" spans="1:10" s="39" customFormat="1" ht="24" customHeight="1">
      <c r="A20" s="361" t="s">
        <v>18</v>
      </c>
      <c r="B20" s="362"/>
      <c r="C20" s="186"/>
      <c r="D20" s="153">
        <f>SUM(D4:D19)</f>
        <v>928765</v>
      </c>
      <c r="E20" s="153">
        <f>SUM(E4:E19)</f>
        <v>139825150</v>
      </c>
      <c r="F20" s="153">
        <f>SUM(F4:F19)</f>
        <v>13982515</v>
      </c>
      <c r="G20" s="153">
        <f>SUM(G4:G19)</f>
        <v>153807665</v>
      </c>
      <c r="H20" s="170">
        <f>G20-'2022.10'!G20</f>
        <v>-12260242.5</v>
      </c>
      <c r="I20" s="168"/>
      <c r="J20" s="82"/>
    </row>
    <row r="21" spans="1:10">
      <c r="A21" s="162"/>
      <c r="B21" s="162"/>
      <c r="C21" s="162"/>
      <c r="D21" s="163"/>
      <c r="E21" s="163"/>
      <c r="F21" s="163"/>
      <c r="G21" s="163"/>
      <c r="H21" s="163"/>
      <c r="I21" s="163"/>
      <c r="J21" s="162"/>
    </row>
    <row r="22" spans="1:10">
      <c r="A22" s="162"/>
      <c r="B22" s="189" t="s">
        <v>50</v>
      </c>
      <c r="C22" s="162"/>
      <c r="D22" s="163"/>
      <c r="E22" s="190">
        <f>E20-'2022.10'!E20</f>
        <v>-11145675</v>
      </c>
      <c r="F22" s="190">
        <f>F20-'2022.10'!F20</f>
        <v>-1114567.5</v>
      </c>
      <c r="G22" s="190">
        <f>G20-'2022.10'!G20</f>
        <v>-12260242.5</v>
      </c>
      <c r="H22" s="190"/>
      <c r="I22" s="190"/>
      <c r="J22" s="191"/>
    </row>
    <row r="23" spans="1:10">
      <c r="A23" s="162"/>
      <c r="B23" s="162"/>
      <c r="C23" s="162"/>
      <c r="D23" s="162"/>
      <c r="E23" s="163"/>
      <c r="F23" s="163"/>
      <c r="G23" s="163"/>
      <c r="H23" s="163"/>
      <c r="I23" s="163"/>
      <c r="J23" s="162"/>
    </row>
    <row r="24" spans="1:10">
      <c r="A24" s="181" t="s">
        <v>148</v>
      </c>
      <c r="B24" s="182" t="s">
        <v>149</v>
      </c>
      <c r="C24" s="182" t="s">
        <v>151</v>
      </c>
      <c r="D24" s="187">
        <v>1500</v>
      </c>
      <c r="E24" s="197">
        <v>4090909.0909090904</v>
      </c>
      <c r="F24" s="197">
        <v>409090.90909090906</v>
      </c>
      <c r="G24" s="184">
        <f>E24+F24</f>
        <v>4499999.9999999991</v>
      </c>
      <c r="H24" s="184"/>
      <c r="I24" s="194" t="s">
        <v>175</v>
      </c>
      <c r="J24" s="198" t="s">
        <v>190</v>
      </c>
    </row>
    <row r="25" spans="1:10">
      <c r="A25" s="181" t="s">
        <v>148</v>
      </c>
      <c r="B25" s="182" t="s">
        <v>150</v>
      </c>
      <c r="C25" s="182" t="s">
        <v>151</v>
      </c>
      <c r="D25" s="187">
        <v>1000</v>
      </c>
      <c r="E25" s="15">
        <v>2727272.7272727271</v>
      </c>
      <c r="F25" s="185">
        <v>272727.27272727271</v>
      </c>
      <c r="G25" s="184">
        <f>E25+F25</f>
        <v>3000000</v>
      </c>
      <c r="H25" s="184"/>
      <c r="I25" s="194" t="s">
        <v>175</v>
      </c>
      <c r="J25" s="198" t="s">
        <v>190</v>
      </c>
    </row>
  </sheetData>
  <autoFilter ref="A3:J3"/>
  <mergeCells count="2">
    <mergeCell ref="A1:J1"/>
    <mergeCell ref="A20:B2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showGridLines="0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E22" sqref="E22"/>
    </sheetView>
  </sheetViews>
  <sheetFormatPr defaultColWidth="9" defaultRowHeight="16.5"/>
  <cols>
    <col min="1" max="1" width="7.5" bestFit="1" customWidth="1"/>
    <col min="2" max="2" width="20" customWidth="1"/>
    <col min="3" max="3" width="15.375" bestFit="1" customWidth="1"/>
    <col min="4" max="4" width="12.375" style="2" bestFit="1" customWidth="1"/>
    <col min="5" max="5" width="14.875" style="2" bestFit="1" customWidth="1"/>
    <col min="6" max="6" width="13.625" style="2" bestFit="1" customWidth="1"/>
    <col min="7" max="7" width="14.875" style="2" bestFit="1" customWidth="1"/>
    <col min="8" max="8" width="14.875" style="2" customWidth="1"/>
    <col min="9" max="9" width="47.375" customWidth="1"/>
    <col min="10" max="10" width="9" style="40"/>
    <col min="11" max="11" width="9.25" style="40" bestFit="1" customWidth="1"/>
    <col min="12" max="16384" width="9" style="40"/>
  </cols>
  <sheetData>
    <row r="1" spans="1:10" ht="38.25">
      <c r="A1" s="363" t="s">
        <v>159</v>
      </c>
      <c r="B1" s="363"/>
      <c r="C1" s="363"/>
      <c r="D1" s="363"/>
      <c r="E1" s="363"/>
      <c r="F1" s="363"/>
      <c r="G1" s="363"/>
      <c r="H1" s="363"/>
      <c r="I1" s="363"/>
    </row>
    <row r="2" spans="1:10">
      <c r="I2" s="44" t="s">
        <v>164</v>
      </c>
    </row>
    <row r="3" spans="1:10" s="38" customFormat="1">
      <c r="A3" s="5" t="s">
        <v>12</v>
      </c>
      <c r="B3" s="5" t="s">
        <v>0</v>
      </c>
      <c r="C3" s="5" t="s">
        <v>26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50</v>
      </c>
      <c r="I3" s="5" t="s">
        <v>23</v>
      </c>
    </row>
    <row r="4" spans="1:10" s="98" customFormat="1" ht="24" customHeight="1">
      <c r="A4" s="8">
        <f>ROW()-3</f>
        <v>1</v>
      </c>
      <c r="B4" s="8" t="s">
        <v>13</v>
      </c>
      <c r="C4" s="8" t="s">
        <v>27</v>
      </c>
      <c r="D4" s="36"/>
      <c r="E4" s="79"/>
      <c r="F4" s="22">
        <f t="shared" ref="F4:F16" si="0">+E4*0.1</f>
        <v>0</v>
      </c>
      <c r="G4" s="36">
        <f t="shared" ref="G4:G17" si="1">+E4+F4</f>
        <v>0</v>
      </c>
      <c r="H4" s="58">
        <f>G4-SUMIF('2022.10'!$B:$B,B4,'2022.09'!G:G)</f>
        <v>0</v>
      </c>
      <c r="I4" s="37"/>
    </row>
    <row r="5" spans="1:10" s="98" customFormat="1" ht="24" customHeight="1">
      <c r="A5" s="78">
        <f t="shared" ref="A5:A19" si="2">ROW()-3</f>
        <v>2</v>
      </c>
      <c r="B5" s="78" t="s">
        <v>5</v>
      </c>
      <c r="C5" s="78" t="s">
        <v>34</v>
      </c>
      <c r="D5" s="79">
        <v>458180</v>
      </c>
      <c r="E5" s="79">
        <v>51335850</v>
      </c>
      <c r="F5" s="80">
        <f t="shared" si="0"/>
        <v>5133585</v>
      </c>
      <c r="G5" s="79">
        <f t="shared" si="1"/>
        <v>56469435</v>
      </c>
      <c r="H5" s="81">
        <f>G5-SUMIF('2022.10'!$B:$B,B5,'2022.09'!G:G)</f>
        <v>-38273565</v>
      </c>
      <c r="I5" s="82" t="s">
        <v>169</v>
      </c>
    </row>
    <row r="6" spans="1:10" s="98" customFormat="1" ht="24" customHeight="1">
      <c r="A6" s="78">
        <f t="shared" si="2"/>
        <v>3</v>
      </c>
      <c r="B6" s="78" t="s">
        <v>11</v>
      </c>
      <c r="C6" s="78" t="s">
        <v>34</v>
      </c>
      <c r="D6" s="79">
        <v>415670</v>
      </c>
      <c r="E6" s="79">
        <v>51909075</v>
      </c>
      <c r="F6" s="80">
        <f t="shared" si="0"/>
        <v>5190907.5</v>
      </c>
      <c r="G6" s="79">
        <f t="shared" si="1"/>
        <v>57099982.5</v>
      </c>
      <c r="H6" s="81">
        <f>G6-SUMIF('2022.10'!$B:$B,B6,'2022.09'!G:G)</f>
        <v>-23323602.5</v>
      </c>
      <c r="I6" s="82" t="s">
        <v>166</v>
      </c>
    </row>
    <row r="7" spans="1:10" s="98" customFormat="1" ht="24" customHeight="1">
      <c r="A7" s="78">
        <f t="shared" si="2"/>
        <v>4</v>
      </c>
      <c r="B7" s="83" t="s">
        <v>2</v>
      </c>
      <c r="C7" s="83" t="s">
        <v>28</v>
      </c>
      <c r="D7" s="79">
        <f>8000+7630+300+360</f>
        <v>16290</v>
      </c>
      <c r="E7" s="79">
        <v>2069550</v>
      </c>
      <c r="F7" s="80">
        <f t="shared" si="0"/>
        <v>206955</v>
      </c>
      <c r="G7" s="79">
        <f t="shared" si="1"/>
        <v>2276505</v>
      </c>
      <c r="H7" s="81">
        <f>G7-SUMIF('2022.10'!$B:$B,B7,'2022.09'!G:G)</f>
        <v>-1813405</v>
      </c>
      <c r="I7" s="122">
        <v>44865</v>
      </c>
    </row>
    <row r="8" spans="1:10" s="98" customFormat="1" ht="24" customHeight="1">
      <c r="A8" s="78">
        <f t="shared" si="2"/>
        <v>5</v>
      </c>
      <c r="B8" s="83" t="s">
        <v>9</v>
      </c>
      <c r="C8" s="83" t="s">
        <v>28</v>
      </c>
      <c r="D8" s="88"/>
      <c r="E8" s="79"/>
      <c r="F8" s="80"/>
      <c r="G8" s="79">
        <f t="shared" si="1"/>
        <v>0</v>
      </c>
      <c r="H8" s="81">
        <f>G8-SUMIF('2022.10'!$B:$B,B8,'2022.09'!G:G)</f>
        <v>0</v>
      </c>
      <c r="I8" s="82" t="s">
        <v>144</v>
      </c>
    </row>
    <row r="9" spans="1:10" s="98" customFormat="1" ht="24" customHeight="1">
      <c r="A9" s="78">
        <f t="shared" si="2"/>
        <v>6</v>
      </c>
      <c r="B9" s="78" t="s">
        <v>1</v>
      </c>
      <c r="C9" s="78" t="s">
        <v>49</v>
      </c>
      <c r="D9" s="157"/>
      <c r="E9" s="79"/>
      <c r="F9" s="80">
        <v>0</v>
      </c>
      <c r="G9" s="79">
        <f t="shared" si="1"/>
        <v>0</v>
      </c>
      <c r="H9" s="81">
        <f>G9-SUMIF('2022.10'!$B:$B,B9,'2022.09'!G:G)</f>
        <v>0</v>
      </c>
      <c r="I9" s="112" t="s">
        <v>17</v>
      </c>
    </row>
    <row r="10" spans="1:10" s="98" customFormat="1" ht="24" customHeight="1">
      <c r="A10" s="78">
        <f t="shared" si="2"/>
        <v>7</v>
      </c>
      <c r="B10" s="78" t="s">
        <v>69</v>
      </c>
      <c r="C10" s="78" t="s">
        <v>46</v>
      </c>
      <c r="D10" s="79">
        <v>15575</v>
      </c>
      <c r="E10" s="79">
        <v>21805000</v>
      </c>
      <c r="F10" s="80">
        <f t="shared" si="0"/>
        <v>2180500</v>
      </c>
      <c r="G10" s="79">
        <f>+E10+F10</f>
        <v>23985500</v>
      </c>
      <c r="H10" s="81">
        <f>G10-SUMIF('2022.10'!$B:$B,B10,'2022.09'!G:G)</f>
        <v>-5621000</v>
      </c>
      <c r="I10" s="159"/>
    </row>
    <row r="11" spans="1:10" s="98" customFormat="1" ht="24" customHeight="1">
      <c r="A11" s="78">
        <f t="shared" si="2"/>
        <v>8</v>
      </c>
      <c r="B11" s="78" t="s">
        <v>7</v>
      </c>
      <c r="C11" s="78" t="s">
        <v>32</v>
      </c>
      <c r="D11" s="79">
        <v>3540</v>
      </c>
      <c r="E11" s="79">
        <f>D11*140</f>
        <v>495600</v>
      </c>
      <c r="F11" s="80">
        <f t="shared" si="0"/>
        <v>49560</v>
      </c>
      <c r="G11" s="79">
        <f t="shared" si="1"/>
        <v>545160</v>
      </c>
      <c r="H11" s="81">
        <f>G11-SUMIF('2022.10'!$B:$B,B11,'2022.09'!G:G)</f>
        <v>23870</v>
      </c>
      <c r="I11" s="105"/>
    </row>
    <row r="12" spans="1:10" s="98" customFormat="1" ht="24" customHeight="1">
      <c r="A12" s="78">
        <f t="shared" si="2"/>
        <v>9</v>
      </c>
      <c r="B12" s="78" t="s">
        <v>38</v>
      </c>
      <c r="C12" s="78" t="s">
        <v>92</v>
      </c>
      <c r="D12" s="79"/>
      <c r="E12" s="79">
        <f>650000+6626600</f>
        <v>7276600</v>
      </c>
      <c r="F12" s="80">
        <f>65000+662660</f>
        <v>727660</v>
      </c>
      <c r="G12" s="79">
        <f>+E12+F12</f>
        <v>8004260</v>
      </c>
      <c r="H12" s="81">
        <f>G12-SUMIF('2022.10'!$B:$B,B12,'2022.09'!G:G)</f>
        <v>2673110</v>
      </c>
      <c r="I12" s="122" t="s">
        <v>180</v>
      </c>
    </row>
    <row r="13" spans="1:10" s="98" customFormat="1" ht="24" customHeight="1">
      <c r="A13" s="78">
        <f t="shared" si="2"/>
        <v>10</v>
      </c>
      <c r="B13" s="78" t="s">
        <v>38</v>
      </c>
      <c r="C13" s="78" t="s">
        <v>39</v>
      </c>
      <c r="D13" s="79">
        <v>3353</v>
      </c>
      <c r="E13" s="79">
        <f>D13*1650</f>
        <v>5532450</v>
      </c>
      <c r="F13" s="80">
        <f t="shared" si="0"/>
        <v>553245</v>
      </c>
      <c r="G13" s="79">
        <f t="shared" si="1"/>
        <v>6085695</v>
      </c>
      <c r="H13" s="81">
        <f>G13-SUMIF('2022.10'!$B:$B,B13,'2022.09'!G:G)</f>
        <v>754545</v>
      </c>
      <c r="I13" s="122" t="s">
        <v>165</v>
      </c>
    </row>
    <row r="14" spans="1:10" s="98" customFormat="1" ht="24" customHeight="1">
      <c r="A14" s="83">
        <f t="shared" si="2"/>
        <v>11</v>
      </c>
      <c r="B14" s="83" t="s">
        <v>75</v>
      </c>
      <c r="C14" s="83" t="s">
        <v>57</v>
      </c>
      <c r="D14" s="88">
        <v>4560</v>
      </c>
      <c r="E14" s="88">
        <v>1459200</v>
      </c>
      <c r="F14" s="80">
        <f t="shared" si="0"/>
        <v>145920</v>
      </c>
      <c r="G14" s="88">
        <f t="shared" si="1"/>
        <v>1605120</v>
      </c>
      <c r="H14" s="81">
        <f>G14-SUMIF('2022.10'!$B:$B,B14,'2022.09'!G:G)</f>
        <v>-360800</v>
      </c>
      <c r="I14" s="188">
        <v>44847</v>
      </c>
      <c r="J14" s="102"/>
    </row>
    <row r="15" spans="1:10" s="98" customFormat="1" ht="24" customHeight="1">
      <c r="A15" s="78">
        <f t="shared" si="2"/>
        <v>12</v>
      </c>
      <c r="B15" s="78" t="s">
        <v>133</v>
      </c>
      <c r="C15" s="78" t="s">
        <v>36</v>
      </c>
      <c r="D15" s="79">
        <f>1105+1250+1295+1250+1210</f>
        <v>6110</v>
      </c>
      <c r="E15" s="79">
        <f>552500+625000+647500+625000+605000</f>
        <v>3055000</v>
      </c>
      <c r="F15" s="80">
        <f t="shared" si="0"/>
        <v>305500</v>
      </c>
      <c r="G15" s="79">
        <f t="shared" si="1"/>
        <v>3360500</v>
      </c>
      <c r="H15" s="81">
        <f>G15-SUMIF('2022.10'!$B:$B,B15,'2022.09'!G:G)</f>
        <v>2062500</v>
      </c>
      <c r="I15" s="160">
        <v>44865</v>
      </c>
    </row>
    <row r="16" spans="1:10" s="101" customFormat="1" ht="24" customHeight="1">
      <c r="A16" s="83">
        <f t="shared" si="2"/>
        <v>13</v>
      </c>
      <c r="B16" s="83" t="s">
        <v>91</v>
      </c>
      <c r="C16" s="83" t="s">
        <v>36</v>
      </c>
      <c r="D16" s="80">
        <v>2065</v>
      </c>
      <c r="E16" s="80">
        <v>1032500</v>
      </c>
      <c r="F16" s="80">
        <f t="shared" si="0"/>
        <v>103250</v>
      </c>
      <c r="G16" s="88">
        <f t="shared" si="1"/>
        <v>1135750</v>
      </c>
      <c r="H16" s="81">
        <f>G16-SUMIF('2022.10'!$B:$B,B16,'2022.09'!G:G)</f>
        <v>-423500</v>
      </c>
      <c r="I16" s="161">
        <v>44853</v>
      </c>
    </row>
    <row r="17" spans="1:9" s="98" customFormat="1" ht="24" customHeight="1">
      <c r="A17" s="83">
        <f t="shared" si="2"/>
        <v>14</v>
      </c>
      <c r="B17" s="83" t="s">
        <v>4</v>
      </c>
      <c r="C17" s="83" t="s">
        <v>30</v>
      </c>
      <c r="D17" s="154"/>
      <c r="E17" s="80">
        <v>5000000</v>
      </c>
      <c r="F17" s="80">
        <f>E17*0.1</f>
        <v>500000</v>
      </c>
      <c r="G17" s="88">
        <f t="shared" si="1"/>
        <v>5500000</v>
      </c>
      <c r="H17" s="81">
        <f>G17-SUMIF('2022.10'!$B:$B,B17,'2022.09'!G:G)</f>
        <v>0</v>
      </c>
      <c r="I17" s="91"/>
    </row>
    <row r="18" spans="1:9" s="98" customFormat="1" ht="24" hidden="1" customHeight="1">
      <c r="A18" s="83"/>
      <c r="B18" s="83"/>
      <c r="C18" s="83"/>
      <c r="D18" s="80"/>
      <c r="E18" s="80"/>
      <c r="F18" s="80"/>
      <c r="G18" s="80"/>
      <c r="H18" s="81">
        <f>G18-SUMIF('2022.04'!$B:$B,B18,'2022.04'!G:G)</f>
        <v>0</v>
      </c>
      <c r="I18" s="131" t="s">
        <v>16</v>
      </c>
    </row>
    <row r="19" spans="1:9" s="101" customFormat="1" ht="24" hidden="1" customHeight="1">
      <c r="A19" s="84">
        <f t="shared" si="2"/>
        <v>16</v>
      </c>
      <c r="B19" s="84" t="s">
        <v>37</v>
      </c>
      <c r="C19" s="84" t="s">
        <v>47</v>
      </c>
      <c r="D19" s="85"/>
      <c r="E19" s="85"/>
      <c r="F19" s="85"/>
      <c r="G19" s="85">
        <f>+E19+F19</f>
        <v>0</v>
      </c>
      <c r="H19" s="81">
        <f>G19-SUMIF('2022.04'!$B:$B,B19,'2022.04'!G:G)</f>
        <v>0</v>
      </c>
      <c r="I19" s="138" t="s">
        <v>16</v>
      </c>
    </row>
    <row r="20" spans="1:9" s="39" customFormat="1" ht="24" customHeight="1">
      <c r="A20" s="361" t="s">
        <v>18</v>
      </c>
      <c r="B20" s="362"/>
      <c r="C20" s="180"/>
      <c r="D20" s="153">
        <f>SUM(D4:D19)</f>
        <v>925343</v>
      </c>
      <c r="E20" s="153">
        <f>SUM(E4:E19)</f>
        <v>150970825</v>
      </c>
      <c r="F20" s="153">
        <f>SUM(F4:F19)</f>
        <v>15097082.5</v>
      </c>
      <c r="G20" s="153">
        <f>SUM(G4:G19)</f>
        <v>166067907.5</v>
      </c>
      <c r="H20" s="170">
        <f>G20-'2022.09'!G20</f>
        <v>-58970697.5</v>
      </c>
      <c r="I20" s="9"/>
    </row>
    <row r="22" spans="1:9">
      <c r="B22" s="45" t="s">
        <v>50</v>
      </c>
      <c r="E22" s="42">
        <f>E20-'2022.09'!E20</f>
        <v>-53609725</v>
      </c>
      <c r="F22" s="42">
        <f>F20-'2022.09'!F20</f>
        <v>-5360972.5</v>
      </c>
      <c r="G22" s="42">
        <f>G20-'2022.09'!G20</f>
        <v>-58970697.5</v>
      </c>
      <c r="H22" s="42"/>
      <c r="I22" s="41"/>
    </row>
    <row r="23" spans="1:9">
      <c r="D23"/>
    </row>
    <row r="24" spans="1:9">
      <c r="A24" s="181" t="s">
        <v>148</v>
      </c>
      <c r="B24" s="182" t="s">
        <v>149</v>
      </c>
      <c r="C24" s="182" t="s">
        <v>151</v>
      </c>
      <c r="D24" s="187">
        <v>1200</v>
      </c>
      <c r="E24" s="184">
        <v>3272727</v>
      </c>
      <c r="F24" s="184">
        <f>E24*0.1</f>
        <v>327272.7</v>
      </c>
      <c r="G24" s="184">
        <f>E24+F24</f>
        <v>3599999.7</v>
      </c>
      <c r="H24" s="184"/>
      <c r="I24" s="172">
        <v>44865</v>
      </c>
    </row>
    <row r="25" spans="1:9">
      <c r="A25" s="181" t="s">
        <v>148</v>
      </c>
      <c r="B25" s="182" t="s">
        <v>150</v>
      </c>
      <c r="C25" s="182" t="s">
        <v>151</v>
      </c>
      <c r="D25" s="187">
        <v>800</v>
      </c>
      <c r="E25" s="15">
        <v>2181818</v>
      </c>
      <c r="F25" s="185">
        <f>E25*0.1</f>
        <v>218181.80000000002</v>
      </c>
      <c r="G25" s="184">
        <f>E25+F25</f>
        <v>2399999.7999999998</v>
      </c>
      <c r="H25" s="183"/>
      <c r="I25" s="172">
        <v>44865</v>
      </c>
    </row>
  </sheetData>
  <autoFilter ref="A3:I3"/>
  <mergeCells count="2">
    <mergeCell ref="A1:I1"/>
    <mergeCell ref="A20:B2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showGridLines="0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G22" sqref="G22"/>
    </sheetView>
  </sheetViews>
  <sheetFormatPr defaultColWidth="9" defaultRowHeight="16.5"/>
  <cols>
    <col min="1" max="1" width="7.5" bestFit="1" customWidth="1"/>
    <col min="2" max="2" width="20" customWidth="1"/>
    <col min="3" max="3" width="15.375" bestFit="1" customWidth="1"/>
    <col min="4" max="4" width="12.375" style="2" bestFit="1" customWidth="1"/>
    <col min="5" max="5" width="14.875" style="2" bestFit="1" customWidth="1"/>
    <col min="6" max="6" width="13.625" style="2" bestFit="1" customWidth="1"/>
    <col min="7" max="7" width="14.875" style="2" bestFit="1" customWidth="1"/>
    <col min="8" max="8" width="14.875" style="2" customWidth="1"/>
    <col min="9" max="9" width="47.375" customWidth="1"/>
    <col min="10" max="16384" width="9" style="40"/>
  </cols>
  <sheetData>
    <row r="1" spans="1:10" ht="38.25">
      <c r="A1" s="363" t="s">
        <v>155</v>
      </c>
      <c r="B1" s="363"/>
      <c r="C1" s="363"/>
      <c r="D1" s="363"/>
      <c r="E1" s="363"/>
      <c r="F1" s="363"/>
      <c r="G1" s="363"/>
      <c r="H1" s="363"/>
      <c r="I1" s="363"/>
    </row>
    <row r="2" spans="1:10">
      <c r="I2" s="44" t="s">
        <v>162</v>
      </c>
    </row>
    <row r="3" spans="1:10" s="38" customFormat="1">
      <c r="A3" s="5" t="s">
        <v>12</v>
      </c>
      <c r="B3" s="5" t="s">
        <v>0</v>
      </c>
      <c r="C3" s="5" t="s">
        <v>26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50</v>
      </c>
      <c r="I3" s="5" t="s">
        <v>23</v>
      </c>
    </row>
    <row r="4" spans="1:10" s="98" customFormat="1" ht="24" customHeight="1">
      <c r="A4" s="8">
        <f>ROW()-3</f>
        <v>1</v>
      </c>
      <c r="B4" s="8" t="s">
        <v>13</v>
      </c>
      <c r="C4" s="8" t="s">
        <v>27</v>
      </c>
      <c r="D4" s="36"/>
      <c r="E4" s="79"/>
      <c r="F4" s="22">
        <f t="shared" ref="F4:F16" si="0">+E4*0.1</f>
        <v>0</v>
      </c>
      <c r="G4" s="36">
        <f t="shared" ref="G4:G17" si="1">+E4+F4</f>
        <v>0</v>
      </c>
      <c r="H4" s="58">
        <f>G4-SUMIF('2022.09'!$B:$B,B4,'2022.08'!G:G)</f>
        <v>0</v>
      </c>
      <c r="I4" s="37"/>
    </row>
    <row r="5" spans="1:10" s="98" customFormat="1" ht="24" customHeight="1">
      <c r="A5" s="78">
        <f t="shared" ref="A5:A19" si="2">ROW()-3</f>
        <v>2</v>
      </c>
      <c r="B5" s="78" t="s">
        <v>5</v>
      </c>
      <c r="C5" s="78" t="s">
        <v>34</v>
      </c>
      <c r="D5" s="79">
        <v>717750</v>
      </c>
      <c r="E5" s="79">
        <v>86130000</v>
      </c>
      <c r="F5" s="80">
        <f t="shared" si="0"/>
        <v>8613000</v>
      </c>
      <c r="G5" s="79">
        <f t="shared" si="1"/>
        <v>94743000</v>
      </c>
      <c r="H5" s="81">
        <f>G5-SUMIF('2022.09'!$B:$B,B5,'2022.08'!G:G)</f>
        <v>7532360</v>
      </c>
      <c r="I5" s="192" t="s">
        <v>163</v>
      </c>
    </row>
    <row r="6" spans="1:10" s="98" customFormat="1" ht="24" customHeight="1">
      <c r="A6" s="78">
        <f t="shared" si="2"/>
        <v>3</v>
      </c>
      <c r="B6" s="78" t="s">
        <v>11</v>
      </c>
      <c r="C6" s="78" t="s">
        <v>34</v>
      </c>
      <c r="D6" s="79">
        <v>572230</v>
      </c>
      <c r="E6" s="79">
        <v>73112350</v>
      </c>
      <c r="F6" s="80">
        <f t="shared" si="0"/>
        <v>7311235</v>
      </c>
      <c r="G6" s="79">
        <f t="shared" si="1"/>
        <v>80423585</v>
      </c>
      <c r="H6" s="81">
        <f>G6-SUMIF('2022.09'!$B:$B,B6,'2022.08'!G:G)</f>
        <v>4767180</v>
      </c>
      <c r="I6" s="82" t="s">
        <v>157</v>
      </c>
    </row>
    <row r="7" spans="1:10" s="98" customFormat="1" ht="24" customHeight="1">
      <c r="A7" s="78">
        <f t="shared" si="2"/>
        <v>4</v>
      </c>
      <c r="B7" s="83" t="s">
        <v>2</v>
      </c>
      <c r="C7" s="83" t="s">
        <v>28</v>
      </c>
      <c r="D7" s="79">
        <v>26890</v>
      </c>
      <c r="E7" s="79">
        <v>3718100</v>
      </c>
      <c r="F7" s="80">
        <f t="shared" si="0"/>
        <v>371810</v>
      </c>
      <c r="G7" s="79">
        <f t="shared" si="1"/>
        <v>4089910</v>
      </c>
      <c r="H7" s="81">
        <f>G7-SUMIF('2022.09'!$B:$B,B7,'2022.08'!G:G)</f>
        <v>-824560</v>
      </c>
      <c r="I7" s="122">
        <v>44834</v>
      </c>
    </row>
    <row r="8" spans="1:10" s="98" customFormat="1" ht="24" customHeight="1">
      <c r="A8" s="78">
        <f t="shared" si="2"/>
        <v>5</v>
      </c>
      <c r="B8" s="83" t="s">
        <v>9</v>
      </c>
      <c r="C8" s="83" t="s">
        <v>28</v>
      </c>
      <c r="D8" s="88"/>
      <c r="E8" s="79">
        <f>D8</f>
        <v>0</v>
      </c>
      <c r="F8" s="80"/>
      <c r="G8" s="79">
        <f t="shared" si="1"/>
        <v>0</v>
      </c>
      <c r="H8" s="81">
        <f>G8-SUMIF('2022.09'!$B:$B,B8,'2022.08'!G:G)</f>
        <v>0</v>
      </c>
      <c r="I8" s="82" t="s">
        <v>144</v>
      </c>
    </row>
    <row r="9" spans="1:10" s="98" customFormat="1" ht="24" customHeight="1">
      <c r="A9" s="78">
        <f t="shared" si="2"/>
        <v>6</v>
      </c>
      <c r="B9" s="78" t="s">
        <v>1</v>
      </c>
      <c r="C9" s="78" t="s">
        <v>49</v>
      </c>
      <c r="D9" s="157"/>
      <c r="E9" s="79">
        <f>D9</f>
        <v>0</v>
      </c>
      <c r="F9" s="80">
        <v>0</v>
      </c>
      <c r="G9" s="79">
        <f t="shared" si="1"/>
        <v>0</v>
      </c>
      <c r="H9" s="81">
        <f>G9-SUMIF('2022.09'!$B:$B,B9,'2022.08'!G:G)</f>
        <v>0</v>
      </c>
      <c r="I9" s="112" t="s">
        <v>17</v>
      </c>
    </row>
    <row r="10" spans="1:10" s="98" customFormat="1" ht="24" customHeight="1">
      <c r="A10" s="78">
        <f t="shared" si="2"/>
        <v>7</v>
      </c>
      <c r="B10" s="78" t="s">
        <v>69</v>
      </c>
      <c r="C10" s="78" t="s">
        <v>46</v>
      </c>
      <c r="D10" s="79">
        <v>19225</v>
      </c>
      <c r="E10" s="79">
        <f>D10*1400</f>
        <v>26915000</v>
      </c>
      <c r="F10" s="80">
        <f t="shared" si="0"/>
        <v>2691500</v>
      </c>
      <c r="G10" s="79">
        <f>+E10+F10</f>
        <v>29606500</v>
      </c>
      <c r="H10" s="81">
        <f>G10-SUMIF('2022.09'!$B:$B,B10,'2022.08'!G:G)</f>
        <v>3797750</v>
      </c>
      <c r="I10" s="159" t="s">
        <v>99</v>
      </c>
    </row>
    <row r="11" spans="1:10" s="98" customFormat="1" ht="24" customHeight="1">
      <c r="A11" s="78">
        <f t="shared" si="2"/>
        <v>8</v>
      </c>
      <c r="B11" s="78" t="s">
        <v>7</v>
      </c>
      <c r="C11" s="78" t="s">
        <v>32</v>
      </c>
      <c r="D11" s="79">
        <v>3385</v>
      </c>
      <c r="E11" s="79">
        <v>473900</v>
      </c>
      <c r="F11" s="80">
        <f t="shared" si="0"/>
        <v>47390</v>
      </c>
      <c r="G11" s="79">
        <f t="shared" si="1"/>
        <v>521290</v>
      </c>
      <c r="H11" s="81">
        <f>G11-SUMIF('2022.09'!$B:$B,B11,'2022.08'!G:G)</f>
        <v>-17710</v>
      </c>
      <c r="I11" s="105"/>
    </row>
    <row r="12" spans="1:10" s="98" customFormat="1" ht="24" customHeight="1">
      <c r="A12" s="78">
        <f t="shared" si="2"/>
        <v>9</v>
      </c>
      <c r="B12" s="78" t="s">
        <v>38</v>
      </c>
      <c r="C12" s="78" t="s">
        <v>92</v>
      </c>
      <c r="D12" s="79"/>
      <c r="E12" s="79">
        <f>1476800+169700</f>
        <v>1646500</v>
      </c>
      <c r="F12" s="80">
        <f>147680+16970</f>
        <v>164650</v>
      </c>
      <c r="G12" s="79">
        <f t="shared" si="1"/>
        <v>1811150</v>
      </c>
      <c r="H12" s="81">
        <f>G12-SUMIF('2022.09'!$B:$B,B12,'2022.08'!G:G)</f>
        <v>-13856920</v>
      </c>
      <c r="I12" s="122" t="s">
        <v>181</v>
      </c>
    </row>
    <row r="13" spans="1:10" s="98" customFormat="1" ht="24" customHeight="1">
      <c r="A13" s="78">
        <f t="shared" si="2"/>
        <v>10</v>
      </c>
      <c r="B13" s="78" t="s">
        <v>38</v>
      </c>
      <c r="C13" s="78" t="s">
        <v>39</v>
      </c>
      <c r="D13" s="79">
        <v>2000</v>
      </c>
      <c r="E13" s="79">
        <f>D13*1600</f>
        <v>3200000</v>
      </c>
      <c r="F13" s="80">
        <f t="shared" si="0"/>
        <v>320000</v>
      </c>
      <c r="G13" s="79">
        <f t="shared" si="1"/>
        <v>3520000</v>
      </c>
      <c r="H13" s="81">
        <f>G13-SUMIF('2022.09'!$B:$B,B13,'2022.08'!G:G)</f>
        <v>-12148070</v>
      </c>
      <c r="I13" s="122" t="s">
        <v>156</v>
      </c>
    </row>
    <row r="14" spans="1:10" s="98" customFormat="1" ht="24" customHeight="1">
      <c r="A14" s="83">
        <f t="shared" si="2"/>
        <v>11</v>
      </c>
      <c r="B14" s="83" t="s">
        <v>75</v>
      </c>
      <c r="C14" s="83" t="s">
        <v>57</v>
      </c>
      <c r="D14" s="88">
        <v>5585</v>
      </c>
      <c r="E14" s="88">
        <f>D14*320</f>
        <v>1787200</v>
      </c>
      <c r="F14" s="80">
        <f t="shared" si="0"/>
        <v>178720</v>
      </c>
      <c r="G14" s="88">
        <f t="shared" si="1"/>
        <v>1965920</v>
      </c>
      <c r="H14" s="81">
        <f>G14-SUMIF('2022.09'!$B:$B,B14,'2022.08'!G:G)</f>
        <v>286880</v>
      </c>
      <c r="I14" s="188" t="s">
        <v>161</v>
      </c>
      <c r="J14" s="102"/>
    </row>
    <row r="15" spans="1:10" s="98" customFormat="1" ht="24" customHeight="1">
      <c r="A15" s="78">
        <f t="shared" si="2"/>
        <v>12</v>
      </c>
      <c r="B15" s="78" t="s">
        <v>133</v>
      </c>
      <c r="C15" s="78" t="s">
        <v>36</v>
      </c>
      <c r="D15" s="79">
        <f>1315+1045</f>
        <v>2360</v>
      </c>
      <c r="E15" s="79">
        <f>657500+522500</f>
        <v>1180000</v>
      </c>
      <c r="F15" s="80">
        <f t="shared" si="0"/>
        <v>118000</v>
      </c>
      <c r="G15" s="79">
        <f t="shared" si="1"/>
        <v>1298000</v>
      </c>
      <c r="H15" s="81">
        <f>G15-SUMIF('2022.09'!$B:$B,B15,'2022.08'!G:G)</f>
        <v>-390500</v>
      </c>
      <c r="I15" s="160">
        <v>44818</v>
      </c>
    </row>
    <row r="16" spans="1:10" s="101" customFormat="1" ht="24" customHeight="1">
      <c r="A16" s="83">
        <f t="shared" si="2"/>
        <v>13</v>
      </c>
      <c r="B16" s="83" t="s">
        <v>91</v>
      </c>
      <c r="C16" s="83" t="s">
        <v>36</v>
      </c>
      <c r="D16" s="80">
        <v>2835</v>
      </c>
      <c r="E16" s="80">
        <f>D16*500</f>
        <v>1417500</v>
      </c>
      <c r="F16" s="80">
        <f t="shared" si="0"/>
        <v>141750</v>
      </c>
      <c r="G16" s="88">
        <f t="shared" si="1"/>
        <v>1559250</v>
      </c>
      <c r="H16" s="81">
        <f>G16-SUMIF('2022.09'!$B:$B,B16,'2022.08'!G:G)</f>
        <v>610500</v>
      </c>
      <c r="I16" s="161">
        <v>44831</v>
      </c>
    </row>
    <row r="17" spans="1:9" s="98" customFormat="1" ht="24" customHeight="1">
      <c r="A17" s="83">
        <f t="shared" si="2"/>
        <v>14</v>
      </c>
      <c r="B17" s="83" t="s">
        <v>4</v>
      </c>
      <c r="C17" s="83" t="s">
        <v>30</v>
      </c>
      <c r="D17" s="154"/>
      <c r="E17" s="154">
        <v>5000000</v>
      </c>
      <c r="F17" s="154">
        <f>E17*0.1</f>
        <v>500000</v>
      </c>
      <c r="G17" s="153">
        <f t="shared" si="1"/>
        <v>5500000</v>
      </c>
      <c r="H17" s="81">
        <f>G17-SUMIF('2022.09'!$B:$B,B17,'2022.08'!G:G)</f>
        <v>0</v>
      </c>
      <c r="I17" s="91" t="s">
        <v>160</v>
      </c>
    </row>
    <row r="18" spans="1:9" s="98" customFormat="1" ht="24" hidden="1" customHeight="1">
      <c r="A18" s="83"/>
      <c r="B18" s="83"/>
      <c r="C18" s="83"/>
      <c r="D18" s="80"/>
      <c r="E18" s="80"/>
      <c r="F18" s="80"/>
      <c r="G18" s="80"/>
      <c r="H18" s="81">
        <f>G18-SUMIF('2022.04'!$B:$B,B18,'2022.04'!G:G)</f>
        <v>0</v>
      </c>
      <c r="I18" s="131" t="s">
        <v>16</v>
      </c>
    </row>
    <row r="19" spans="1:9" s="101" customFormat="1" ht="24" hidden="1" customHeight="1">
      <c r="A19" s="84">
        <f t="shared" si="2"/>
        <v>16</v>
      </c>
      <c r="B19" s="84" t="s">
        <v>37</v>
      </c>
      <c r="C19" s="84" t="s">
        <v>47</v>
      </c>
      <c r="D19" s="85"/>
      <c r="E19" s="85"/>
      <c r="F19" s="85"/>
      <c r="G19" s="85">
        <f>+E19+F19</f>
        <v>0</v>
      </c>
      <c r="H19" s="81">
        <f>G19-SUMIF('2022.04'!$B:$B,B19,'2022.04'!G:G)</f>
        <v>0</v>
      </c>
      <c r="I19" s="138" t="s">
        <v>16</v>
      </c>
    </row>
    <row r="20" spans="1:9" s="39" customFormat="1" ht="24" customHeight="1">
      <c r="A20" s="361" t="s">
        <v>18</v>
      </c>
      <c r="B20" s="362"/>
      <c r="C20" s="179"/>
      <c r="D20" s="153">
        <f>SUM(D4:D19)</f>
        <v>1352260</v>
      </c>
      <c r="E20" s="153">
        <f>SUM(E4:E19)</f>
        <v>204580550</v>
      </c>
      <c r="F20" s="153">
        <f>SUM(F4:F19)</f>
        <v>20458055</v>
      </c>
      <c r="G20" s="153">
        <f>SUM(G4:G19)</f>
        <v>225038605</v>
      </c>
      <c r="H20" s="170">
        <f>G20-'2022.08'!G20</f>
        <v>5424980</v>
      </c>
      <c r="I20" s="9"/>
    </row>
    <row r="22" spans="1:9">
      <c r="B22" s="45" t="s">
        <v>50</v>
      </c>
      <c r="E22" s="42">
        <f>E20-'2022.08'!E20</f>
        <v>4931800</v>
      </c>
      <c r="F22" s="42">
        <f>F20-'2022.08'!F20</f>
        <v>493180</v>
      </c>
      <c r="G22" s="42">
        <f>G20-'2022.08'!G20</f>
        <v>5424980</v>
      </c>
      <c r="H22" s="42"/>
      <c r="I22" s="41"/>
    </row>
    <row r="23" spans="1:9">
      <c r="D23"/>
    </row>
    <row r="24" spans="1:9">
      <c r="A24" s="181" t="s">
        <v>148</v>
      </c>
      <c r="B24" s="182" t="s">
        <v>149</v>
      </c>
      <c r="C24" s="182" t="s">
        <v>151</v>
      </c>
      <c r="D24" s="183">
        <v>600</v>
      </c>
      <c r="E24" s="184">
        <v>1636363.6363636362</v>
      </c>
      <c r="F24" s="184">
        <v>163636.36363636365</v>
      </c>
      <c r="G24" s="184">
        <v>1800000</v>
      </c>
      <c r="H24" s="184">
        <f>'2022.08'!G24</f>
        <v>1800000.4</v>
      </c>
      <c r="I24" s="182" t="s">
        <v>158</v>
      </c>
    </row>
    <row r="25" spans="1:9">
      <c r="A25" s="181" t="s">
        <v>148</v>
      </c>
      <c r="B25" s="182" t="s">
        <v>150</v>
      </c>
      <c r="C25" s="182" t="s">
        <v>152</v>
      </c>
      <c r="D25" s="183">
        <v>400</v>
      </c>
      <c r="E25" s="15">
        <v>1090909.0909090908</v>
      </c>
      <c r="F25" s="185">
        <v>109090.90909090909</v>
      </c>
      <c r="G25" s="184">
        <v>1200000</v>
      </c>
      <c r="H25" s="184">
        <f>'2022.08'!G25</f>
        <v>1199999.8999999999</v>
      </c>
      <c r="I25" s="182" t="s">
        <v>158</v>
      </c>
    </row>
  </sheetData>
  <autoFilter ref="A3:I3"/>
  <mergeCells count="2">
    <mergeCell ref="A1:I1"/>
    <mergeCell ref="A20:B2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showGridLines="0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G22" sqref="G22"/>
    </sheetView>
  </sheetViews>
  <sheetFormatPr defaultColWidth="9" defaultRowHeight="16.5"/>
  <cols>
    <col min="1" max="1" width="7.5" bestFit="1" customWidth="1"/>
    <col min="2" max="2" width="20" customWidth="1"/>
    <col min="3" max="3" width="15.375" bestFit="1" customWidth="1"/>
    <col min="4" max="4" width="12.375" style="2" bestFit="1" customWidth="1"/>
    <col min="5" max="5" width="14.875" style="2" bestFit="1" customWidth="1"/>
    <col min="6" max="6" width="13.625" style="2" bestFit="1" customWidth="1"/>
    <col min="7" max="7" width="14.875" style="2" bestFit="1" customWidth="1"/>
    <col min="8" max="8" width="14.875" style="2" customWidth="1"/>
    <col min="9" max="9" width="47.375" customWidth="1"/>
    <col min="10" max="16384" width="9" style="40"/>
  </cols>
  <sheetData>
    <row r="1" spans="1:10" ht="38.25">
      <c r="A1" s="363" t="s">
        <v>141</v>
      </c>
      <c r="B1" s="363"/>
      <c r="C1" s="363"/>
      <c r="D1" s="363"/>
      <c r="E1" s="363"/>
      <c r="F1" s="363"/>
      <c r="G1" s="363"/>
      <c r="H1" s="363"/>
      <c r="I1" s="363"/>
    </row>
    <row r="2" spans="1:10">
      <c r="I2" s="44" t="s">
        <v>142</v>
      </c>
    </row>
    <row r="3" spans="1:10" s="38" customFormat="1">
      <c r="A3" s="5" t="s">
        <v>12</v>
      </c>
      <c r="B3" s="5" t="s">
        <v>0</v>
      </c>
      <c r="C3" s="5" t="s">
        <v>26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50</v>
      </c>
      <c r="I3" s="5" t="s">
        <v>23</v>
      </c>
    </row>
    <row r="4" spans="1:10" s="98" customFormat="1" ht="24" customHeight="1">
      <c r="A4" s="8">
        <f>ROW()-3</f>
        <v>1</v>
      </c>
      <c r="B4" s="8" t="s">
        <v>13</v>
      </c>
      <c r="C4" s="8" t="s">
        <v>27</v>
      </c>
      <c r="D4" s="36"/>
      <c r="E4" s="79"/>
      <c r="F4" s="22">
        <f t="shared" ref="F4:F16" si="0">+E4*0.1</f>
        <v>0</v>
      </c>
      <c r="G4" s="36">
        <f t="shared" ref="G4:G17" si="1">+E4+F4</f>
        <v>0</v>
      </c>
      <c r="H4" s="58">
        <f>G4-SUMIF('2022.07'!$B:$B,B4,'2022.06'!G:G)</f>
        <v>0</v>
      </c>
      <c r="I4" s="37"/>
    </row>
    <row r="5" spans="1:10" s="98" customFormat="1" ht="24" customHeight="1">
      <c r="A5" s="14">
        <f t="shared" ref="A5:A19" si="2">ROW()-3</f>
        <v>2</v>
      </c>
      <c r="B5" s="14" t="s">
        <v>5</v>
      </c>
      <c r="C5" s="14" t="s">
        <v>34</v>
      </c>
      <c r="D5" s="15">
        <v>590770</v>
      </c>
      <c r="E5" s="15">
        <v>79282400</v>
      </c>
      <c r="F5" s="18">
        <f t="shared" si="0"/>
        <v>7928240</v>
      </c>
      <c r="G5" s="15">
        <f t="shared" si="1"/>
        <v>87210640</v>
      </c>
      <c r="H5" s="60">
        <f>G5-SUMIF('2022.07'!$B:$B,B5,'2022.06'!G:G)</f>
        <v>-709885</v>
      </c>
      <c r="I5" s="16" t="s">
        <v>154</v>
      </c>
    </row>
    <row r="6" spans="1:10" s="98" customFormat="1" ht="24" customHeight="1">
      <c r="A6" s="14">
        <f t="shared" si="2"/>
        <v>3</v>
      </c>
      <c r="B6" s="14" t="s">
        <v>11</v>
      </c>
      <c r="C6" s="14" t="s">
        <v>34</v>
      </c>
      <c r="D6" s="15">
        <v>481690</v>
      </c>
      <c r="E6" s="15">
        <v>68778550</v>
      </c>
      <c r="F6" s="18">
        <f t="shared" si="0"/>
        <v>6877855</v>
      </c>
      <c r="G6" s="15">
        <f t="shared" si="1"/>
        <v>75656405</v>
      </c>
      <c r="H6" s="60">
        <f>G6-SUMIF('2022.07'!$B:$B,B6,'2022.06'!G:G)</f>
        <v>9443665</v>
      </c>
      <c r="I6" s="16" t="s">
        <v>143</v>
      </c>
    </row>
    <row r="7" spans="1:10" s="98" customFormat="1" ht="24" customHeight="1">
      <c r="A7" s="14">
        <f t="shared" si="2"/>
        <v>4</v>
      </c>
      <c r="B7" s="17" t="s">
        <v>2</v>
      </c>
      <c r="C7" s="17" t="s">
        <v>28</v>
      </c>
      <c r="D7" s="15">
        <v>30180</v>
      </c>
      <c r="E7" s="15">
        <v>4467700</v>
      </c>
      <c r="F7" s="18">
        <f t="shared" si="0"/>
        <v>446770</v>
      </c>
      <c r="G7" s="15">
        <f t="shared" si="1"/>
        <v>4914470</v>
      </c>
      <c r="H7" s="60">
        <f>G7-SUMIF('2022.07'!$B:$B,B7,'2022.06'!G:G)</f>
        <v>-3063445</v>
      </c>
      <c r="I7" s="116">
        <v>44804</v>
      </c>
    </row>
    <row r="8" spans="1:10" s="98" customFormat="1" ht="24" customHeight="1">
      <c r="A8" s="78">
        <f t="shared" si="2"/>
        <v>5</v>
      </c>
      <c r="B8" s="83" t="s">
        <v>9</v>
      </c>
      <c r="C8" s="83" t="s">
        <v>28</v>
      </c>
      <c r="D8" s="88"/>
      <c r="E8" s="79">
        <f>D8</f>
        <v>0</v>
      </c>
      <c r="F8" s="80"/>
      <c r="G8" s="79">
        <f t="shared" si="1"/>
        <v>0</v>
      </c>
      <c r="H8" s="58">
        <f>G8-SUMIF('2022.07'!$B:$B,B8,'2022.06'!G:G)</f>
        <v>-2847570</v>
      </c>
      <c r="I8" s="82" t="s">
        <v>144</v>
      </c>
    </row>
    <row r="9" spans="1:10" s="98" customFormat="1" ht="24" customHeight="1">
      <c r="A9" s="78">
        <f t="shared" si="2"/>
        <v>6</v>
      </c>
      <c r="B9" s="78" t="s">
        <v>1</v>
      </c>
      <c r="C9" s="78" t="s">
        <v>49</v>
      </c>
      <c r="D9" s="157"/>
      <c r="E9" s="79">
        <f>D9</f>
        <v>0</v>
      </c>
      <c r="F9" s="80">
        <v>0</v>
      </c>
      <c r="G9" s="79">
        <f t="shared" si="1"/>
        <v>0</v>
      </c>
      <c r="H9" s="58">
        <f>G9-SUMIF('2022.07'!$B:$B,B9,'2022.06'!G:G)</f>
        <v>-6456000</v>
      </c>
      <c r="I9" s="112" t="s">
        <v>17</v>
      </c>
    </row>
    <row r="10" spans="1:10" s="98" customFormat="1" ht="24" customHeight="1">
      <c r="A10" s="14">
        <f t="shared" si="2"/>
        <v>7</v>
      </c>
      <c r="B10" s="14" t="s">
        <v>69</v>
      </c>
      <c r="C10" s="14" t="s">
        <v>46</v>
      </c>
      <c r="D10" s="15">
        <v>18770</v>
      </c>
      <c r="E10" s="15">
        <v>23462500</v>
      </c>
      <c r="F10" s="18">
        <f t="shared" si="0"/>
        <v>2346250</v>
      </c>
      <c r="G10" s="15">
        <f>+E10+F10</f>
        <v>25808750</v>
      </c>
      <c r="H10" s="60">
        <f>G10-SUMIF('2022.07'!$B:$B,B10,'2022.06'!G:G)</f>
        <v>-4077700</v>
      </c>
      <c r="I10" s="114" t="s">
        <v>99</v>
      </c>
    </row>
    <row r="11" spans="1:10" s="98" customFormat="1" ht="24" customHeight="1">
      <c r="A11" s="14">
        <f t="shared" si="2"/>
        <v>8</v>
      </c>
      <c r="B11" s="14" t="s">
        <v>7</v>
      </c>
      <c r="C11" s="14" t="s">
        <v>32</v>
      </c>
      <c r="D11" s="15">
        <v>3500</v>
      </c>
      <c r="E11" s="15">
        <f>D11*140</f>
        <v>490000</v>
      </c>
      <c r="F11" s="18">
        <f t="shared" si="0"/>
        <v>49000</v>
      </c>
      <c r="G11" s="15">
        <f t="shared" si="1"/>
        <v>539000</v>
      </c>
      <c r="H11" s="60">
        <f>G11-SUMIF('2022.07'!$B:$B,B11,'2022.06'!G:G)</f>
        <v>-242550</v>
      </c>
      <c r="I11" s="109"/>
    </row>
    <row r="12" spans="1:10" s="98" customFormat="1" ht="24" customHeight="1">
      <c r="A12" s="14">
        <f t="shared" si="2"/>
        <v>9</v>
      </c>
      <c r="B12" s="14" t="s">
        <v>38</v>
      </c>
      <c r="C12" s="14" t="s">
        <v>92</v>
      </c>
      <c r="D12" s="15"/>
      <c r="E12" s="15">
        <f>742700+143900+6382100</f>
        <v>7268700</v>
      </c>
      <c r="F12" s="18">
        <f>74270+14390+638210</f>
        <v>726870</v>
      </c>
      <c r="G12" s="15">
        <f t="shared" si="1"/>
        <v>7995570</v>
      </c>
      <c r="H12" s="60">
        <f>G12-SUMIF('2022.07'!$B:$B,B12,'2022.06'!G:G)</f>
        <v>-10473265</v>
      </c>
      <c r="I12" s="116" t="s">
        <v>182</v>
      </c>
    </row>
    <row r="13" spans="1:10" s="98" customFormat="1" ht="24" customHeight="1">
      <c r="A13" s="14">
        <f t="shared" si="2"/>
        <v>10</v>
      </c>
      <c r="B13" s="14" t="s">
        <v>38</v>
      </c>
      <c r="C13" s="14" t="s">
        <v>39</v>
      </c>
      <c r="D13" s="15">
        <v>4500</v>
      </c>
      <c r="E13" s="15">
        <f>D13*1550</f>
        <v>6975000</v>
      </c>
      <c r="F13" s="18">
        <f t="shared" si="0"/>
        <v>697500</v>
      </c>
      <c r="G13" s="15">
        <f t="shared" si="1"/>
        <v>7672500</v>
      </c>
      <c r="H13" s="60">
        <f>G13-SUMIF('2022.07'!$B:$B,B13,'2022.06'!G:G)</f>
        <v>-10796335</v>
      </c>
      <c r="I13" s="116" t="s">
        <v>145</v>
      </c>
    </row>
    <row r="14" spans="1:10" s="98" customFormat="1" ht="24" customHeight="1">
      <c r="A14" s="17">
        <f t="shared" si="2"/>
        <v>11</v>
      </c>
      <c r="B14" s="17" t="s">
        <v>75</v>
      </c>
      <c r="C14" s="17" t="s">
        <v>57</v>
      </c>
      <c r="D14" s="107">
        <v>4770</v>
      </c>
      <c r="E14" s="107">
        <v>1526400</v>
      </c>
      <c r="F14" s="18">
        <f t="shared" si="0"/>
        <v>152640</v>
      </c>
      <c r="G14" s="107">
        <f t="shared" si="1"/>
        <v>1679040</v>
      </c>
      <c r="H14" s="60">
        <f>G14-SUMIF('2022.07'!$B:$B,B14,'2022.06'!G:G)</f>
        <v>-3820960</v>
      </c>
      <c r="I14" s="171" t="s">
        <v>146</v>
      </c>
      <c r="J14" s="102"/>
    </row>
    <row r="15" spans="1:10" s="98" customFormat="1" ht="24" customHeight="1">
      <c r="A15" s="14">
        <f t="shared" si="2"/>
        <v>12</v>
      </c>
      <c r="B15" s="14" t="s">
        <v>133</v>
      </c>
      <c r="C15" s="14" t="s">
        <v>36</v>
      </c>
      <c r="D15" s="15">
        <f>1175+875+1020</f>
        <v>3070</v>
      </c>
      <c r="E15" s="15">
        <f>587500+437500+510000</f>
        <v>1535000</v>
      </c>
      <c r="F15" s="18">
        <f t="shared" si="0"/>
        <v>153500</v>
      </c>
      <c r="G15" s="15">
        <f t="shared" si="1"/>
        <v>1688500</v>
      </c>
      <c r="H15" s="60">
        <f>G15-SUMIF('2022.07'!$B:$B,B15,'2022.06'!G:G)</f>
        <v>1688500</v>
      </c>
      <c r="I15" s="172"/>
    </row>
    <row r="16" spans="1:10" s="101" customFormat="1" ht="24" customHeight="1">
      <c r="A16" s="17">
        <f t="shared" si="2"/>
        <v>13</v>
      </c>
      <c r="B16" s="17" t="s">
        <v>91</v>
      </c>
      <c r="C16" s="17" t="s">
        <v>36</v>
      </c>
      <c r="D16" s="18">
        <v>1725</v>
      </c>
      <c r="E16" s="18">
        <f>D16*500</f>
        <v>862500</v>
      </c>
      <c r="F16" s="18">
        <f t="shared" si="0"/>
        <v>86250</v>
      </c>
      <c r="G16" s="107">
        <f t="shared" si="1"/>
        <v>948750</v>
      </c>
      <c r="H16" s="60">
        <f>G16-SUMIF('2022.07'!$B:$B,B16,'2022.06'!G:G)</f>
        <v>-225102835</v>
      </c>
      <c r="I16" s="173" t="s">
        <v>147</v>
      </c>
    </row>
    <row r="17" spans="1:9" s="98" customFormat="1" ht="24" customHeight="1">
      <c r="A17" s="17">
        <f t="shared" si="2"/>
        <v>14</v>
      </c>
      <c r="B17" s="17" t="s">
        <v>4</v>
      </c>
      <c r="C17" s="17" t="s">
        <v>30</v>
      </c>
      <c r="D17" s="124"/>
      <c r="E17" s="124">
        <v>5000000</v>
      </c>
      <c r="F17" s="124">
        <f>E17*0.1</f>
        <v>500000</v>
      </c>
      <c r="G17" s="123">
        <f t="shared" si="1"/>
        <v>5500000</v>
      </c>
      <c r="H17" s="60">
        <f>G17-SUMIF('2022.07'!$B:$B,B17,'2022.06'!G:G)</f>
        <v>5500000</v>
      </c>
      <c r="I17" s="19"/>
    </row>
    <row r="18" spans="1:9" s="98" customFormat="1" ht="24" hidden="1" customHeight="1">
      <c r="A18" s="83"/>
      <c r="B18" s="83"/>
      <c r="C18" s="83"/>
      <c r="D18" s="80"/>
      <c r="E18" s="80"/>
      <c r="F18" s="80"/>
      <c r="G18" s="80"/>
      <c r="H18" s="81">
        <f>G18-SUMIF('2022.04'!$B:$B,B18,'2022.04'!G:G)</f>
        <v>0</v>
      </c>
      <c r="I18" s="131" t="s">
        <v>16</v>
      </c>
    </row>
    <row r="19" spans="1:9" s="101" customFormat="1" ht="24" hidden="1" customHeight="1">
      <c r="A19" s="84">
        <f t="shared" si="2"/>
        <v>16</v>
      </c>
      <c r="B19" s="84" t="s">
        <v>37</v>
      </c>
      <c r="C19" s="84" t="s">
        <v>47</v>
      </c>
      <c r="D19" s="85"/>
      <c r="E19" s="85"/>
      <c r="F19" s="85"/>
      <c r="G19" s="85">
        <f>+E19+F19</f>
        <v>0</v>
      </c>
      <c r="H19" s="81">
        <f>G19-SUMIF('2022.04'!$B:$B,B19,'2022.04'!G:G)</f>
        <v>0</v>
      </c>
      <c r="I19" s="138" t="s">
        <v>16</v>
      </c>
    </row>
    <row r="20" spans="1:9" s="39" customFormat="1" ht="24" customHeight="1">
      <c r="A20" s="361" t="s">
        <v>18</v>
      </c>
      <c r="B20" s="362"/>
      <c r="C20" s="167"/>
      <c r="D20" s="153">
        <f>SUM(D4:D19)</f>
        <v>1138975</v>
      </c>
      <c r="E20" s="153">
        <f>SUM(E4:E19)</f>
        <v>199648750</v>
      </c>
      <c r="F20" s="153">
        <f>SUM(F4:F19)</f>
        <v>19964875</v>
      </c>
      <c r="G20" s="153">
        <f>SUM(G4:G19)</f>
        <v>219613625</v>
      </c>
      <c r="H20" s="170">
        <f>G20-'2022.07'!G22</f>
        <v>-10535252.5</v>
      </c>
      <c r="I20" s="9"/>
    </row>
    <row r="22" spans="1:9">
      <c r="B22" s="45" t="s">
        <v>50</v>
      </c>
      <c r="E22" s="42">
        <f>E20-'2022.07'!E22</f>
        <v>-9840725</v>
      </c>
      <c r="F22" s="42">
        <f>F20-'2022.07'!F22</f>
        <v>-694527.5</v>
      </c>
      <c r="G22" s="42">
        <f>G20-'2022.07'!G22</f>
        <v>-10535252.5</v>
      </c>
      <c r="H22" s="42"/>
      <c r="I22" s="41"/>
    </row>
    <row r="23" spans="1:9">
      <c r="D23"/>
    </row>
    <row r="24" spans="1:9">
      <c r="A24" s="177" t="s">
        <v>148</v>
      </c>
      <c r="B24" s="174" t="s">
        <v>149</v>
      </c>
      <c r="C24" s="174" t="s">
        <v>151</v>
      </c>
      <c r="D24" s="175">
        <v>600</v>
      </c>
      <c r="E24" s="176">
        <v>1636364</v>
      </c>
      <c r="F24" s="176">
        <f>E24*0.1</f>
        <v>163636.40000000002</v>
      </c>
      <c r="G24" s="176">
        <f>E24+F24</f>
        <v>1800000.4</v>
      </c>
      <c r="H24" s="175"/>
      <c r="I24" s="174" t="s">
        <v>153</v>
      </c>
    </row>
    <row r="25" spans="1:9">
      <c r="A25" s="177" t="s">
        <v>148</v>
      </c>
      <c r="B25" s="174" t="s">
        <v>150</v>
      </c>
      <c r="C25" s="174" t="s">
        <v>152</v>
      </c>
      <c r="D25" s="175">
        <v>400</v>
      </c>
      <c r="E25" s="3">
        <v>1090909</v>
      </c>
      <c r="F25" s="178">
        <f>E25*0.1</f>
        <v>109090.90000000001</v>
      </c>
      <c r="G25" s="176">
        <f>E25+F25</f>
        <v>1199999.8999999999</v>
      </c>
      <c r="H25" s="175"/>
      <c r="I25" s="174" t="s">
        <v>153</v>
      </c>
    </row>
  </sheetData>
  <autoFilter ref="A3:I3"/>
  <mergeCells count="2">
    <mergeCell ref="A1:I1"/>
    <mergeCell ref="A20:B2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showGridLines="0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" defaultRowHeight="16.5"/>
  <cols>
    <col min="1" max="1" width="7.5" bestFit="1" customWidth="1"/>
    <col min="2" max="2" width="20" customWidth="1"/>
    <col min="3" max="3" width="15.375" bestFit="1" customWidth="1"/>
    <col min="4" max="4" width="12.375" style="2" bestFit="1" customWidth="1"/>
    <col min="5" max="5" width="14.875" style="2" bestFit="1" customWidth="1"/>
    <col min="6" max="6" width="13.625" style="2" bestFit="1" customWidth="1"/>
    <col min="7" max="7" width="14.875" style="2" bestFit="1" customWidth="1"/>
    <col min="8" max="8" width="14.875" style="2" customWidth="1"/>
    <col min="9" max="9" width="47.375" customWidth="1"/>
    <col min="10" max="16384" width="9" style="40"/>
  </cols>
  <sheetData>
    <row r="1" spans="1:10" ht="38.25">
      <c r="A1" s="363" t="s">
        <v>127</v>
      </c>
      <c r="B1" s="363"/>
      <c r="C1" s="363"/>
      <c r="D1" s="363"/>
      <c r="E1" s="363"/>
      <c r="F1" s="363"/>
      <c r="G1" s="363"/>
      <c r="H1" s="363"/>
      <c r="I1" s="363"/>
    </row>
    <row r="2" spans="1:10">
      <c r="I2" s="44" t="s">
        <v>128</v>
      </c>
    </row>
    <row r="3" spans="1:10" s="38" customFormat="1">
      <c r="A3" s="5" t="s">
        <v>12</v>
      </c>
      <c r="B3" s="5" t="s">
        <v>0</v>
      </c>
      <c r="C3" s="5" t="s">
        <v>26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50</v>
      </c>
      <c r="I3" s="5" t="s">
        <v>23</v>
      </c>
    </row>
    <row r="4" spans="1:10" s="98" customFormat="1" ht="24" customHeight="1">
      <c r="A4" s="8">
        <f>ROW()-3</f>
        <v>1</v>
      </c>
      <c r="B4" s="8" t="s">
        <v>13</v>
      </c>
      <c r="C4" s="8" t="s">
        <v>27</v>
      </c>
      <c r="D4" s="36"/>
      <c r="E4" s="36"/>
      <c r="F4" s="22">
        <f t="shared" ref="F4:F18" si="0">+E4*0.1</f>
        <v>0</v>
      </c>
      <c r="G4" s="36">
        <f t="shared" ref="G4:G19" si="1">+E4+F4</f>
        <v>0</v>
      </c>
      <c r="H4" s="58">
        <f>G4-SUMIF('2022.06'!$B:$B,B4,'2022.06'!G:G)</f>
        <v>0</v>
      </c>
      <c r="I4" s="37"/>
    </row>
    <row r="5" spans="1:10" s="98" customFormat="1" ht="24" customHeight="1">
      <c r="A5" s="14">
        <f t="shared" ref="A5:A21" si="2">ROW()-3</f>
        <v>2</v>
      </c>
      <c r="B5" s="14" t="s">
        <v>5</v>
      </c>
      <c r="C5" s="14" t="s">
        <v>34</v>
      </c>
      <c r="D5" s="15">
        <v>548800</v>
      </c>
      <c r="E5" s="15">
        <v>82320000</v>
      </c>
      <c r="F5" s="18">
        <f t="shared" si="0"/>
        <v>8232000</v>
      </c>
      <c r="G5" s="15">
        <f t="shared" si="1"/>
        <v>90552000</v>
      </c>
      <c r="H5" s="58">
        <f>G5-SUMIF('2022.06'!$B:$B,B5,'2022.06'!G:G)</f>
        <v>2631475</v>
      </c>
      <c r="I5" s="82" t="s">
        <v>140</v>
      </c>
    </row>
    <row r="6" spans="1:10" s="98" customFormat="1" ht="24" customHeight="1">
      <c r="A6" s="14">
        <f t="shared" si="2"/>
        <v>3</v>
      </c>
      <c r="B6" s="14" t="s">
        <v>11</v>
      </c>
      <c r="C6" s="14" t="s">
        <v>34</v>
      </c>
      <c r="D6" s="15">
        <v>450025</v>
      </c>
      <c r="E6" s="15">
        <v>70418600</v>
      </c>
      <c r="F6" s="18">
        <f t="shared" si="0"/>
        <v>7041860</v>
      </c>
      <c r="G6" s="15">
        <f t="shared" si="1"/>
        <v>77460460</v>
      </c>
      <c r="H6" s="58">
        <f>G6-SUMIF('2022.06'!$B:$B,B6,'2022.06'!G:G)</f>
        <v>11247720</v>
      </c>
      <c r="I6" s="82" t="s">
        <v>129</v>
      </c>
    </row>
    <row r="7" spans="1:10" s="98" customFormat="1" ht="24" customHeight="1">
      <c r="A7" s="14">
        <f t="shared" si="2"/>
        <v>4</v>
      </c>
      <c r="B7" s="17" t="s">
        <v>2</v>
      </c>
      <c r="C7" s="17" t="s">
        <v>28</v>
      </c>
      <c r="D7" s="15">
        <v>29650</v>
      </c>
      <c r="E7" s="15">
        <v>4912300</v>
      </c>
      <c r="F7" s="18">
        <f t="shared" si="0"/>
        <v>491230</v>
      </c>
      <c r="G7" s="15">
        <f t="shared" si="1"/>
        <v>5403530</v>
      </c>
      <c r="H7" s="58">
        <f>G7-SUMIF('2022.06'!$B:$B,B7,'2022.06'!G:G)</f>
        <v>-2574385</v>
      </c>
      <c r="I7" s="82"/>
    </row>
    <row r="8" spans="1:10" s="98" customFormat="1" ht="24" customHeight="1">
      <c r="A8" s="14">
        <f t="shared" si="2"/>
        <v>5</v>
      </c>
      <c r="B8" s="17" t="s">
        <v>9</v>
      </c>
      <c r="C8" s="17" t="s">
        <v>28</v>
      </c>
      <c r="D8" s="107">
        <v>12125</v>
      </c>
      <c r="E8" s="107">
        <v>1636875</v>
      </c>
      <c r="F8" s="18">
        <f t="shared" si="0"/>
        <v>163687.5</v>
      </c>
      <c r="G8" s="15">
        <f t="shared" si="1"/>
        <v>1800562.5</v>
      </c>
      <c r="H8" s="58">
        <f>G8-SUMIF('2022.06'!$B:$B,B8,'2022.06'!G:G)</f>
        <v>-1047007.5</v>
      </c>
      <c r="I8" s="82"/>
    </row>
    <row r="9" spans="1:10" s="98" customFormat="1" ht="24" customHeight="1">
      <c r="A9" s="78">
        <f t="shared" si="2"/>
        <v>6</v>
      </c>
      <c r="B9" s="78" t="s">
        <v>1</v>
      </c>
      <c r="C9" s="78" t="s">
        <v>49</v>
      </c>
      <c r="D9" s="157">
        <f>19355+45285</f>
        <v>64640</v>
      </c>
      <c r="E9" s="158">
        <v>2895450</v>
      </c>
      <c r="F9" s="80">
        <v>0</v>
      </c>
      <c r="G9" s="157">
        <f t="shared" si="1"/>
        <v>2895450</v>
      </c>
      <c r="H9" s="58">
        <f>G9-SUMIF('2022.06'!$B:$B,B9,'2022.06'!G:G)</f>
        <v>-3560550</v>
      </c>
      <c r="I9" s="112" t="s">
        <v>17</v>
      </c>
    </row>
    <row r="10" spans="1:10" s="98" customFormat="1" ht="24" customHeight="1">
      <c r="A10" s="14">
        <f t="shared" si="2"/>
        <v>7</v>
      </c>
      <c r="B10" s="14" t="s">
        <v>69</v>
      </c>
      <c r="C10" s="14" t="s">
        <v>46</v>
      </c>
      <c r="D10" s="15">
        <v>17815</v>
      </c>
      <c r="E10" s="15">
        <v>25601750</v>
      </c>
      <c r="F10" s="18">
        <f t="shared" si="0"/>
        <v>2560175</v>
      </c>
      <c r="G10" s="15">
        <f>+E10+F10</f>
        <v>28161925</v>
      </c>
      <c r="H10" s="58">
        <f>G10-SUMIF('2022.06'!$B:$B,B10,'2022.06'!G:G)</f>
        <v>-1724525</v>
      </c>
      <c r="I10" s="159" t="s">
        <v>99</v>
      </c>
    </row>
    <row r="11" spans="1:10" s="98" customFormat="1" ht="24" customHeight="1">
      <c r="A11" s="14">
        <f t="shared" si="2"/>
        <v>8</v>
      </c>
      <c r="B11" s="14" t="s">
        <v>7</v>
      </c>
      <c r="C11" s="14" t="s">
        <v>32</v>
      </c>
      <c r="D11" s="15">
        <v>3845</v>
      </c>
      <c r="E11" s="15">
        <f>D11*140</f>
        <v>538300</v>
      </c>
      <c r="F11" s="18">
        <f t="shared" si="0"/>
        <v>53830</v>
      </c>
      <c r="G11" s="15">
        <f t="shared" si="1"/>
        <v>592130</v>
      </c>
      <c r="H11" s="58">
        <f>G11-SUMIF('2022.06'!$B:$B,B11,'2022.06'!G:G)</f>
        <v>-189420</v>
      </c>
      <c r="I11" s="105"/>
    </row>
    <row r="12" spans="1:10" s="98" customFormat="1" ht="24" customHeight="1">
      <c r="A12" s="14">
        <f t="shared" si="2"/>
        <v>9</v>
      </c>
      <c r="B12" s="14" t="s">
        <v>38</v>
      </c>
      <c r="C12" s="14" t="s">
        <v>39</v>
      </c>
      <c r="D12" s="15">
        <v>4072</v>
      </c>
      <c r="E12" s="15">
        <f>D12*1600</f>
        <v>6515200</v>
      </c>
      <c r="F12" s="18">
        <f t="shared" si="0"/>
        <v>651520</v>
      </c>
      <c r="G12" s="15">
        <f t="shared" si="1"/>
        <v>7166720</v>
      </c>
      <c r="H12" s="58">
        <f>G12-SUMIF('2022.06'!$B:$B,B12,'2022.06'!G:G)</f>
        <v>-8832615</v>
      </c>
      <c r="I12" s="122" t="s">
        <v>137</v>
      </c>
    </row>
    <row r="13" spans="1:10" s="98" customFormat="1" ht="24" customHeight="1">
      <c r="A13" s="14">
        <f t="shared" si="2"/>
        <v>10</v>
      </c>
      <c r="B13" s="14" t="s">
        <v>38</v>
      </c>
      <c r="C13" s="14" t="s">
        <v>39</v>
      </c>
      <c r="D13" s="15">
        <v>2920</v>
      </c>
      <c r="E13" s="15">
        <f>D13*1550</f>
        <v>4526000</v>
      </c>
      <c r="F13" s="18">
        <f t="shared" ref="F13" si="3">+E13*0.1</f>
        <v>452600</v>
      </c>
      <c r="G13" s="15">
        <f t="shared" ref="G13" si="4">+E13+F13</f>
        <v>4978600</v>
      </c>
      <c r="H13" s="58">
        <f>G13-SUMIF('2022.06'!$B:$B,B13,'2022.06'!G:G)</f>
        <v>-11020735</v>
      </c>
      <c r="I13" s="122" t="s">
        <v>139</v>
      </c>
    </row>
    <row r="14" spans="1:10" s="98" customFormat="1" ht="24" customHeight="1">
      <c r="A14" s="14">
        <f t="shared" si="2"/>
        <v>11</v>
      </c>
      <c r="B14" s="14" t="s">
        <v>38</v>
      </c>
      <c r="C14" s="14" t="s">
        <v>92</v>
      </c>
      <c r="D14" s="15"/>
      <c r="E14" s="15">
        <v>1158700</v>
      </c>
      <c r="F14" s="18">
        <f t="shared" si="0"/>
        <v>115870</v>
      </c>
      <c r="G14" s="15">
        <f t="shared" si="1"/>
        <v>1274570</v>
      </c>
      <c r="H14" s="58">
        <f>G14-SUMIF('2022.06'!$B:$B,B14,'2022.06'!G:G)</f>
        <v>-14724765</v>
      </c>
      <c r="I14" s="122" t="s">
        <v>139</v>
      </c>
    </row>
    <row r="15" spans="1:10" s="98" customFormat="1" ht="24" customHeight="1">
      <c r="A15" s="17">
        <f t="shared" si="2"/>
        <v>12</v>
      </c>
      <c r="B15" s="17" t="s">
        <v>93</v>
      </c>
      <c r="C15" s="17" t="s">
        <v>57</v>
      </c>
      <c r="D15" s="107">
        <v>4220</v>
      </c>
      <c r="E15" s="107">
        <v>1350400</v>
      </c>
      <c r="F15" s="18">
        <f t="shared" si="0"/>
        <v>135040</v>
      </c>
      <c r="G15" s="107">
        <f t="shared" si="1"/>
        <v>1485440</v>
      </c>
      <c r="H15" s="58">
        <f>G15-SUMIF('2022.06'!$B:$B,B15,'2022.06'!G:G)</f>
        <v>1485440</v>
      </c>
      <c r="I15" s="141"/>
      <c r="J15" s="102"/>
    </row>
    <row r="16" spans="1:10" s="98" customFormat="1" ht="24" customHeight="1">
      <c r="A16" s="14">
        <f t="shared" si="2"/>
        <v>13</v>
      </c>
      <c r="B16" s="14" t="s">
        <v>130</v>
      </c>
      <c r="C16" s="14" t="s">
        <v>131</v>
      </c>
      <c r="D16" s="15">
        <v>3370</v>
      </c>
      <c r="E16" s="15">
        <v>1078400</v>
      </c>
      <c r="F16" s="18">
        <f t="shared" ref="F16" si="5">+E16*0.1</f>
        <v>107840</v>
      </c>
      <c r="G16" s="15">
        <f t="shared" ref="G16" si="6">+E16+F16</f>
        <v>1186240</v>
      </c>
      <c r="H16" s="58">
        <f>G16-SUMIF('2022.06'!$B:$B,B16,'2022.06'!G:G)</f>
        <v>1186240</v>
      </c>
      <c r="I16" s="122" t="s">
        <v>132</v>
      </c>
    </row>
    <row r="17" spans="1:9" s="98" customFormat="1" ht="24" customHeight="1">
      <c r="A17" s="14">
        <f t="shared" si="2"/>
        <v>14</v>
      </c>
      <c r="B17" s="14" t="s">
        <v>133</v>
      </c>
      <c r="C17" s="14" t="s">
        <v>134</v>
      </c>
      <c r="D17" s="15">
        <v>1095</v>
      </c>
      <c r="E17" s="15">
        <v>547500</v>
      </c>
      <c r="F17" s="18">
        <f t="shared" ref="F17" si="7">+E17*0.1</f>
        <v>54750</v>
      </c>
      <c r="G17" s="15">
        <f t="shared" ref="G17" si="8">+E17+F17</f>
        <v>602250</v>
      </c>
      <c r="H17" s="58">
        <f>G17-SUMIF('2022.06'!$B:$B,B17,'2022.06'!G:G)</f>
        <v>602250</v>
      </c>
      <c r="I17" s="160">
        <v>44748</v>
      </c>
    </row>
    <row r="18" spans="1:9" s="101" customFormat="1" ht="24" customHeight="1">
      <c r="A18" s="17">
        <f t="shared" si="2"/>
        <v>15</v>
      </c>
      <c r="B18" s="17" t="s">
        <v>91</v>
      </c>
      <c r="C18" s="17" t="s">
        <v>138</v>
      </c>
      <c r="D18" s="18">
        <v>1980</v>
      </c>
      <c r="E18" s="18">
        <f>D18*500</f>
        <v>990000</v>
      </c>
      <c r="F18" s="18">
        <f t="shared" si="0"/>
        <v>99000</v>
      </c>
      <c r="G18" s="107">
        <f t="shared" si="1"/>
        <v>1089000</v>
      </c>
      <c r="H18" s="58">
        <f>G18-SUMIF('2022.06'!$B:$B,B18,'2022.06'!G:G)</f>
        <v>-1380500</v>
      </c>
      <c r="I18" s="161">
        <v>44764</v>
      </c>
    </row>
    <row r="19" spans="1:9" s="98" customFormat="1" ht="24" customHeight="1">
      <c r="A19" s="17">
        <f t="shared" si="2"/>
        <v>16</v>
      </c>
      <c r="B19" s="17" t="s">
        <v>4</v>
      </c>
      <c r="C19" s="17" t="s">
        <v>30</v>
      </c>
      <c r="D19" s="124"/>
      <c r="E19" s="124">
        <v>5000000</v>
      </c>
      <c r="F19" s="124">
        <f>E19*0.1</f>
        <v>500000</v>
      </c>
      <c r="G19" s="123">
        <f t="shared" si="1"/>
        <v>5500000</v>
      </c>
      <c r="H19" s="58">
        <f>G19-SUMIF('2022.06'!$B:$B,B19,'2022.06'!G:G)</f>
        <v>0</v>
      </c>
      <c r="I19" s="91"/>
    </row>
    <row r="20" spans="1:9" s="98" customFormat="1" ht="24" hidden="1" customHeight="1">
      <c r="A20" s="11"/>
      <c r="B20" s="11"/>
      <c r="C20" s="11"/>
      <c r="D20" s="22"/>
      <c r="E20" s="22"/>
      <c r="F20" s="22"/>
      <c r="G20" s="22"/>
      <c r="H20" s="58">
        <f>G20-SUMIF('2022.04'!$B:$B,B20,'2022.04'!G:G)</f>
        <v>0</v>
      </c>
      <c r="I20" s="131" t="s">
        <v>16</v>
      </c>
    </row>
    <row r="21" spans="1:9" s="101" customFormat="1" ht="24" hidden="1" customHeight="1">
      <c r="A21" s="129">
        <f t="shared" si="2"/>
        <v>18</v>
      </c>
      <c r="B21" s="129" t="s">
        <v>37</v>
      </c>
      <c r="C21" s="129" t="s">
        <v>47</v>
      </c>
      <c r="D21" s="130"/>
      <c r="E21" s="130"/>
      <c r="F21" s="130"/>
      <c r="G21" s="130">
        <f>+E21+F21</f>
        <v>0</v>
      </c>
      <c r="H21" s="58">
        <f>G21-SUMIF('2022.04'!$B:$B,B21,'2022.04'!G:G)</f>
        <v>0</v>
      </c>
      <c r="I21" s="138" t="s">
        <v>16</v>
      </c>
    </row>
    <row r="22" spans="1:9" s="39" customFormat="1" ht="24" customHeight="1">
      <c r="A22" s="366" t="s">
        <v>18</v>
      </c>
      <c r="B22" s="367"/>
      <c r="C22" s="156"/>
      <c r="D22" s="25">
        <f>SUM(D4:D21)</f>
        <v>1144557</v>
      </c>
      <c r="E22" s="25">
        <f>SUM(E4:E21)</f>
        <v>209489475</v>
      </c>
      <c r="F22" s="25">
        <f>SUM(F4:F21)</f>
        <v>20659402.5</v>
      </c>
      <c r="G22" s="25">
        <f>SUM(G4:G21)</f>
        <v>230148877.5</v>
      </c>
      <c r="H22" s="63">
        <f>G22-'2022.06'!G18</f>
        <v>4097292.5</v>
      </c>
      <c r="I22" s="9"/>
    </row>
    <row r="24" spans="1:9">
      <c r="B24" s="45" t="s">
        <v>50</v>
      </c>
      <c r="E24" s="42">
        <f>E22-'2022.06'!E18</f>
        <v>3401125</v>
      </c>
      <c r="F24" s="42">
        <f>F22-'2022.06'!F18</f>
        <v>696167.5</v>
      </c>
      <c r="G24" s="42">
        <f>G22-'2022.06'!G18</f>
        <v>4097292.5</v>
      </c>
      <c r="H24" s="42"/>
      <c r="I24" s="41"/>
    </row>
    <row r="25" spans="1:9">
      <c r="D25"/>
    </row>
    <row r="26" spans="1:9">
      <c r="E26" s="24"/>
      <c r="F26" s="24"/>
      <c r="G26" s="24"/>
    </row>
  </sheetData>
  <autoFilter ref="A3:I3"/>
  <mergeCells count="2">
    <mergeCell ref="A1:I1"/>
    <mergeCell ref="A22:B2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2"/>
  <sheetViews>
    <sheetView showGridLines="0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H10" sqref="H10"/>
    </sheetView>
  </sheetViews>
  <sheetFormatPr defaultColWidth="9" defaultRowHeight="16.5"/>
  <cols>
    <col min="1" max="1" width="7.5" bestFit="1" customWidth="1"/>
    <col min="2" max="2" width="20" customWidth="1"/>
    <col min="3" max="3" width="15.375" bestFit="1" customWidth="1"/>
    <col min="4" max="4" width="12.375" style="2" bestFit="1" customWidth="1"/>
    <col min="5" max="5" width="14.875" style="2" bestFit="1" customWidth="1"/>
    <col min="6" max="6" width="13.625" style="2" bestFit="1" customWidth="1"/>
    <col min="7" max="7" width="14.875" style="2" bestFit="1" customWidth="1"/>
    <col min="8" max="8" width="14.875" style="2" customWidth="1"/>
    <col min="9" max="9" width="47.375" customWidth="1"/>
    <col min="10" max="16384" width="9" style="40"/>
  </cols>
  <sheetData>
    <row r="1" spans="1:9" ht="38.25">
      <c r="A1" s="363" t="s">
        <v>121</v>
      </c>
      <c r="B1" s="363"/>
      <c r="C1" s="363"/>
      <c r="D1" s="363"/>
      <c r="E1" s="363"/>
      <c r="F1" s="363"/>
      <c r="G1" s="363"/>
      <c r="H1" s="363"/>
      <c r="I1" s="363"/>
    </row>
    <row r="2" spans="1:9">
      <c r="I2" s="44" t="s">
        <v>122</v>
      </c>
    </row>
    <row r="3" spans="1:9" s="38" customFormat="1">
      <c r="A3" s="5" t="s">
        <v>12</v>
      </c>
      <c r="B3" s="5" t="s">
        <v>0</v>
      </c>
      <c r="C3" s="5" t="s">
        <v>26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50</v>
      </c>
      <c r="I3" s="5" t="s">
        <v>23</v>
      </c>
    </row>
    <row r="4" spans="1:9" s="98" customFormat="1" ht="24" customHeight="1">
      <c r="A4" s="8">
        <f>ROW()-3</f>
        <v>1</v>
      </c>
      <c r="B4" s="8" t="s">
        <v>13</v>
      </c>
      <c r="C4" s="8" t="s">
        <v>27</v>
      </c>
      <c r="D4" s="36"/>
      <c r="E4" s="36"/>
      <c r="F4" s="22">
        <f t="shared" ref="F4:F14" si="0">+E4*0.1</f>
        <v>0</v>
      </c>
      <c r="G4" s="36">
        <f t="shared" ref="G4:G12" si="1">+E4+F4</f>
        <v>0</v>
      </c>
      <c r="H4" s="58">
        <f>G4-SUMIF('2022.05.31'!$B:$B,B4,'2022.05.31'!G:G)</f>
        <v>0</v>
      </c>
      <c r="I4" s="37"/>
    </row>
    <row r="5" spans="1:9" s="98" customFormat="1" ht="24" customHeight="1">
      <c r="A5" s="14">
        <f t="shared" ref="A5:A17" si="2">ROW()-3</f>
        <v>2</v>
      </c>
      <c r="B5" s="14" t="s">
        <v>5</v>
      </c>
      <c r="C5" s="14" t="s">
        <v>34</v>
      </c>
      <c r="D5" s="15">
        <v>530060</v>
      </c>
      <c r="E5" s="15">
        <v>79927750</v>
      </c>
      <c r="F5" s="18">
        <f t="shared" si="0"/>
        <v>7992775</v>
      </c>
      <c r="G5" s="15">
        <f t="shared" si="1"/>
        <v>87920525</v>
      </c>
      <c r="H5" s="60">
        <f>G5-SUMIF('2022.05.31'!$B:$B,B5,'2022.05.31'!G:G)</f>
        <v>-8594410</v>
      </c>
      <c r="I5" s="16" t="s">
        <v>126</v>
      </c>
    </row>
    <row r="6" spans="1:9" s="98" customFormat="1" ht="24" customHeight="1">
      <c r="A6" s="14">
        <f t="shared" si="2"/>
        <v>3</v>
      </c>
      <c r="B6" s="14" t="s">
        <v>11</v>
      </c>
      <c r="C6" s="14" t="s">
        <v>34</v>
      </c>
      <c r="D6" s="15">
        <v>383205</v>
      </c>
      <c r="E6" s="15">
        <v>60193400</v>
      </c>
      <c r="F6" s="18">
        <f t="shared" si="0"/>
        <v>6019340</v>
      </c>
      <c r="G6" s="15">
        <f t="shared" si="1"/>
        <v>66212740</v>
      </c>
      <c r="H6" s="60">
        <f>G6-SUMIF('2022.05.31'!$B:$B,B6,'2022.05.31'!G:G)</f>
        <v>-953892.5</v>
      </c>
      <c r="I6" s="16" t="s">
        <v>123</v>
      </c>
    </row>
    <row r="7" spans="1:9" s="98" customFormat="1" ht="24" customHeight="1">
      <c r="A7" s="14">
        <f t="shared" si="2"/>
        <v>4</v>
      </c>
      <c r="B7" s="17" t="s">
        <v>2</v>
      </c>
      <c r="C7" s="17" t="s">
        <v>28</v>
      </c>
      <c r="D7" s="15">
        <v>44060</v>
      </c>
      <c r="E7" s="15">
        <v>7252650</v>
      </c>
      <c r="F7" s="18">
        <f t="shared" si="0"/>
        <v>725265</v>
      </c>
      <c r="G7" s="15">
        <f t="shared" si="1"/>
        <v>7977915</v>
      </c>
      <c r="H7" s="60">
        <f>G7-SUMIF('2022.05.31'!$B:$B,B7,'2022.05.31'!G:G)</f>
        <v>1182775</v>
      </c>
      <c r="I7" s="16"/>
    </row>
    <row r="8" spans="1:9" s="98" customFormat="1" ht="24" customHeight="1">
      <c r="A8" s="14">
        <f t="shared" si="2"/>
        <v>5</v>
      </c>
      <c r="B8" s="17" t="s">
        <v>9</v>
      </c>
      <c r="C8" s="17" t="s">
        <v>28</v>
      </c>
      <c r="D8" s="107">
        <v>19055</v>
      </c>
      <c r="E8" s="107">
        <v>2588700</v>
      </c>
      <c r="F8" s="18">
        <f t="shared" si="0"/>
        <v>258870</v>
      </c>
      <c r="G8" s="15">
        <f t="shared" si="1"/>
        <v>2847570</v>
      </c>
      <c r="H8" s="60">
        <f>G8-SUMIF('2022.05.31'!$B:$B,B8,'2022.05.31'!G:G)</f>
        <v>44770</v>
      </c>
      <c r="I8" s="16"/>
    </row>
    <row r="9" spans="1:9" s="98" customFormat="1" ht="24" customHeight="1">
      <c r="A9" s="8">
        <f t="shared" si="2"/>
        <v>6</v>
      </c>
      <c r="B9" s="8" t="s">
        <v>1</v>
      </c>
      <c r="C9" s="8" t="s">
        <v>49</v>
      </c>
      <c r="D9" s="144">
        <v>29365</v>
      </c>
      <c r="E9" s="145">
        <v>6456000</v>
      </c>
      <c r="F9" s="80">
        <v>0</v>
      </c>
      <c r="G9" s="144">
        <f t="shared" si="1"/>
        <v>6456000</v>
      </c>
      <c r="H9" s="58">
        <f>G9-SUMIF('2022.05.31'!$B:$B,B9,'2022.05.31'!G:G)</f>
        <v>3921950</v>
      </c>
      <c r="I9" s="133" t="s">
        <v>17</v>
      </c>
    </row>
    <row r="10" spans="1:9" s="98" customFormat="1" ht="24" customHeight="1">
      <c r="A10" s="14">
        <f t="shared" si="2"/>
        <v>7</v>
      </c>
      <c r="B10" s="14" t="s">
        <v>69</v>
      </c>
      <c r="C10" s="14" t="s">
        <v>46</v>
      </c>
      <c r="D10" s="15">
        <v>16371</v>
      </c>
      <c r="E10" s="15">
        <v>27169500</v>
      </c>
      <c r="F10" s="18">
        <f t="shared" si="0"/>
        <v>2716950</v>
      </c>
      <c r="G10" s="15">
        <f t="shared" si="1"/>
        <v>29886450</v>
      </c>
      <c r="H10" s="60">
        <f>G10-SUMIF('2022.05.31'!$B:$B,B10,'2022.05.31'!G:G)</f>
        <v>-14850</v>
      </c>
      <c r="I10" s="114" t="s">
        <v>99</v>
      </c>
    </row>
    <row r="11" spans="1:9" s="98" customFormat="1" ht="24" customHeight="1">
      <c r="A11" s="14">
        <f t="shared" si="2"/>
        <v>8</v>
      </c>
      <c r="B11" s="14" t="s">
        <v>7</v>
      </c>
      <c r="C11" s="14" t="s">
        <v>32</v>
      </c>
      <c r="D11" s="15">
        <v>5075</v>
      </c>
      <c r="E11" s="15">
        <f>D11*140</f>
        <v>710500</v>
      </c>
      <c r="F11" s="18">
        <f t="shared" si="0"/>
        <v>71050</v>
      </c>
      <c r="G11" s="15">
        <f t="shared" si="1"/>
        <v>781550</v>
      </c>
      <c r="H11" s="60">
        <f>G11-SUMIF('2022.05.31'!$B:$B,B11,'2022.05.31'!G:G)</f>
        <v>202510</v>
      </c>
      <c r="I11" s="109"/>
    </row>
    <row r="12" spans="1:9" s="98" customFormat="1" ht="24" customHeight="1">
      <c r="A12" s="14">
        <f t="shared" si="2"/>
        <v>9</v>
      </c>
      <c r="B12" s="14" t="s">
        <v>38</v>
      </c>
      <c r="C12" s="14" t="s">
        <v>125</v>
      </c>
      <c r="D12" s="15">
        <v>4315</v>
      </c>
      <c r="E12" s="15">
        <f>D12*1750</f>
        <v>7551250</v>
      </c>
      <c r="F12" s="18">
        <f t="shared" si="0"/>
        <v>755125</v>
      </c>
      <c r="G12" s="15">
        <f t="shared" si="1"/>
        <v>8306375</v>
      </c>
      <c r="H12" s="60">
        <f>G12-SUMIF('2022.05.31'!$B:$B,B12,'2022.05.31'!G:G)</f>
        <v>2042645</v>
      </c>
      <c r="I12" s="116"/>
    </row>
    <row r="13" spans="1:9" s="98" customFormat="1" ht="24" customHeight="1">
      <c r="A13" s="14">
        <f t="shared" si="2"/>
        <v>10</v>
      </c>
      <c r="B13" s="14" t="s">
        <v>38</v>
      </c>
      <c r="C13" s="14" t="s">
        <v>92</v>
      </c>
      <c r="D13" s="15">
        <f>1747+1075</f>
        <v>2822</v>
      </c>
      <c r="E13" s="15">
        <f>3258400+3735200</f>
        <v>6993600</v>
      </c>
      <c r="F13" s="18">
        <f t="shared" ref="F13" si="3">+E13*0.1</f>
        <v>699360</v>
      </c>
      <c r="G13" s="15">
        <f t="shared" ref="G13" si="4">+E13+F13</f>
        <v>7692960</v>
      </c>
      <c r="H13" s="60">
        <f>G13-SUMIF('2022.05.31'!$B:$B,B13,'2022.05.31'!G:G)</f>
        <v>1429230</v>
      </c>
      <c r="I13" s="116"/>
    </row>
    <row r="14" spans="1:9" s="101" customFormat="1" ht="24" customHeight="1">
      <c r="A14" s="17">
        <f t="shared" si="2"/>
        <v>11</v>
      </c>
      <c r="B14" s="17" t="s">
        <v>91</v>
      </c>
      <c r="C14" s="17" t="s">
        <v>36</v>
      </c>
      <c r="D14" s="18">
        <f>2225+1200+1065</f>
        <v>4490</v>
      </c>
      <c r="E14" s="18">
        <f>D14*500</f>
        <v>2245000</v>
      </c>
      <c r="F14" s="18">
        <f t="shared" si="0"/>
        <v>224500</v>
      </c>
      <c r="G14" s="107">
        <f t="shared" ref="G14:G15" si="5">+E14+F14</f>
        <v>2469500</v>
      </c>
      <c r="H14" s="60">
        <f>G14-SUMIF('2022.05.31'!$B:$B,B14,'2022.05.31'!G:G)</f>
        <v>-1501500</v>
      </c>
      <c r="I14" s="126"/>
    </row>
    <row r="15" spans="1:9" s="98" customFormat="1" ht="24" customHeight="1">
      <c r="A15" s="17">
        <f t="shared" si="2"/>
        <v>12</v>
      </c>
      <c r="B15" s="17" t="s">
        <v>4</v>
      </c>
      <c r="C15" s="17" t="s">
        <v>30</v>
      </c>
      <c r="D15" s="124"/>
      <c r="E15" s="124">
        <v>5000000</v>
      </c>
      <c r="F15" s="124">
        <f>E15*0.1</f>
        <v>500000</v>
      </c>
      <c r="G15" s="123">
        <f t="shared" si="5"/>
        <v>5500000</v>
      </c>
      <c r="H15" s="60">
        <f>G15-SUMIF('2022.05.31'!$B:$B,B15,'2022.05.31'!G:G)</f>
        <v>0</v>
      </c>
      <c r="I15" s="19"/>
    </row>
    <row r="16" spans="1:9" s="98" customFormat="1" ht="24" hidden="1" customHeight="1">
      <c r="A16" s="11"/>
      <c r="B16" s="11"/>
      <c r="C16" s="11"/>
      <c r="D16" s="22"/>
      <c r="E16" s="22"/>
      <c r="F16" s="22"/>
      <c r="G16" s="22"/>
      <c r="H16" s="58">
        <f>G16-SUMIF('2022.04'!$B:$B,B16,'2022.04'!G:G)</f>
        <v>0</v>
      </c>
      <c r="I16" s="131" t="s">
        <v>16</v>
      </c>
    </row>
    <row r="17" spans="1:9" s="101" customFormat="1" ht="24" hidden="1" customHeight="1">
      <c r="A17" s="129">
        <f t="shared" si="2"/>
        <v>14</v>
      </c>
      <c r="B17" s="129" t="s">
        <v>37</v>
      </c>
      <c r="C17" s="129" t="s">
        <v>47</v>
      </c>
      <c r="D17" s="130"/>
      <c r="E17" s="130"/>
      <c r="F17" s="130"/>
      <c r="G17" s="130">
        <f>+E17+F17</f>
        <v>0</v>
      </c>
      <c r="H17" s="58">
        <f>G17-SUMIF('2022.04'!$B:$B,B17,'2022.04'!G:G)</f>
        <v>0</v>
      </c>
      <c r="I17" s="138" t="s">
        <v>16</v>
      </c>
    </row>
    <row r="18" spans="1:9" s="39" customFormat="1" ht="24" customHeight="1">
      <c r="A18" s="366" t="s">
        <v>18</v>
      </c>
      <c r="B18" s="367"/>
      <c r="C18" s="148"/>
      <c r="D18" s="25">
        <f>SUM(D4:D17)</f>
        <v>1038818</v>
      </c>
      <c r="E18" s="25">
        <f>SUM(E4:E17)</f>
        <v>206088350</v>
      </c>
      <c r="F18" s="25">
        <f>SUM(F4:F17)</f>
        <v>19963235</v>
      </c>
      <c r="G18" s="25">
        <f>SUM(G4:G17)</f>
        <v>226051585</v>
      </c>
      <c r="H18" s="63">
        <f>G18-'2022.04'!G25</f>
        <v>-10136417.5</v>
      </c>
      <c r="I18" s="9"/>
    </row>
    <row r="20" spans="1:9">
      <c r="B20" s="45" t="s">
        <v>50</v>
      </c>
      <c r="E20" s="42">
        <f>E18-'2022.05.31'!E22</f>
        <v>216759350</v>
      </c>
      <c r="F20" s="42">
        <f>F18-'2022.05.31'!F22</f>
        <v>20867930</v>
      </c>
      <c r="G20" s="42">
        <f>G18-'2022.05.31'!G22</f>
        <v>237627280</v>
      </c>
      <c r="H20" s="42"/>
      <c r="I20" s="41"/>
    </row>
    <row r="21" spans="1:9">
      <c r="D21"/>
    </row>
    <row r="22" spans="1:9">
      <c r="E22" s="24"/>
      <c r="F22" s="24"/>
      <c r="G22" s="24"/>
    </row>
  </sheetData>
  <autoFilter ref="A3:I3"/>
  <mergeCells count="2">
    <mergeCell ref="A1:I1"/>
    <mergeCell ref="A18:B1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showGridLines="0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D16" sqref="D16"/>
    </sheetView>
  </sheetViews>
  <sheetFormatPr defaultColWidth="9" defaultRowHeight="16.5"/>
  <cols>
    <col min="1" max="1" width="7.5" bestFit="1" customWidth="1"/>
    <col min="2" max="2" width="20" customWidth="1"/>
    <col min="3" max="3" width="15.375" bestFit="1" customWidth="1"/>
    <col min="4" max="4" width="12.375" style="2" bestFit="1" customWidth="1"/>
    <col min="5" max="5" width="14.875" style="2" bestFit="1" customWidth="1"/>
    <col min="6" max="6" width="13.625" style="2" bestFit="1" customWidth="1"/>
    <col min="7" max="7" width="14.875" style="2" bestFit="1" customWidth="1"/>
    <col min="8" max="8" width="14.875" style="2" customWidth="1"/>
    <col min="9" max="9" width="47.375" customWidth="1"/>
    <col min="10" max="16384" width="9" style="40"/>
  </cols>
  <sheetData>
    <row r="1" spans="1:9" ht="38.25">
      <c r="A1" s="363" t="s">
        <v>96</v>
      </c>
      <c r="B1" s="363"/>
      <c r="C1" s="363"/>
      <c r="D1" s="363"/>
      <c r="E1" s="363"/>
      <c r="F1" s="363"/>
      <c r="G1" s="363"/>
      <c r="H1" s="363"/>
      <c r="I1" s="363"/>
    </row>
    <row r="2" spans="1:9">
      <c r="I2" s="44" t="s">
        <v>97</v>
      </c>
    </row>
    <row r="3" spans="1:9" s="38" customFormat="1">
      <c r="A3" s="5" t="s">
        <v>12</v>
      </c>
      <c r="B3" s="5" t="s">
        <v>0</v>
      </c>
      <c r="C3" s="5" t="s">
        <v>26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50</v>
      </c>
      <c r="I3" s="5" t="s">
        <v>23</v>
      </c>
    </row>
    <row r="4" spans="1:9" s="98" customFormat="1" ht="24" customHeight="1">
      <c r="A4" s="8">
        <f>ROW()-3</f>
        <v>1</v>
      </c>
      <c r="B4" s="8" t="s">
        <v>13</v>
      </c>
      <c r="C4" s="8" t="s">
        <v>27</v>
      </c>
      <c r="D4" s="36"/>
      <c r="E4" s="36"/>
      <c r="F4" s="22">
        <f t="shared" ref="F4:F16" si="0">+E4*0.1</f>
        <v>0</v>
      </c>
      <c r="G4" s="36">
        <f t="shared" ref="G4:G13" si="1">+E4+F4</f>
        <v>0</v>
      </c>
      <c r="H4" s="58">
        <f>G4-SUMIF('2022.04'!$B:$B,B4,'2022.04'!G:G)</f>
        <v>0</v>
      </c>
      <c r="I4" s="37"/>
    </row>
    <row r="5" spans="1:9" s="98" customFormat="1" ht="24" customHeight="1">
      <c r="A5" s="8">
        <f t="shared" ref="A5:A19" si="2">ROW()-3</f>
        <v>2</v>
      </c>
      <c r="B5" s="8" t="s">
        <v>5</v>
      </c>
      <c r="C5" s="8" t="s">
        <v>34</v>
      </c>
      <c r="D5" s="36">
        <v>566070</v>
      </c>
      <c r="E5" s="36">
        <v>87740850</v>
      </c>
      <c r="F5" s="22">
        <f t="shared" si="0"/>
        <v>8774085</v>
      </c>
      <c r="G5" s="36">
        <f t="shared" si="1"/>
        <v>96514935</v>
      </c>
      <c r="H5" s="58">
        <f>G5-SUMIF('2022.04'!$B:$B,B5,'2022.04'!G:G)</f>
        <v>1164515</v>
      </c>
      <c r="I5" s="37" t="s">
        <v>103</v>
      </c>
    </row>
    <row r="6" spans="1:9" s="98" customFormat="1" ht="24" customHeight="1">
      <c r="A6" s="8">
        <f t="shared" si="2"/>
        <v>3</v>
      </c>
      <c r="B6" s="8" t="s">
        <v>11</v>
      </c>
      <c r="C6" s="8" t="s">
        <v>34</v>
      </c>
      <c r="D6" s="36">
        <v>378035</v>
      </c>
      <c r="E6" s="36">
        <v>61060575</v>
      </c>
      <c r="F6" s="22">
        <f t="shared" si="0"/>
        <v>6106057.5</v>
      </c>
      <c r="G6" s="36">
        <f t="shared" si="1"/>
        <v>67166632.5</v>
      </c>
      <c r="H6" s="58">
        <f>G6-SUMIF('2022.04'!$B:$B,B6,'2022.04'!G:G)</f>
        <v>-9771245</v>
      </c>
      <c r="I6" s="37" t="s">
        <v>98</v>
      </c>
    </row>
    <row r="7" spans="1:9" s="98" customFormat="1" ht="24" customHeight="1">
      <c r="A7" s="8">
        <f t="shared" si="2"/>
        <v>4</v>
      </c>
      <c r="B7" s="11" t="s">
        <v>2</v>
      </c>
      <c r="C7" s="11" t="s">
        <v>28</v>
      </c>
      <c r="D7" s="36">
        <v>36320</v>
      </c>
      <c r="E7" s="36">
        <v>6177400</v>
      </c>
      <c r="F7" s="22">
        <f t="shared" si="0"/>
        <v>617740</v>
      </c>
      <c r="G7" s="36">
        <f t="shared" si="1"/>
        <v>6795140</v>
      </c>
      <c r="H7" s="58">
        <f>G7-SUMIF('2022.04'!$B:$B,B7,'2022.04'!G:G)</f>
        <v>-928070</v>
      </c>
      <c r="I7" s="37"/>
    </row>
    <row r="8" spans="1:9" s="98" customFormat="1" ht="24" customHeight="1">
      <c r="A8" s="8">
        <f t="shared" si="2"/>
        <v>5</v>
      </c>
      <c r="B8" s="11" t="s">
        <v>9</v>
      </c>
      <c r="C8" s="11" t="s">
        <v>28</v>
      </c>
      <c r="D8" s="132">
        <v>18200</v>
      </c>
      <c r="E8" s="132">
        <v>2548000</v>
      </c>
      <c r="F8" s="22">
        <f t="shared" si="0"/>
        <v>254800</v>
      </c>
      <c r="G8" s="36">
        <f t="shared" si="1"/>
        <v>2802800</v>
      </c>
      <c r="H8" s="58">
        <f>G8-SUMIF('2022.04'!$B:$B,B8,'2022.04'!G:G)</f>
        <v>120120</v>
      </c>
      <c r="I8" s="37"/>
    </row>
    <row r="9" spans="1:9" s="98" customFormat="1" ht="24" customHeight="1">
      <c r="A9" s="8">
        <f t="shared" si="2"/>
        <v>6</v>
      </c>
      <c r="B9" s="8" t="s">
        <v>1</v>
      </c>
      <c r="C9" s="8" t="s">
        <v>49</v>
      </c>
      <c r="D9" s="144">
        <v>17185</v>
      </c>
      <c r="E9" s="144">
        <v>3778000</v>
      </c>
      <c r="F9" s="145">
        <v>0</v>
      </c>
      <c r="G9" s="144">
        <f t="shared" si="1"/>
        <v>3778000</v>
      </c>
      <c r="H9" s="144">
        <f>G9-SUMIF('2022.04'!$B:$B,B9,'2022.04'!G:G)</f>
        <v>-380100</v>
      </c>
      <c r="I9" s="133" t="s">
        <v>17</v>
      </c>
    </row>
    <row r="10" spans="1:9" s="98" customFormat="1" ht="24" customHeight="1">
      <c r="A10" s="8">
        <f t="shared" si="2"/>
        <v>7</v>
      </c>
      <c r="B10" s="8" t="s">
        <v>1</v>
      </c>
      <c r="C10" s="8" t="s">
        <v>104</v>
      </c>
      <c r="D10" s="144">
        <v>41465</v>
      </c>
      <c r="E10" s="144">
        <v>-1243950</v>
      </c>
      <c r="F10" s="145">
        <v>0</v>
      </c>
      <c r="G10" s="144">
        <f t="shared" ref="G10" si="3">+E10+F10</f>
        <v>-1243950</v>
      </c>
      <c r="H10" s="144"/>
      <c r="I10" s="133" t="s">
        <v>17</v>
      </c>
    </row>
    <row r="11" spans="1:9" s="98" customFormat="1" ht="24" customHeight="1">
      <c r="A11" s="8">
        <f t="shared" si="2"/>
        <v>8</v>
      </c>
      <c r="B11" s="8" t="s">
        <v>69</v>
      </c>
      <c r="C11" s="8" t="s">
        <v>46</v>
      </c>
      <c r="D11" s="36">
        <v>15990</v>
      </c>
      <c r="E11" s="36">
        <v>27183000</v>
      </c>
      <c r="F11" s="22">
        <f t="shared" si="0"/>
        <v>2718300</v>
      </c>
      <c r="G11" s="36">
        <f t="shared" si="1"/>
        <v>29901300</v>
      </c>
      <c r="H11" s="58">
        <f>G11-SUMIF('2022.04'!$B:$B,B11,'2022.04'!G:G)</f>
        <v>1706375</v>
      </c>
      <c r="I11" s="134" t="s">
        <v>99</v>
      </c>
    </row>
    <row r="12" spans="1:9" s="98" customFormat="1" ht="24" customHeight="1">
      <c r="A12" s="8">
        <f t="shared" si="2"/>
        <v>9</v>
      </c>
      <c r="B12" s="8" t="s">
        <v>7</v>
      </c>
      <c r="C12" s="8" t="s">
        <v>32</v>
      </c>
      <c r="D12" s="36">
        <v>3760</v>
      </c>
      <c r="E12" s="36">
        <v>526400</v>
      </c>
      <c r="F12" s="22">
        <f t="shared" si="0"/>
        <v>52640</v>
      </c>
      <c r="G12" s="36">
        <f t="shared" si="1"/>
        <v>579040</v>
      </c>
      <c r="H12" s="58">
        <f>G12-SUMIF('2022.04'!$B:$B,B12,'2022.04'!G:G)</f>
        <v>19250</v>
      </c>
      <c r="I12" s="135"/>
    </row>
    <row r="13" spans="1:9" s="98" customFormat="1" ht="24" customHeight="1">
      <c r="A13" s="8">
        <f t="shared" si="2"/>
        <v>10</v>
      </c>
      <c r="B13" s="8" t="s">
        <v>38</v>
      </c>
      <c r="C13" s="8" t="s">
        <v>92</v>
      </c>
      <c r="D13" s="36">
        <v>3078</v>
      </c>
      <c r="E13" s="36">
        <v>5694300</v>
      </c>
      <c r="F13" s="22">
        <f t="shared" si="0"/>
        <v>569430</v>
      </c>
      <c r="G13" s="36">
        <f t="shared" si="1"/>
        <v>6263730</v>
      </c>
      <c r="H13" s="58">
        <f>G13-SUMIF('2022.04'!$B:$B,B13,'2022.04'!G:G)</f>
        <v>-1740200</v>
      </c>
      <c r="I13" s="136"/>
    </row>
    <row r="14" spans="1:9" s="98" customFormat="1" ht="24" customHeight="1">
      <c r="A14" s="11">
        <f t="shared" si="2"/>
        <v>11</v>
      </c>
      <c r="B14" s="11" t="s">
        <v>74</v>
      </c>
      <c r="C14" s="11" t="s">
        <v>57</v>
      </c>
      <c r="D14" s="132">
        <v>3595</v>
      </c>
      <c r="E14" s="137">
        <f>+D14*320</f>
        <v>1150400</v>
      </c>
      <c r="F14" s="22">
        <f t="shared" si="0"/>
        <v>115040</v>
      </c>
      <c r="G14" s="132">
        <f>+E14+F14</f>
        <v>1265440</v>
      </c>
      <c r="H14" s="58">
        <f>G14-SUMIF('2022.04'!$B:$B,B14,'2022.04'!G:G)</f>
        <v>1265440</v>
      </c>
      <c r="I14" s="138"/>
    </row>
    <row r="15" spans="1:9" s="98" customFormat="1" ht="24" customHeight="1">
      <c r="A15" s="11">
        <f t="shared" si="2"/>
        <v>12</v>
      </c>
      <c r="B15" s="11" t="s">
        <v>75</v>
      </c>
      <c r="C15" s="11" t="s">
        <v>57</v>
      </c>
      <c r="D15" s="132">
        <v>3745</v>
      </c>
      <c r="E15" s="132">
        <v>1198400</v>
      </c>
      <c r="F15" s="22">
        <f t="shared" si="0"/>
        <v>119840</v>
      </c>
      <c r="G15" s="132">
        <f t="shared" ref="G15:G17" si="4">+E15+F15</f>
        <v>1318240</v>
      </c>
      <c r="H15" s="58">
        <f>G15-SUMIF('2022.04'!$B:$B,B15,'2022.04'!G:G)</f>
        <v>-322080</v>
      </c>
      <c r="I15" s="141"/>
    </row>
    <row r="16" spans="1:9" s="101" customFormat="1" ht="24" customHeight="1">
      <c r="A16" s="11">
        <f t="shared" si="2"/>
        <v>13</v>
      </c>
      <c r="B16" s="11" t="s">
        <v>91</v>
      </c>
      <c r="C16" s="11" t="s">
        <v>36</v>
      </c>
      <c r="D16" s="22">
        <f>2305+2750+2165</f>
        <v>7220</v>
      </c>
      <c r="E16" s="22">
        <f>1152500+1375000+1082500</f>
        <v>3610000</v>
      </c>
      <c r="F16" s="22">
        <f t="shared" si="0"/>
        <v>361000</v>
      </c>
      <c r="G16" s="132">
        <f t="shared" si="4"/>
        <v>3971000</v>
      </c>
      <c r="H16" s="58">
        <f>G16-SUMIF('2022.04'!$B:$B,B16,'2022.04'!G:G)</f>
        <v>-1465750</v>
      </c>
      <c r="I16" s="142"/>
    </row>
    <row r="17" spans="1:9" s="98" customFormat="1" ht="24" customHeight="1">
      <c r="A17" s="11">
        <f t="shared" si="2"/>
        <v>14</v>
      </c>
      <c r="B17" s="11" t="s">
        <v>4</v>
      </c>
      <c r="C17" s="11" t="s">
        <v>30</v>
      </c>
      <c r="D17" s="140"/>
      <c r="E17" s="140">
        <v>5000000</v>
      </c>
      <c r="F17" s="140">
        <f>E17*0.1</f>
        <v>500000</v>
      </c>
      <c r="G17" s="139">
        <f t="shared" si="4"/>
        <v>5500000</v>
      </c>
      <c r="H17" s="58">
        <f>G17-SUMIF('2022.04'!$B:$B,B17,'2022.04'!G:G)</f>
        <v>0</v>
      </c>
      <c r="I17" s="143"/>
    </row>
    <row r="18" spans="1:9" s="98" customFormat="1" ht="24" hidden="1" customHeight="1">
      <c r="A18" s="11"/>
      <c r="B18" s="11"/>
      <c r="C18" s="11"/>
      <c r="D18" s="22"/>
      <c r="E18" s="22"/>
      <c r="F18" s="22"/>
      <c r="G18" s="22"/>
      <c r="H18" s="58">
        <f>G18-SUMIF('2022.04'!$B:$B,B18,'2022.04'!G:G)</f>
        <v>0</v>
      </c>
      <c r="I18" s="131" t="s">
        <v>16</v>
      </c>
    </row>
    <row r="19" spans="1:9" s="101" customFormat="1" ht="24" hidden="1" customHeight="1">
      <c r="A19" s="129">
        <f t="shared" si="2"/>
        <v>16</v>
      </c>
      <c r="B19" s="129" t="s">
        <v>37</v>
      </c>
      <c r="C19" s="129" t="s">
        <v>47</v>
      </c>
      <c r="D19" s="130"/>
      <c r="E19" s="130"/>
      <c r="F19" s="130"/>
      <c r="G19" s="130">
        <f>+E19+F19</f>
        <v>0</v>
      </c>
      <c r="H19" s="58">
        <f>G19-SUMIF('2022.04'!$B:$B,B19,'2022.04'!G:G)</f>
        <v>0</v>
      </c>
      <c r="I19" s="138" t="s">
        <v>16</v>
      </c>
    </row>
    <row r="20" spans="1:9" s="39" customFormat="1" ht="24" customHeight="1">
      <c r="A20" s="366" t="s">
        <v>18</v>
      </c>
      <c r="B20" s="367"/>
      <c r="C20" s="128"/>
      <c r="D20" s="25">
        <f>SUM(D4:D19)</f>
        <v>1094663</v>
      </c>
      <c r="E20" s="25">
        <f>SUM(E4:E19)</f>
        <v>204423375</v>
      </c>
      <c r="F20" s="25">
        <f>SUM(F4:F19)</f>
        <v>20188932.5</v>
      </c>
      <c r="G20" s="25">
        <f>SUM(G4:G19)</f>
        <v>224612307.5</v>
      </c>
      <c r="H20" s="63">
        <f>G20-'2022.04'!G25</f>
        <v>-11575695</v>
      </c>
      <c r="I20" s="9"/>
    </row>
    <row r="22" spans="1:9">
      <c r="B22" s="45" t="s">
        <v>50</v>
      </c>
      <c r="E22" s="42">
        <f>E20-'2022.04'!E27</f>
        <v>-10671000</v>
      </c>
      <c r="F22" s="42">
        <f>F20-'2022.04'!F27</f>
        <v>-904695</v>
      </c>
      <c r="G22" s="42">
        <f>G20-'2022.04'!G27</f>
        <v>-11575695</v>
      </c>
      <c r="H22" s="42"/>
      <c r="I22" s="41"/>
    </row>
    <row r="23" spans="1:9">
      <c r="D23"/>
    </row>
    <row r="24" spans="1:9">
      <c r="E24" s="24"/>
      <c r="F24" s="24"/>
      <c r="G24" s="24"/>
    </row>
  </sheetData>
  <autoFilter ref="A3:I3"/>
  <mergeCells count="2">
    <mergeCell ref="A1:I1"/>
    <mergeCell ref="A20:B2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showGridLines="0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H9" sqref="H9"/>
    </sheetView>
  </sheetViews>
  <sheetFormatPr defaultColWidth="9" defaultRowHeight="16.5"/>
  <cols>
    <col min="1" max="1" width="7.5" bestFit="1" customWidth="1"/>
    <col min="2" max="2" width="20" customWidth="1"/>
    <col min="3" max="3" width="15.375" bestFit="1" customWidth="1"/>
    <col min="4" max="4" width="12.375" style="2" bestFit="1" customWidth="1"/>
    <col min="5" max="5" width="14.875" style="2" bestFit="1" customWidth="1"/>
    <col min="6" max="6" width="13.625" style="2" bestFit="1" customWidth="1"/>
    <col min="7" max="7" width="14.875" style="2" bestFit="1" customWidth="1"/>
    <col min="8" max="8" width="14.875" style="2" customWidth="1"/>
    <col min="9" max="9" width="47.375" customWidth="1"/>
    <col min="10" max="10" width="11.875" style="40" bestFit="1" customWidth="1"/>
    <col min="11" max="11" width="9.5" style="40" bestFit="1" customWidth="1"/>
    <col min="12" max="16384" width="9" style="40"/>
  </cols>
  <sheetData>
    <row r="1" spans="1:10" ht="38.25">
      <c r="A1" s="363" t="s">
        <v>96</v>
      </c>
      <c r="B1" s="363"/>
      <c r="C1" s="363"/>
      <c r="D1" s="363"/>
      <c r="E1" s="363"/>
      <c r="F1" s="363"/>
      <c r="G1" s="363"/>
      <c r="H1" s="363"/>
      <c r="I1" s="363"/>
    </row>
    <row r="2" spans="1:10">
      <c r="I2" s="44" t="s">
        <v>97</v>
      </c>
    </row>
    <row r="3" spans="1:10" s="38" customFormat="1">
      <c r="A3" s="5" t="s">
        <v>12</v>
      </c>
      <c r="B3" s="5" t="s">
        <v>0</v>
      </c>
      <c r="C3" s="5" t="s">
        <v>26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50</v>
      </c>
      <c r="I3" s="5" t="s">
        <v>23</v>
      </c>
    </row>
    <row r="4" spans="1:10" s="98" customFormat="1" ht="24" customHeight="1">
      <c r="A4" s="78">
        <f>ROW()-3</f>
        <v>1</v>
      </c>
      <c r="B4" s="78" t="s">
        <v>13</v>
      </c>
      <c r="C4" s="78" t="s">
        <v>27</v>
      </c>
      <c r="D4" s="79"/>
      <c r="E4" s="79"/>
      <c r="F4" s="80">
        <f t="shared" ref="F4:F20" si="0">+E4*0.1</f>
        <v>0</v>
      </c>
      <c r="G4" s="79">
        <f t="shared" ref="G4:G14" si="1">+E4+F4</f>
        <v>0</v>
      </c>
      <c r="H4" s="81">
        <f>G4-SUMIF('2021.12'!$B:$B,B4,'2021.12'!G:G)</f>
        <v>0</v>
      </c>
      <c r="I4" s="82"/>
    </row>
    <row r="5" spans="1:10" s="98" customFormat="1" ht="24" customHeight="1">
      <c r="A5" s="14">
        <f t="shared" ref="A5:A25" si="2">ROW()-3</f>
        <v>2</v>
      </c>
      <c r="B5" s="14" t="s">
        <v>5</v>
      </c>
      <c r="C5" s="14" t="s">
        <v>34</v>
      </c>
      <c r="D5" s="15">
        <v>566070</v>
      </c>
      <c r="E5" s="15">
        <v>87740850</v>
      </c>
      <c r="F5" s="18">
        <f t="shared" si="0"/>
        <v>8774085</v>
      </c>
      <c r="G5" s="15">
        <f t="shared" si="1"/>
        <v>96514935</v>
      </c>
      <c r="H5" s="60">
        <f>G5-SUMIF('2021.12'!$B:$B,B5,'2021.12'!G:G)</f>
        <v>-31921615</v>
      </c>
      <c r="I5" s="16" t="s">
        <v>103</v>
      </c>
      <c r="J5" s="99"/>
    </row>
    <row r="6" spans="1:10" s="98" customFormat="1" ht="24" customHeight="1">
      <c r="A6" s="14">
        <f t="shared" si="2"/>
        <v>3</v>
      </c>
      <c r="B6" s="14" t="s">
        <v>11</v>
      </c>
      <c r="C6" s="14" t="s">
        <v>34</v>
      </c>
      <c r="D6" s="15">
        <v>378035</v>
      </c>
      <c r="E6" s="15">
        <v>61060575</v>
      </c>
      <c r="F6" s="18">
        <f t="shared" si="0"/>
        <v>6106057.5</v>
      </c>
      <c r="G6" s="15">
        <f t="shared" si="1"/>
        <v>67166632.5</v>
      </c>
      <c r="H6" s="60">
        <f>G6-SUMIF('2021.12'!$B:$B,B6,'2021.12'!G:G)</f>
        <v>1222155</v>
      </c>
      <c r="I6" s="16" t="s">
        <v>98</v>
      </c>
      <c r="J6" s="99"/>
    </row>
    <row r="7" spans="1:10" s="98" customFormat="1" ht="24" customHeight="1">
      <c r="A7" s="14">
        <f t="shared" si="2"/>
        <v>4</v>
      </c>
      <c r="B7" s="17" t="s">
        <v>2</v>
      </c>
      <c r="C7" s="17" t="s">
        <v>28</v>
      </c>
      <c r="D7" s="15">
        <v>36320</v>
      </c>
      <c r="E7" s="15">
        <v>6177400</v>
      </c>
      <c r="F7" s="18">
        <f t="shared" si="0"/>
        <v>617740</v>
      </c>
      <c r="G7" s="15">
        <f t="shared" si="1"/>
        <v>6795140</v>
      </c>
      <c r="H7" s="60">
        <f>G7-SUMIF('2021.12'!$B:$B,B7,'2021.12'!G:G)</f>
        <v>4200240</v>
      </c>
      <c r="I7" s="16"/>
      <c r="J7" s="99"/>
    </row>
    <row r="8" spans="1:10" s="98" customFormat="1" ht="24" customHeight="1">
      <c r="A8" s="93">
        <f t="shared" si="2"/>
        <v>5</v>
      </c>
      <c r="B8" s="93" t="s">
        <v>8</v>
      </c>
      <c r="C8" s="93" t="s">
        <v>28</v>
      </c>
      <c r="D8" s="94"/>
      <c r="E8" s="94"/>
      <c r="F8" s="80">
        <f t="shared" si="0"/>
        <v>0</v>
      </c>
      <c r="G8" s="79">
        <f t="shared" si="1"/>
        <v>0</v>
      </c>
      <c r="H8" s="81">
        <f>G8-SUMIF('2021.12'!$B:$B,B8,'2021.12'!G:G)</f>
        <v>0</v>
      </c>
      <c r="I8" s="96"/>
      <c r="J8" s="99"/>
    </row>
    <row r="9" spans="1:10" s="98" customFormat="1" ht="24" customHeight="1">
      <c r="A9" s="14">
        <f t="shared" si="2"/>
        <v>6</v>
      </c>
      <c r="B9" s="17" t="s">
        <v>9</v>
      </c>
      <c r="C9" s="17" t="s">
        <v>28</v>
      </c>
      <c r="D9" s="107">
        <v>18200</v>
      </c>
      <c r="E9" s="107">
        <v>2548000</v>
      </c>
      <c r="F9" s="18">
        <f t="shared" si="0"/>
        <v>254800</v>
      </c>
      <c r="G9" s="15">
        <f t="shared" si="1"/>
        <v>2802800</v>
      </c>
      <c r="H9" s="60">
        <f>G9-SUMIF('2021.12'!$B:$B,B9,'2021.12'!G:G)</f>
        <v>1540</v>
      </c>
      <c r="I9" s="16"/>
      <c r="J9" s="99"/>
    </row>
    <row r="10" spans="1:10" s="98" customFormat="1" ht="24" customHeight="1">
      <c r="A10" s="78">
        <f t="shared" si="2"/>
        <v>7</v>
      </c>
      <c r="B10" s="78" t="s">
        <v>1</v>
      </c>
      <c r="C10" s="78" t="s">
        <v>49</v>
      </c>
      <c r="D10" s="79"/>
      <c r="E10" s="79"/>
      <c r="F10" s="80">
        <v>0</v>
      </c>
      <c r="G10" s="79">
        <f t="shared" si="1"/>
        <v>0</v>
      </c>
      <c r="H10" s="81">
        <f>G10-SUMIF('2021.12'!$B:$B,B10,'2021.12'!G:G)</f>
        <v>0</v>
      </c>
      <c r="I10" s="112" t="s">
        <v>17</v>
      </c>
      <c r="J10" s="99"/>
    </row>
    <row r="11" spans="1:10" s="98" customFormat="1" ht="24" customHeight="1">
      <c r="A11" s="14">
        <f t="shared" si="2"/>
        <v>8</v>
      </c>
      <c r="B11" s="14" t="s">
        <v>69</v>
      </c>
      <c r="C11" s="14" t="s">
        <v>46</v>
      </c>
      <c r="D11" s="15">
        <v>15990</v>
      </c>
      <c r="E11" s="15">
        <v>27183000</v>
      </c>
      <c r="F11" s="18">
        <f t="shared" si="0"/>
        <v>2718300</v>
      </c>
      <c r="G11" s="15">
        <f t="shared" si="1"/>
        <v>29901300</v>
      </c>
      <c r="H11" s="60">
        <f>G11-SUMIF('2021.12'!$B:$B,B11,'2021.12'!G:G)</f>
        <v>3781800</v>
      </c>
      <c r="I11" s="114" t="s">
        <v>99</v>
      </c>
      <c r="J11" s="99"/>
    </row>
    <row r="12" spans="1:10" s="98" customFormat="1" ht="24" customHeight="1">
      <c r="A12" s="14">
        <f t="shared" si="2"/>
        <v>9</v>
      </c>
      <c r="B12" s="14" t="s">
        <v>7</v>
      </c>
      <c r="C12" s="14" t="s">
        <v>32</v>
      </c>
      <c r="D12" s="15">
        <v>3760</v>
      </c>
      <c r="E12" s="15">
        <v>526400</v>
      </c>
      <c r="F12" s="18">
        <f t="shared" si="0"/>
        <v>52640</v>
      </c>
      <c r="G12" s="15">
        <f t="shared" si="1"/>
        <v>579040</v>
      </c>
      <c r="H12" s="60">
        <f>G12-SUMIF('2021.12'!$B:$B,B12,'2021.12'!G:G)</f>
        <v>49280</v>
      </c>
      <c r="I12" s="109"/>
      <c r="J12" s="99"/>
    </row>
    <row r="13" spans="1:10" s="98" customFormat="1" ht="24" customHeight="1">
      <c r="A13" s="78">
        <f t="shared" si="2"/>
        <v>10</v>
      </c>
      <c r="B13" s="78" t="s">
        <v>38</v>
      </c>
      <c r="C13" s="78" t="s">
        <v>57</v>
      </c>
      <c r="D13" s="79"/>
      <c r="E13" s="79"/>
      <c r="F13" s="80">
        <f t="shared" si="0"/>
        <v>0</v>
      </c>
      <c r="G13" s="79">
        <f t="shared" si="1"/>
        <v>0</v>
      </c>
      <c r="H13" s="81">
        <f>G13-SUMIF('2021.12'!$B:$B,B13,'2021.12'!G:G)</f>
        <v>-8689450</v>
      </c>
      <c r="I13" s="122"/>
      <c r="J13" s="99"/>
    </row>
    <row r="14" spans="1:10" s="98" customFormat="1" ht="24" customHeight="1">
      <c r="A14" s="14">
        <f t="shared" si="2"/>
        <v>11</v>
      </c>
      <c r="B14" s="14" t="s">
        <v>38</v>
      </c>
      <c r="C14" s="14" t="s">
        <v>92</v>
      </c>
      <c r="D14" s="15">
        <v>3078</v>
      </c>
      <c r="E14" s="15">
        <v>5694300</v>
      </c>
      <c r="F14" s="18">
        <f t="shared" si="0"/>
        <v>569430</v>
      </c>
      <c r="G14" s="15">
        <f t="shared" si="1"/>
        <v>6263730</v>
      </c>
      <c r="H14" s="60">
        <f>G14-SUMIF('2021.12'!$B:$B,B14,'2021.12'!G:G)</f>
        <v>-2425720</v>
      </c>
      <c r="I14" s="116"/>
      <c r="J14" s="99"/>
    </row>
    <row r="15" spans="1:10" s="98" customFormat="1" ht="24" customHeight="1">
      <c r="A15" s="93">
        <f t="shared" si="2"/>
        <v>12</v>
      </c>
      <c r="B15" s="93" t="s">
        <v>56</v>
      </c>
      <c r="C15" s="93" t="s">
        <v>57</v>
      </c>
      <c r="D15" s="94"/>
      <c r="E15" s="94"/>
      <c r="F15" s="80">
        <f t="shared" si="0"/>
        <v>0</v>
      </c>
      <c r="G15" s="94">
        <f>+E15+F15</f>
        <v>0</v>
      </c>
      <c r="H15" s="81">
        <f>G15-SUMIF('2021.12'!$B:$B,B15,'2021.12'!G:G)</f>
        <v>0</v>
      </c>
      <c r="I15" s="96"/>
      <c r="J15" s="99"/>
    </row>
    <row r="16" spans="1:10" s="98" customFormat="1" ht="24" customHeight="1">
      <c r="A16" s="83">
        <f t="shared" si="2"/>
        <v>13</v>
      </c>
      <c r="B16" s="83" t="s">
        <v>74</v>
      </c>
      <c r="C16" s="83" t="s">
        <v>57</v>
      </c>
      <c r="D16" s="88"/>
      <c r="E16" s="100"/>
      <c r="F16" s="80">
        <f t="shared" si="0"/>
        <v>0</v>
      </c>
      <c r="G16" s="88">
        <f>+E16+F16</f>
        <v>0</v>
      </c>
      <c r="H16" s="81">
        <f>G16-SUMIF('2021.12'!$B:$B,B16,'2021.12'!G:G)</f>
        <v>-566720</v>
      </c>
      <c r="I16" s="87"/>
      <c r="J16" s="99"/>
    </row>
    <row r="17" spans="1:10" s="98" customFormat="1" ht="24" customHeight="1">
      <c r="A17" s="17">
        <f t="shared" si="2"/>
        <v>14</v>
      </c>
      <c r="B17" s="17" t="s">
        <v>75</v>
      </c>
      <c r="C17" s="17" t="s">
        <v>57</v>
      </c>
      <c r="D17" s="123">
        <v>3745</v>
      </c>
      <c r="E17" s="123">
        <v>1198400</v>
      </c>
      <c r="F17" s="124">
        <f t="shared" si="0"/>
        <v>119840</v>
      </c>
      <c r="G17" s="123">
        <f t="shared" ref="G17:G23" si="3">+E17+F17</f>
        <v>1318240</v>
      </c>
      <c r="H17" s="125">
        <f>G17-SUMIF('2021.12'!$B:$B,B17,'2021.12'!G:G)</f>
        <v>1318240</v>
      </c>
      <c r="I17" s="113"/>
      <c r="J17" s="102"/>
    </row>
    <row r="18" spans="1:10" s="101" customFormat="1" ht="24" customHeight="1">
      <c r="A18" s="118">
        <f t="shared" si="2"/>
        <v>15</v>
      </c>
      <c r="B18" s="118" t="s">
        <v>35</v>
      </c>
      <c r="C18" s="118" t="s">
        <v>36</v>
      </c>
      <c r="D18" s="119"/>
      <c r="E18" s="119"/>
      <c r="F18" s="119">
        <f t="shared" si="0"/>
        <v>0</v>
      </c>
      <c r="G18" s="119">
        <f t="shared" si="3"/>
        <v>0</v>
      </c>
      <c r="H18" s="120">
        <f>G18-SUMIF('2021.12'!$B:$B,B18,'2021.12'!G:G)</f>
        <v>0</v>
      </c>
      <c r="I18" s="121"/>
      <c r="J18" s="99"/>
    </row>
    <row r="19" spans="1:10" s="101" customFormat="1" ht="24" customHeight="1">
      <c r="A19" s="17">
        <f t="shared" si="2"/>
        <v>16</v>
      </c>
      <c r="B19" s="17" t="s">
        <v>91</v>
      </c>
      <c r="C19" s="17" t="s">
        <v>36</v>
      </c>
      <c r="D19" s="18">
        <v>2305</v>
      </c>
      <c r="E19" s="18">
        <v>1152500</v>
      </c>
      <c r="F19" s="18">
        <f t="shared" si="0"/>
        <v>115250</v>
      </c>
      <c r="G19" s="107">
        <f t="shared" si="3"/>
        <v>1267750</v>
      </c>
      <c r="H19" s="60">
        <f>G19-SUMIF('2021.12'!$B:$B,B19,'2021.12'!G:G)</f>
        <v>1267750</v>
      </c>
      <c r="I19" s="126" t="s">
        <v>100</v>
      </c>
      <c r="J19" s="99"/>
    </row>
    <row r="20" spans="1:10" s="98" customFormat="1" ht="24" customHeight="1">
      <c r="A20" s="17">
        <f t="shared" si="2"/>
        <v>17</v>
      </c>
      <c r="B20" s="17" t="s">
        <v>91</v>
      </c>
      <c r="C20" s="17" t="s">
        <v>36</v>
      </c>
      <c r="D20" s="18">
        <v>2750</v>
      </c>
      <c r="E20" s="18">
        <v>1375000</v>
      </c>
      <c r="F20" s="18">
        <f t="shared" si="0"/>
        <v>137500</v>
      </c>
      <c r="G20" s="107">
        <f t="shared" si="3"/>
        <v>1512500</v>
      </c>
      <c r="H20" s="60">
        <f>G20-SUMIF('2021.12'!$B:$B,B20,'2021.12'!G:G)</f>
        <v>1512500</v>
      </c>
      <c r="I20" s="127" t="s">
        <v>101</v>
      </c>
      <c r="J20" s="99"/>
    </row>
    <row r="21" spans="1:10" s="98" customFormat="1" ht="24" customHeight="1">
      <c r="A21" s="17">
        <f t="shared" si="2"/>
        <v>18</v>
      </c>
      <c r="B21" s="17" t="s">
        <v>91</v>
      </c>
      <c r="C21" s="17" t="s">
        <v>36</v>
      </c>
      <c r="D21" s="18">
        <v>2165</v>
      </c>
      <c r="E21" s="18">
        <f>D21*500</f>
        <v>1082500</v>
      </c>
      <c r="F21" s="18">
        <f t="shared" ref="F21" si="4">+E21*0.1</f>
        <v>108250</v>
      </c>
      <c r="G21" s="107">
        <f t="shared" ref="G21" si="5">+E21+F21</f>
        <v>1190750</v>
      </c>
      <c r="H21" s="60">
        <f>G21-SUMIF('2021.12'!$B:$B,B21,'2021.12'!G:G)</f>
        <v>1190750</v>
      </c>
      <c r="I21" s="127" t="s">
        <v>102</v>
      </c>
      <c r="J21" s="99"/>
    </row>
    <row r="22" spans="1:10" s="98" customFormat="1" ht="24" customHeight="1">
      <c r="A22" s="83">
        <f t="shared" si="2"/>
        <v>19</v>
      </c>
      <c r="B22" s="83" t="s">
        <v>84</v>
      </c>
      <c r="C22" s="83" t="s">
        <v>36</v>
      </c>
      <c r="D22" s="80">
        <v>0</v>
      </c>
      <c r="E22" s="80">
        <f>+D22*450</f>
        <v>0</v>
      </c>
      <c r="F22" s="80">
        <v>0</v>
      </c>
      <c r="G22" s="88">
        <f t="shared" si="3"/>
        <v>0</v>
      </c>
      <c r="H22" s="81">
        <f>G22-SUMIF('2021.12'!$B:$B,B22,'2021.12'!G:G)</f>
        <v>0</v>
      </c>
      <c r="I22" s="82"/>
      <c r="J22" s="99"/>
    </row>
    <row r="23" spans="1:10" s="98" customFormat="1" ht="24" customHeight="1">
      <c r="A23" s="17">
        <f t="shared" si="2"/>
        <v>20</v>
      </c>
      <c r="B23" s="17" t="s">
        <v>4</v>
      </c>
      <c r="C23" s="17" t="s">
        <v>30</v>
      </c>
      <c r="D23" s="124"/>
      <c r="E23" s="124">
        <v>5000000</v>
      </c>
      <c r="F23" s="124">
        <f>E23*0.1</f>
        <v>500000</v>
      </c>
      <c r="G23" s="123">
        <f t="shared" si="3"/>
        <v>5500000</v>
      </c>
      <c r="H23" s="125">
        <f>G23-SUMIF('2021.12'!$B:$B,B23,'2021.12'!G:G)</f>
        <v>2750000</v>
      </c>
      <c r="I23" s="19"/>
      <c r="J23" s="99"/>
    </row>
    <row r="24" spans="1:10" s="98" customFormat="1" ht="24" customHeight="1">
      <c r="A24" s="84">
        <f t="shared" si="2"/>
        <v>21</v>
      </c>
      <c r="B24" s="84" t="s">
        <v>10</v>
      </c>
      <c r="C24" s="84" t="s">
        <v>41</v>
      </c>
      <c r="D24" s="85"/>
      <c r="E24" s="85"/>
      <c r="F24" s="85"/>
      <c r="G24" s="85">
        <f>+E24+F24</f>
        <v>0</v>
      </c>
      <c r="H24" s="81">
        <f>G24-SUMIF('2021.12'!$B:$B,B24,'2021.12'!G:G)</f>
        <v>0</v>
      </c>
      <c r="I24" s="92" t="s">
        <v>16</v>
      </c>
      <c r="J24" s="99"/>
    </row>
    <row r="25" spans="1:10" s="101" customFormat="1" ht="24" customHeight="1">
      <c r="A25" s="84">
        <f t="shared" si="2"/>
        <v>22</v>
      </c>
      <c r="B25" s="84" t="s">
        <v>37</v>
      </c>
      <c r="C25" s="84" t="s">
        <v>47</v>
      </c>
      <c r="D25" s="85"/>
      <c r="E25" s="85"/>
      <c r="F25" s="85"/>
      <c r="G25" s="85">
        <f>+E25+F25</f>
        <v>0</v>
      </c>
      <c r="H25" s="81">
        <f>G25-SUMIF('2021.12'!$B:$B,B25,'2021.12'!G:G)</f>
        <v>0</v>
      </c>
      <c r="I25" s="87" t="s">
        <v>16</v>
      </c>
      <c r="J25" s="99"/>
    </row>
    <row r="26" spans="1:10" s="39" customFormat="1" ht="24" customHeight="1">
      <c r="A26" s="366" t="s">
        <v>18</v>
      </c>
      <c r="B26" s="367"/>
      <c r="C26" s="117"/>
      <c r="D26" s="25">
        <f>SUM(D4:D25)</f>
        <v>1032418</v>
      </c>
      <c r="E26" s="25">
        <f>SUM(E4:E25)</f>
        <v>200738925</v>
      </c>
      <c r="F26" s="25">
        <f>SUM(F4:F25)</f>
        <v>20073892.5</v>
      </c>
      <c r="G26" s="25">
        <f>SUM(G4:G25)</f>
        <v>220812817.5</v>
      </c>
      <c r="H26" s="63">
        <f>G26-SUMIF('2021.09'!$B:$B,B26,'2021.09'!G:G)</f>
        <v>220812817.5</v>
      </c>
      <c r="I26" s="9"/>
    </row>
    <row r="28" spans="1:10">
      <c r="B28" s="45" t="s">
        <v>50</v>
      </c>
      <c r="E28" s="42">
        <f>E26-'2021.09'!E17</f>
        <v>200738925</v>
      </c>
      <c r="F28" s="42">
        <f>F26-'2021.09'!F17</f>
        <v>20073892.5</v>
      </c>
      <c r="G28" s="42">
        <f>G26-'2021.09'!G17</f>
        <v>220812817.5</v>
      </c>
      <c r="H28" s="42">
        <f>+H26-G28</f>
        <v>0</v>
      </c>
      <c r="I28" s="41"/>
    </row>
    <row r="29" spans="1:10">
      <c r="B29" s="46"/>
      <c r="C29" t="s">
        <v>54</v>
      </c>
    </row>
  </sheetData>
  <autoFilter ref="A3:I3"/>
  <mergeCells count="2">
    <mergeCell ref="A1:I1"/>
    <mergeCell ref="A26:B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2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"/>
  <sheetViews>
    <sheetView showGridLines="0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A17" sqref="A17:XFD17"/>
    </sheetView>
  </sheetViews>
  <sheetFormatPr defaultColWidth="9" defaultRowHeight="16.5"/>
  <cols>
    <col min="1" max="1" width="7.5" bestFit="1" customWidth="1"/>
    <col min="2" max="2" width="20" customWidth="1"/>
    <col min="3" max="3" width="15.375" bestFit="1" customWidth="1"/>
    <col min="4" max="4" width="12.375" style="2" bestFit="1" customWidth="1"/>
    <col min="5" max="5" width="14.875" style="2" bestFit="1" customWidth="1"/>
    <col min="6" max="6" width="13.625" style="2" bestFit="1" customWidth="1"/>
    <col min="7" max="7" width="14.875" style="2" bestFit="1" customWidth="1"/>
    <col min="8" max="8" width="14.875" style="2" customWidth="1"/>
    <col min="9" max="9" width="47.375" customWidth="1"/>
    <col min="10" max="10" width="11.875" style="40" bestFit="1" customWidth="1"/>
    <col min="11" max="16384" width="9" style="40"/>
  </cols>
  <sheetData>
    <row r="1" spans="1:10" ht="38.25">
      <c r="A1" s="363" t="s">
        <v>89</v>
      </c>
      <c r="B1" s="363"/>
      <c r="C1" s="363"/>
      <c r="D1" s="363"/>
      <c r="E1" s="363"/>
      <c r="F1" s="363"/>
      <c r="G1" s="363"/>
      <c r="H1" s="363"/>
      <c r="I1" s="363"/>
    </row>
    <row r="2" spans="1:10">
      <c r="I2" s="44" t="s">
        <v>90</v>
      </c>
    </row>
    <row r="3" spans="1:10" s="38" customFormat="1">
      <c r="A3" s="5" t="s">
        <v>12</v>
      </c>
      <c r="B3" s="5" t="s">
        <v>0</v>
      </c>
      <c r="C3" s="5" t="s">
        <v>26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50</v>
      </c>
      <c r="I3" s="5" t="s">
        <v>23</v>
      </c>
    </row>
    <row r="4" spans="1:10" s="98" customFormat="1" ht="24" customHeight="1">
      <c r="A4" s="78">
        <f>ROW()-3</f>
        <v>1</v>
      </c>
      <c r="B4" s="78" t="s">
        <v>13</v>
      </c>
      <c r="C4" s="78" t="s">
        <v>27</v>
      </c>
      <c r="D4" s="79"/>
      <c r="E4" s="79"/>
      <c r="F4" s="80">
        <f t="shared" ref="F4:F20" si="0">+E4*0.1</f>
        <v>0</v>
      </c>
      <c r="G4" s="79">
        <f t="shared" ref="G4:G14" si="1">+E4+F4</f>
        <v>0</v>
      </c>
      <c r="H4" s="81">
        <f>G4-SUMIF('2021.12'!$B:$B,B4,'2021.12'!G:G)</f>
        <v>0</v>
      </c>
      <c r="I4" s="82"/>
    </row>
    <row r="5" spans="1:10" s="98" customFormat="1" ht="24" customHeight="1">
      <c r="A5" s="14">
        <f t="shared" ref="A5:A22" si="2">ROW()-3</f>
        <v>2</v>
      </c>
      <c r="B5" s="14" t="s">
        <v>5</v>
      </c>
      <c r="C5" s="14" t="s">
        <v>34</v>
      </c>
      <c r="D5" s="15">
        <v>559240</v>
      </c>
      <c r="E5" s="15">
        <v>86682200</v>
      </c>
      <c r="F5" s="18">
        <f t="shared" si="0"/>
        <v>8668220</v>
      </c>
      <c r="G5" s="15">
        <f t="shared" si="1"/>
        <v>95350420</v>
      </c>
      <c r="H5" s="60">
        <f>G5-SUMIF('2021.12'!$B:$B,B5,'2021.12'!G:G)</f>
        <v>-33086130</v>
      </c>
      <c r="I5" s="16" t="s">
        <v>94</v>
      </c>
      <c r="J5" s="99"/>
    </row>
    <row r="6" spans="1:10" s="98" customFormat="1" ht="24" customHeight="1">
      <c r="A6" s="14">
        <f t="shared" si="2"/>
        <v>3</v>
      </c>
      <c r="B6" s="14" t="s">
        <v>11</v>
      </c>
      <c r="C6" s="14" t="s">
        <v>34</v>
      </c>
      <c r="D6" s="15">
        <v>430275</v>
      </c>
      <c r="E6" s="15">
        <v>69943525</v>
      </c>
      <c r="F6" s="18">
        <f t="shared" si="0"/>
        <v>6994352.5</v>
      </c>
      <c r="G6" s="15">
        <f t="shared" si="1"/>
        <v>76937877.5</v>
      </c>
      <c r="H6" s="60">
        <f>G6-SUMIF('2021.12'!$B:$B,B6,'2021.12'!G:G)</f>
        <v>10993400</v>
      </c>
      <c r="I6" s="16" t="s">
        <v>95</v>
      </c>
      <c r="J6" s="99"/>
    </row>
    <row r="7" spans="1:10" s="98" customFormat="1" ht="24" customHeight="1">
      <c r="A7" s="14">
        <f t="shared" si="2"/>
        <v>4</v>
      </c>
      <c r="B7" s="17" t="s">
        <v>2</v>
      </c>
      <c r="C7" s="17" t="s">
        <v>28</v>
      </c>
      <c r="D7" s="15">
        <v>41460</v>
      </c>
      <c r="E7" s="15">
        <v>7021100</v>
      </c>
      <c r="F7" s="18">
        <f t="shared" si="0"/>
        <v>702110</v>
      </c>
      <c r="G7" s="15">
        <f t="shared" si="1"/>
        <v>7723210</v>
      </c>
      <c r="H7" s="60">
        <f>G7-SUMIF('2021.12'!$B:$B,B7,'2021.12'!G:G)</f>
        <v>5128310</v>
      </c>
      <c r="I7" s="16"/>
      <c r="J7" s="99"/>
    </row>
    <row r="8" spans="1:10" s="98" customFormat="1" ht="24" customHeight="1">
      <c r="A8" s="93">
        <f t="shared" si="2"/>
        <v>5</v>
      </c>
      <c r="B8" s="93" t="s">
        <v>8</v>
      </c>
      <c r="C8" s="93" t="s">
        <v>28</v>
      </c>
      <c r="D8" s="94"/>
      <c r="E8" s="94"/>
      <c r="F8" s="80">
        <f t="shared" si="0"/>
        <v>0</v>
      </c>
      <c r="G8" s="79">
        <f t="shared" si="1"/>
        <v>0</v>
      </c>
      <c r="H8" s="81">
        <f>G8-SUMIF('2021.12'!$B:$B,B8,'2021.12'!G:G)</f>
        <v>0</v>
      </c>
      <c r="I8" s="96"/>
      <c r="J8" s="99"/>
    </row>
    <row r="9" spans="1:10" s="98" customFormat="1" ht="24" customHeight="1">
      <c r="A9" s="14">
        <f t="shared" si="2"/>
        <v>6</v>
      </c>
      <c r="B9" s="17" t="s">
        <v>9</v>
      </c>
      <c r="C9" s="17" t="s">
        <v>28</v>
      </c>
      <c r="D9" s="107">
        <v>17420</v>
      </c>
      <c r="E9" s="107">
        <v>2438800</v>
      </c>
      <c r="F9" s="18">
        <f t="shared" si="0"/>
        <v>243880</v>
      </c>
      <c r="G9" s="15">
        <f t="shared" si="1"/>
        <v>2682680</v>
      </c>
      <c r="H9" s="60">
        <f>G9-SUMIF('2021.12'!$B:$B,B9,'2021.12'!G:G)</f>
        <v>-118580</v>
      </c>
      <c r="I9" s="16"/>
      <c r="J9" s="99"/>
    </row>
    <row r="10" spans="1:10" s="98" customFormat="1" ht="24" customHeight="1">
      <c r="A10" s="78">
        <f t="shared" si="2"/>
        <v>7</v>
      </c>
      <c r="B10" s="78" t="s">
        <v>1</v>
      </c>
      <c r="C10" s="78" t="s">
        <v>49</v>
      </c>
      <c r="D10" s="79"/>
      <c r="E10" s="79">
        <v>4158100</v>
      </c>
      <c r="F10" s="80">
        <v>0</v>
      </c>
      <c r="G10" s="79">
        <f t="shared" si="1"/>
        <v>4158100</v>
      </c>
      <c r="H10" s="81">
        <f>G10-SUMIF('2021.12'!$B:$B,B10,'2021.12'!G:G)</f>
        <v>4158100</v>
      </c>
      <c r="I10" s="112" t="s">
        <v>17</v>
      </c>
      <c r="J10" s="99"/>
    </row>
    <row r="11" spans="1:10" s="98" customFormat="1" ht="24" customHeight="1">
      <c r="A11" s="14">
        <f t="shared" si="2"/>
        <v>8</v>
      </c>
      <c r="B11" s="14" t="s">
        <v>69</v>
      </c>
      <c r="C11" s="14" t="s">
        <v>46</v>
      </c>
      <c r="D11" s="15">
        <v>13855</v>
      </c>
      <c r="E11" s="15">
        <v>25631750</v>
      </c>
      <c r="F11" s="18">
        <f t="shared" si="0"/>
        <v>2563175</v>
      </c>
      <c r="G11" s="15">
        <f t="shared" si="1"/>
        <v>28194925</v>
      </c>
      <c r="H11" s="60">
        <f>G11-SUMIF('2021.12'!$B:$B,B11,'2021.12'!G:G)</f>
        <v>2075425</v>
      </c>
      <c r="I11" s="114" t="s">
        <v>88</v>
      </c>
      <c r="J11" s="99"/>
    </row>
    <row r="12" spans="1:10" s="98" customFormat="1" ht="24" customHeight="1">
      <c r="A12" s="14">
        <f t="shared" si="2"/>
        <v>9</v>
      </c>
      <c r="B12" s="14" t="s">
        <v>7</v>
      </c>
      <c r="C12" s="14" t="s">
        <v>32</v>
      </c>
      <c r="D12" s="15">
        <v>3635</v>
      </c>
      <c r="E12" s="15">
        <v>508900</v>
      </c>
      <c r="F12" s="18">
        <f t="shared" si="0"/>
        <v>50890</v>
      </c>
      <c r="G12" s="15">
        <f t="shared" si="1"/>
        <v>559790</v>
      </c>
      <c r="H12" s="60">
        <f>G12-SUMIF('2021.12'!$B:$B,B12,'2021.12'!G:G)</f>
        <v>30030</v>
      </c>
      <c r="I12" s="109"/>
      <c r="J12" s="99"/>
    </row>
    <row r="13" spans="1:10" s="98" customFormat="1" ht="24" customHeight="1">
      <c r="A13" s="14">
        <f t="shared" si="2"/>
        <v>10</v>
      </c>
      <c r="B13" s="14" t="s">
        <v>38</v>
      </c>
      <c r="C13" s="14" t="s">
        <v>57</v>
      </c>
      <c r="D13" s="15"/>
      <c r="E13" s="15">
        <v>20000</v>
      </c>
      <c r="F13" s="18">
        <f t="shared" si="0"/>
        <v>2000</v>
      </c>
      <c r="G13" s="15">
        <f t="shared" si="1"/>
        <v>22000</v>
      </c>
      <c r="H13" s="60">
        <f>G13-SUMIF('2021.12'!$B:$B,B13,'2021.12'!G:G)</f>
        <v>-8667450</v>
      </c>
      <c r="I13" s="116">
        <v>44667</v>
      </c>
      <c r="J13" s="99"/>
    </row>
    <row r="14" spans="1:10" s="98" customFormat="1" ht="24" customHeight="1">
      <c r="A14" s="14">
        <f t="shared" si="2"/>
        <v>11</v>
      </c>
      <c r="B14" s="14" t="s">
        <v>38</v>
      </c>
      <c r="C14" s="14" t="s">
        <v>92</v>
      </c>
      <c r="D14" s="15"/>
      <c r="E14" s="15">
        <v>7256300</v>
      </c>
      <c r="F14" s="18">
        <f t="shared" si="0"/>
        <v>725630</v>
      </c>
      <c r="G14" s="15">
        <f t="shared" si="1"/>
        <v>7981930</v>
      </c>
      <c r="H14" s="60">
        <f>G14-SUMIF('2021.12'!$B:$B,B14,'2021.12'!G:G)</f>
        <v>-707520</v>
      </c>
      <c r="I14" s="116">
        <v>44680</v>
      </c>
      <c r="J14" s="99"/>
    </row>
    <row r="15" spans="1:10" s="98" customFormat="1" ht="24" customHeight="1">
      <c r="A15" s="93">
        <f t="shared" si="2"/>
        <v>12</v>
      </c>
      <c r="B15" s="93" t="s">
        <v>56</v>
      </c>
      <c r="C15" s="93" t="s">
        <v>57</v>
      </c>
      <c r="D15" s="94"/>
      <c r="E15" s="94"/>
      <c r="F15" s="80">
        <f t="shared" si="0"/>
        <v>0</v>
      </c>
      <c r="G15" s="94">
        <f>+E15+F15</f>
        <v>0</v>
      </c>
      <c r="H15" s="81">
        <f>G15-SUMIF('2021.12'!$B:$B,B15,'2021.12'!G:G)</f>
        <v>0</v>
      </c>
      <c r="I15" s="96"/>
      <c r="J15" s="99"/>
    </row>
    <row r="16" spans="1:10" s="98" customFormat="1" ht="24" customHeight="1">
      <c r="A16" s="83">
        <f t="shared" si="2"/>
        <v>13</v>
      </c>
      <c r="B16" s="83" t="s">
        <v>74</v>
      </c>
      <c r="C16" s="83" t="s">
        <v>57</v>
      </c>
      <c r="D16" s="88"/>
      <c r="E16" s="100"/>
      <c r="F16" s="80">
        <f t="shared" si="0"/>
        <v>0</v>
      </c>
      <c r="G16" s="88">
        <f>+E16+F16</f>
        <v>0</v>
      </c>
      <c r="H16" s="81">
        <f>G16-SUMIF('2021.12'!$B:$B,B16,'2021.12'!G:G)</f>
        <v>-566720</v>
      </c>
      <c r="I16" s="87"/>
      <c r="J16" s="99"/>
    </row>
    <row r="17" spans="1:10" s="98" customFormat="1" ht="24" customHeight="1">
      <c r="A17" s="17">
        <f t="shared" si="2"/>
        <v>14</v>
      </c>
      <c r="B17" s="17" t="s">
        <v>93</v>
      </c>
      <c r="C17" s="17" t="s">
        <v>57</v>
      </c>
      <c r="D17" s="107">
        <v>4660</v>
      </c>
      <c r="E17" s="107">
        <v>1491200</v>
      </c>
      <c r="F17" s="18">
        <f t="shared" si="0"/>
        <v>149120</v>
      </c>
      <c r="G17" s="107">
        <f t="shared" ref="G17:G22" si="3">+E17+F17</f>
        <v>1640320</v>
      </c>
      <c r="H17" s="60">
        <f>G17-SUMIF('2021.12'!$B:$B,B17,'2021.12'!G:G)</f>
        <v>1640320</v>
      </c>
      <c r="I17" s="113"/>
      <c r="J17" s="102"/>
    </row>
    <row r="18" spans="1:10" s="101" customFormat="1" ht="24" customHeight="1">
      <c r="A18" s="118">
        <f t="shared" si="2"/>
        <v>15</v>
      </c>
      <c r="B18" s="118" t="s">
        <v>35</v>
      </c>
      <c r="C18" s="118" t="s">
        <v>36</v>
      </c>
      <c r="D18" s="119"/>
      <c r="E18" s="119"/>
      <c r="F18" s="119">
        <f t="shared" si="0"/>
        <v>0</v>
      </c>
      <c r="G18" s="119">
        <f t="shared" si="3"/>
        <v>0</v>
      </c>
      <c r="H18" s="120">
        <f>G18-SUMIF('2021.12'!$B:$B,B18,'2021.12'!G:G)</f>
        <v>0</v>
      </c>
      <c r="I18" s="121"/>
      <c r="J18" s="99"/>
    </row>
    <row r="19" spans="1:10" s="101" customFormat="1" ht="24" customHeight="1">
      <c r="A19" s="17">
        <f t="shared" si="2"/>
        <v>16</v>
      </c>
      <c r="B19" s="17" t="s">
        <v>91</v>
      </c>
      <c r="C19" s="17" t="s">
        <v>36</v>
      </c>
      <c r="D19" s="18">
        <v>9885</v>
      </c>
      <c r="E19" s="18">
        <v>4942500</v>
      </c>
      <c r="F19" s="18">
        <f t="shared" ref="F19" si="4">+E19*0.1</f>
        <v>494250</v>
      </c>
      <c r="G19" s="107">
        <f t="shared" ref="G19" si="5">+E19+F19</f>
        <v>5436750</v>
      </c>
      <c r="H19" s="60">
        <f>G19-SUMIF('2021.12'!$B:$B,B19,'2021.12'!G:G)</f>
        <v>5436750</v>
      </c>
      <c r="I19" s="70"/>
      <c r="J19" s="99"/>
    </row>
    <row r="20" spans="1:10" s="98" customFormat="1" ht="24" customHeight="1">
      <c r="A20" s="83">
        <f t="shared" si="2"/>
        <v>17</v>
      </c>
      <c r="B20" s="83" t="s">
        <v>63</v>
      </c>
      <c r="C20" s="83" t="s">
        <v>36</v>
      </c>
      <c r="D20" s="80"/>
      <c r="E20" s="80"/>
      <c r="F20" s="80">
        <f t="shared" si="0"/>
        <v>0</v>
      </c>
      <c r="G20" s="88">
        <f t="shared" si="3"/>
        <v>0</v>
      </c>
      <c r="H20" s="81">
        <f>G20-SUMIF('2021.12'!$B:$B,B20,'2021.12'!G:G)</f>
        <v>0</v>
      </c>
      <c r="I20" s="91"/>
      <c r="J20" s="99"/>
    </row>
    <row r="21" spans="1:10" s="98" customFormat="1" ht="24" customHeight="1">
      <c r="A21" s="83">
        <f t="shared" si="2"/>
        <v>18</v>
      </c>
      <c r="B21" s="83" t="s">
        <v>84</v>
      </c>
      <c r="C21" s="83" t="s">
        <v>36</v>
      </c>
      <c r="D21" s="80">
        <v>0</v>
      </c>
      <c r="E21" s="80">
        <f>+D21*450</f>
        <v>0</v>
      </c>
      <c r="F21" s="80">
        <v>0</v>
      </c>
      <c r="G21" s="88">
        <f t="shared" si="3"/>
        <v>0</v>
      </c>
      <c r="H21" s="81">
        <f>G21-SUMIF('2021.12'!$B:$B,B21,'2021.12'!G:G)</f>
        <v>0</v>
      </c>
      <c r="I21" s="82"/>
      <c r="J21" s="99"/>
    </row>
    <row r="22" spans="1:10" s="98" customFormat="1" ht="24" customHeight="1">
      <c r="A22" s="17">
        <f t="shared" si="2"/>
        <v>19</v>
      </c>
      <c r="B22" s="17" t="s">
        <v>4</v>
      </c>
      <c r="C22" s="17" t="s">
        <v>30</v>
      </c>
      <c r="D22" s="18"/>
      <c r="E22" s="18">
        <v>5000000</v>
      </c>
      <c r="F22" s="18">
        <f>+E22*0.1</f>
        <v>500000</v>
      </c>
      <c r="G22" s="107">
        <f t="shared" si="3"/>
        <v>5500000</v>
      </c>
      <c r="H22" s="60">
        <f>G22-SUMIF('2021.12'!$B:$B,B22,'2021.12'!G:G)</f>
        <v>2750000</v>
      </c>
      <c r="I22" s="19"/>
      <c r="J22" s="99"/>
    </row>
    <row r="23" spans="1:10" s="98" customFormat="1" ht="24" customHeight="1">
      <c r="A23" s="84"/>
      <c r="B23" s="84"/>
      <c r="C23" s="84"/>
      <c r="D23" s="85"/>
      <c r="E23" s="85"/>
      <c r="F23" s="85"/>
      <c r="G23" s="85"/>
      <c r="H23" s="81">
        <f>G23-SUMIF('2021.12'!$B:$B,B23,'2021.12'!G:G)</f>
        <v>0</v>
      </c>
      <c r="I23" s="92" t="s">
        <v>16</v>
      </c>
      <c r="J23" s="99"/>
    </row>
    <row r="24" spans="1:10" s="101" customFormat="1" ht="24" customHeight="1">
      <c r="A24" s="84"/>
      <c r="B24" s="84"/>
      <c r="C24" s="84"/>
      <c r="D24" s="85"/>
      <c r="E24" s="85"/>
      <c r="F24" s="85"/>
      <c r="G24" s="85"/>
      <c r="H24" s="81">
        <f>G24-SUMIF('2021.12'!$B:$B,B24,'2021.12'!G:G)</f>
        <v>0</v>
      </c>
      <c r="I24" s="87" t="s">
        <v>16</v>
      </c>
      <c r="J24" s="99"/>
    </row>
    <row r="25" spans="1:10" s="39" customFormat="1" ht="24" customHeight="1">
      <c r="A25" s="146" t="s">
        <v>18</v>
      </c>
      <c r="B25" s="147"/>
      <c r="C25" s="115"/>
      <c r="D25" s="25">
        <f>SUM(D4:D24)</f>
        <v>1080430</v>
      </c>
      <c r="E25" s="25">
        <f>SUM(E4:E24)</f>
        <v>215094375</v>
      </c>
      <c r="F25" s="25">
        <f>SUM(F4:F24)</f>
        <v>21093627.5</v>
      </c>
      <c r="G25" s="25">
        <f>SUM(G4:G24)</f>
        <v>236188002.5</v>
      </c>
      <c r="H25" s="63">
        <f>G25-SUMIF('2021.09'!$B:$B,B25,'2021.09'!G:G)</f>
        <v>236188002.5</v>
      </c>
      <c r="I25" s="9"/>
    </row>
    <row r="27" spans="1:10">
      <c r="B27" s="45" t="s">
        <v>50</v>
      </c>
      <c r="E27" s="42">
        <f>E25-'2021.09'!E17</f>
        <v>215094375</v>
      </c>
      <c r="F27" s="42">
        <f>F25-'2021.09'!F17</f>
        <v>21093627.5</v>
      </c>
      <c r="G27" s="42">
        <f>G25-'2021.09'!G17</f>
        <v>236188002.5</v>
      </c>
      <c r="H27" s="42">
        <f>+H25-G27</f>
        <v>0</v>
      </c>
      <c r="I27" s="41"/>
    </row>
    <row r="28" spans="1:10">
      <c r="B28" s="46"/>
      <c r="C28" t="s">
        <v>54</v>
      </c>
    </row>
  </sheetData>
  <autoFilter ref="A3:I3"/>
  <mergeCells count="1">
    <mergeCell ref="A1:I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2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"/>
  <sheetViews>
    <sheetView showGridLines="0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E11" sqref="E11"/>
    </sheetView>
  </sheetViews>
  <sheetFormatPr defaultColWidth="9" defaultRowHeight="16.5"/>
  <cols>
    <col min="1" max="1" width="7.5" bestFit="1" customWidth="1"/>
    <col min="2" max="2" width="20" customWidth="1"/>
    <col min="3" max="3" width="15.375" bestFit="1" customWidth="1"/>
    <col min="4" max="4" width="12.375" style="2" bestFit="1" customWidth="1"/>
    <col min="5" max="5" width="14.875" style="2" bestFit="1" customWidth="1"/>
    <col min="6" max="6" width="13.625" style="2" bestFit="1" customWidth="1"/>
    <col min="7" max="7" width="14.875" style="2" bestFit="1" customWidth="1"/>
    <col min="8" max="8" width="14.875" style="2" customWidth="1"/>
    <col min="9" max="9" width="47.375" customWidth="1"/>
    <col min="10" max="10" width="11.875" style="40" bestFit="1" customWidth="1"/>
    <col min="11" max="16384" width="9" style="40"/>
  </cols>
  <sheetData>
    <row r="1" spans="1:10" ht="38.25">
      <c r="A1" s="363" t="s">
        <v>85</v>
      </c>
      <c r="B1" s="363"/>
      <c r="C1" s="363"/>
      <c r="D1" s="363"/>
      <c r="E1" s="363"/>
      <c r="F1" s="363"/>
      <c r="G1" s="363"/>
      <c r="H1" s="363"/>
      <c r="I1" s="363"/>
    </row>
    <row r="2" spans="1:10">
      <c r="I2" s="44" t="s">
        <v>86</v>
      </c>
    </row>
    <row r="3" spans="1:10" s="38" customFormat="1">
      <c r="A3" s="5" t="s">
        <v>12</v>
      </c>
      <c r="B3" s="5" t="s">
        <v>0</v>
      </c>
      <c r="C3" s="5" t="s">
        <v>26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50</v>
      </c>
      <c r="I3" s="5" t="s">
        <v>23</v>
      </c>
    </row>
    <row r="4" spans="1:10" s="98" customFormat="1" ht="24" customHeight="1">
      <c r="A4" s="78">
        <f>ROW()-3</f>
        <v>1</v>
      </c>
      <c r="B4" s="78" t="s">
        <v>13</v>
      </c>
      <c r="C4" s="78" t="s">
        <v>27</v>
      </c>
      <c r="D4" s="79"/>
      <c r="E4" s="79"/>
      <c r="F4" s="80">
        <f t="shared" ref="F4:F22" si="0">+E4*0.1</f>
        <v>0</v>
      </c>
      <c r="G4" s="79">
        <f t="shared" ref="G4:G13" si="1">+E4+F4</f>
        <v>0</v>
      </c>
      <c r="H4" s="81">
        <f>G4-SUMIF('2021.12'!$B:$B,B4,'2021.12'!G:G)</f>
        <v>0</v>
      </c>
      <c r="I4" s="82"/>
    </row>
    <row r="5" spans="1:10" s="98" customFormat="1" ht="24" customHeight="1">
      <c r="A5" s="14">
        <f t="shared" ref="A5:A24" si="2">ROW()-3</f>
        <v>2</v>
      </c>
      <c r="B5" s="14" t="s">
        <v>5</v>
      </c>
      <c r="C5" s="14" t="s">
        <v>34</v>
      </c>
      <c r="D5" s="15">
        <v>630540</v>
      </c>
      <c r="E5" s="15">
        <v>98798700</v>
      </c>
      <c r="F5" s="18">
        <f t="shared" si="0"/>
        <v>9879870</v>
      </c>
      <c r="G5" s="15">
        <f t="shared" si="1"/>
        <v>108678570</v>
      </c>
      <c r="H5" s="60">
        <f>G5-SUMIF('2021.12'!$B:$B,B5,'2021.12'!G:G)</f>
        <v>-19757980</v>
      </c>
      <c r="I5" s="16" t="s">
        <v>87</v>
      </c>
      <c r="J5" s="99"/>
    </row>
    <row r="6" spans="1:10" s="98" customFormat="1" ht="24" customHeight="1">
      <c r="A6" s="14">
        <f t="shared" si="2"/>
        <v>3</v>
      </c>
      <c r="B6" s="14" t="s">
        <v>11</v>
      </c>
      <c r="C6" s="14" t="s">
        <v>34</v>
      </c>
      <c r="D6" s="15">
        <v>488005</v>
      </c>
      <c r="E6" s="15">
        <v>80925450</v>
      </c>
      <c r="F6" s="18">
        <f t="shared" si="0"/>
        <v>8092545</v>
      </c>
      <c r="G6" s="15">
        <f t="shared" si="1"/>
        <v>89017995</v>
      </c>
      <c r="H6" s="60">
        <f>G6-SUMIF('2021.12'!$B:$B,B6,'2021.12'!G:G)</f>
        <v>23073517.5</v>
      </c>
      <c r="I6" s="16"/>
      <c r="J6" s="99"/>
    </row>
    <row r="7" spans="1:10" s="98" customFormat="1" ht="24" customHeight="1">
      <c r="A7" s="14">
        <f t="shared" si="2"/>
        <v>4</v>
      </c>
      <c r="B7" s="17" t="s">
        <v>2</v>
      </c>
      <c r="C7" s="17" t="s">
        <v>28</v>
      </c>
      <c r="D7" s="15">
        <v>16670</v>
      </c>
      <c r="E7" s="15">
        <v>2333800</v>
      </c>
      <c r="F7" s="18">
        <f t="shared" si="0"/>
        <v>233380</v>
      </c>
      <c r="G7" s="15">
        <f t="shared" si="1"/>
        <v>2567180</v>
      </c>
      <c r="H7" s="60">
        <f>G7-SUMIF('2021.12'!$B:$B,B7,'2021.12'!G:G)</f>
        <v>-27720</v>
      </c>
      <c r="I7" s="16"/>
      <c r="J7" s="99"/>
    </row>
    <row r="8" spans="1:10" s="98" customFormat="1" ht="24" customHeight="1">
      <c r="A8" s="93">
        <f t="shared" si="2"/>
        <v>5</v>
      </c>
      <c r="B8" s="93" t="s">
        <v>8</v>
      </c>
      <c r="C8" s="93" t="s">
        <v>28</v>
      </c>
      <c r="D8" s="94"/>
      <c r="E8" s="94"/>
      <c r="F8" s="80">
        <f t="shared" si="0"/>
        <v>0</v>
      </c>
      <c r="G8" s="79">
        <f t="shared" si="1"/>
        <v>0</v>
      </c>
      <c r="H8" s="81">
        <f>G8-SUMIF('2021.12'!$B:$B,B8,'2021.12'!G:G)</f>
        <v>0</v>
      </c>
      <c r="I8" s="96"/>
      <c r="J8" s="99"/>
    </row>
    <row r="9" spans="1:10" s="98" customFormat="1" ht="24" customHeight="1">
      <c r="A9" s="14">
        <f t="shared" si="2"/>
        <v>6</v>
      </c>
      <c r="B9" s="17" t="s">
        <v>9</v>
      </c>
      <c r="C9" s="17" t="s">
        <v>28</v>
      </c>
      <c r="D9" s="107">
        <v>18345</v>
      </c>
      <c r="E9" s="107">
        <v>2568300</v>
      </c>
      <c r="F9" s="18">
        <f t="shared" si="0"/>
        <v>256830</v>
      </c>
      <c r="G9" s="15">
        <f t="shared" si="1"/>
        <v>2825130</v>
      </c>
      <c r="H9" s="60">
        <f>G9-SUMIF('2021.12'!$B:$B,B9,'2021.12'!G:G)</f>
        <v>23870</v>
      </c>
      <c r="I9" s="16"/>
      <c r="J9" s="99"/>
    </row>
    <row r="10" spans="1:10" s="98" customFormat="1" ht="24" customHeight="1">
      <c r="A10" s="78">
        <f t="shared" si="2"/>
        <v>7</v>
      </c>
      <c r="B10" s="78" t="s">
        <v>1</v>
      </c>
      <c r="C10" s="78" t="s">
        <v>49</v>
      </c>
      <c r="D10" s="79">
        <v>12320</v>
      </c>
      <c r="E10" s="79">
        <v>4158100</v>
      </c>
      <c r="F10" s="80">
        <v>0</v>
      </c>
      <c r="G10" s="79">
        <f t="shared" si="1"/>
        <v>4158100</v>
      </c>
      <c r="H10" s="81">
        <f>G10-SUMIF('2021.12'!$B:$B,B10,'2021.12'!G:G)</f>
        <v>4158100</v>
      </c>
      <c r="I10" s="112" t="s">
        <v>17</v>
      </c>
      <c r="J10" s="99"/>
    </row>
    <row r="11" spans="1:10" s="98" customFormat="1" ht="24" customHeight="1">
      <c r="A11" s="14">
        <f t="shared" si="2"/>
        <v>8</v>
      </c>
      <c r="B11" s="14" t="s">
        <v>69</v>
      </c>
      <c r="C11" s="14" t="s">
        <v>46</v>
      </c>
      <c r="D11" s="15">
        <v>16705</v>
      </c>
      <c r="E11" s="15">
        <v>28986500</v>
      </c>
      <c r="F11" s="18">
        <f t="shared" si="0"/>
        <v>2898650</v>
      </c>
      <c r="G11" s="15">
        <f t="shared" si="1"/>
        <v>31885150</v>
      </c>
      <c r="H11" s="60">
        <f>G11-SUMIF('2021.12'!$B:$B,B11,'2021.12'!G:G)</f>
        <v>5765650</v>
      </c>
      <c r="I11" s="114" t="s">
        <v>88</v>
      </c>
      <c r="J11" s="99"/>
    </row>
    <row r="12" spans="1:10" s="98" customFormat="1" ht="24" customHeight="1">
      <c r="A12" s="14">
        <f t="shared" si="2"/>
        <v>9</v>
      </c>
      <c r="B12" s="14" t="s">
        <v>7</v>
      </c>
      <c r="C12" s="14" t="s">
        <v>32</v>
      </c>
      <c r="D12" s="15">
        <v>5540</v>
      </c>
      <c r="E12" s="15">
        <v>775600</v>
      </c>
      <c r="F12" s="18">
        <f t="shared" si="0"/>
        <v>77560</v>
      </c>
      <c r="G12" s="15">
        <f t="shared" si="1"/>
        <v>853160</v>
      </c>
      <c r="H12" s="60">
        <f>G12-SUMIF('2021.12'!$B:$B,B12,'2021.12'!G:G)</f>
        <v>323400</v>
      </c>
      <c r="I12" s="109"/>
      <c r="J12" s="99"/>
    </row>
    <row r="13" spans="1:10" s="98" customFormat="1" ht="24" customHeight="1">
      <c r="A13" s="14">
        <f t="shared" si="2"/>
        <v>10</v>
      </c>
      <c r="B13" s="14" t="s">
        <v>38</v>
      </c>
      <c r="C13" s="14" t="s">
        <v>39</v>
      </c>
      <c r="D13" s="15"/>
      <c r="E13" s="15">
        <v>6615600</v>
      </c>
      <c r="F13" s="18">
        <f t="shared" si="0"/>
        <v>661560</v>
      </c>
      <c r="G13" s="15">
        <f t="shared" si="1"/>
        <v>7277160</v>
      </c>
      <c r="H13" s="60">
        <f>G13-SUMIF('2021.12'!$B:$B,B13,'2021.12'!G:G)</f>
        <v>-1412290</v>
      </c>
      <c r="I13" s="16"/>
      <c r="J13" s="99"/>
    </row>
    <row r="14" spans="1:10" s="98" customFormat="1" ht="24" customHeight="1">
      <c r="A14" s="14">
        <f t="shared" si="2"/>
        <v>11</v>
      </c>
      <c r="B14" s="14" t="s">
        <v>38</v>
      </c>
      <c r="C14" s="14" t="s">
        <v>57</v>
      </c>
      <c r="D14" s="15"/>
      <c r="E14" s="15">
        <v>1804450</v>
      </c>
      <c r="F14" s="18">
        <f t="shared" ref="F14" si="3">+E14*0.1</f>
        <v>180445</v>
      </c>
      <c r="G14" s="15">
        <f t="shared" ref="G14" si="4">+E14+F14</f>
        <v>1984895</v>
      </c>
      <c r="H14" s="60">
        <f>G14-SUMIF('2021.12'!$B:$B,B14,'2021.12'!G:G)</f>
        <v>-6704555</v>
      </c>
      <c r="I14" s="16"/>
      <c r="J14" s="99"/>
    </row>
    <row r="15" spans="1:10" s="98" customFormat="1" ht="24" customHeight="1">
      <c r="A15" s="14">
        <f t="shared" si="2"/>
        <v>12</v>
      </c>
      <c r="B15" s="14" t="s">
        <v>38</v>
      </c>
      <c r="C15" s="14" t="s">
        <v>57</v>
      </c>
      <c r="D15" s="15"/>
      <c r="E15" s="15">
        <v>1460550</v>
      </c>
      <c r="F15" s="18">
        <f t="shared" ref="F15" si="5">+E15*0.1</f>
        <v>146055</v>
      </c>
      <c r="G15" s="15">
        <f t="shared" ref="G15" si="6">+E15+F15</f>
        <v>1606605</v>
      </c>
      <c r="H15" s="60">
        <f>G15-SUMIF('2021.12'!$B:$B,B15,'2021.12'!G:G)</f>
        <v>-7082845</v>
      </c>
      <c r="I15" s="16"/>
      <c r="J15" s="99"/>
    </row>
    <row r="16" spans="1:10" s="98" customFormat="1" ht="24" customHeight="1">
      <c r="A16" s="93">
        <f t="shared" si="2"/>
        <v>13</v>
      </c>
      <c r="B16" s="93" t="s">
        <v>56</v>
      </c>
      <c r="C16" s="93" t="s">
        <v>57</v>
      </c>
      <c r="D16" s="94"/>
      <c r="E16" s="94"/>
      <c r="F16" s="80">
        <f t="shared" si="0"/>
        <v>0</v>
      </c>
      <c r="G16" s="94">
        <f>+E16+F16</f>
        <v>0</v>
      </c>
      <c r="H16" s="81">
        <f>G16-SUMIF('2021.12'!$B:$B,B16,'2021.12'!G:G)</f>
        <v>0</v>
      </c>
      <c r="I16" s="96"/>
      <c r="J16" s="99"/>
    </row>
    <row r="17" spans="1:10" s="98" customFormat="1" ht="24" customHeight="1">
      <c r="A17" s="17">
        <f t="shared" si="2"/>
        <v>14</v>
      </c>
      <c r="B17" s="17" t="s">
        <v>74</v>
      </c>
      <c r="C17" s="17" t="s">
        <v>57</v>
      </c>
      <c r="D17" s="107">
        <v>3150</v>
      </c>
      <c r="E17" s="110">
        <v>882000</v>
      </c>
      <c r="F17" s="18">
        <f t="shared" si="0"/>
        <v>88200</v>
      </c>
      <c r="G17" s="107">
        <f>+E17+F17</f>
        <v>970200</v>
      </c>
      <c r="H17" s="60">
        <f>G17-SUMIF('2021.12'!$B:$B,B17,'2021.12'!G:G)</f>
        <v>403480</v>
      </c>
      <c r="I17" s="111"/>
      <c r="J17" s="99"/>
    </row>
    <row r="18" spans="1:10" s="98" customFormat="1" ht="24" customHeight="1">
      <c r="A18" s="17">
        <f t="shared" si="2"/>
        <v>15</v>
      </c>
      <c r="B18" s="17" t="s">
        <v>74</v>
      </c>
      <c r="C18" s="17" t="s">
        <v>57</v>
      </c>
      <c r="D18" s="107">
        <v>1925</v>
      </c>
      <c r="E18" s="107">
        <v>539000</v>
      </c>
      <c r="F18" s="18">
        <f t="shared" si="0"/>
        <v>53900</v>
      </c>
      <c r="G18" s="107">
        <f t="shared" ref="G18:G22" si="7">+E18+F18</f>
        <v>592900</v>
      </c>
      <c r="H18" s="60">
        <f>G18-SUMIF('2021.12'!$B:$B,B18,'2021.12'!G:G)</f>
        <v>26180</v>
      </c>
      <c r="I18" s="113"/>
      <c r="J18" s="102"/>
    </row>
    <row r="19" spans="1:10" s="101" customFormat="1" ht="24" customHeight="1">
      <c r="A19" s="83">
        <f t="shared" si="2"/>
        <v>16</v>
      </c>
      <c r="B19" s="83" t="s">
        <v>35</v>
      </c>
      <c r="C19" s="83" t="s">
        <v>36</v>
      </c>
      <c r="D19" s="80"/>
      <c r="E19" s="80"/>
      <c r="F19" s="80">
        <f t="shared" si="0"/>
        <v>0</v>
      </c>
      <c r="G19" s="88">
        <f t="shared" si="7"/>
        <v>0</v>
      </c>
      <c r="H19" s="81">
        <f>G19-SUMIF('2021.12'!$B:$B,B19,'2021.12'!G:G)</f>
        <v>0</v>
      </c>
      <c r="I19" s="89"/>
      <c r="J19" s="99"/>
    </row>
    <row r="20" spans="1:10" s="98" customFormat="1" ht="24" customHeight="1">
      <c r="A20" s="83">
        <f t="shared" si="2"/>
        <v>17</v>
      </c>
      <c r="B20" s="83" t="s">
        <v>63</v>
      </c>
      <c r="C20" s="83" t="s">
        <v>36</v>
      </c>
      <c r="D20" s="80"/>
      <c r="E20" s="80"/>
      <c r="F20" s="80">
        <f t="shared" si="0"/>
        <v>0</v>
      </c>
      <c r="G20" s="88">
        <f t="shared" si="7"/>
        <v>0</v>
      </c>
      <c r="H20" s="81">
        <f>G20-SUMIF('2021.12'!$B:$B,B20,'2021.12'!G:G)</f>
        <v>0</v>
      </c>
      <c r="I20" s="91"/>
      <c r="J20" s="99"/>
    </row>
    <row r="21" spans="1:10" s="98" customFormat="1" ht="24" customHeight="1">
      <c r="A21" s="83">
        <f t="shared" si="2"/>
        <v>18</v>
      </c>
      <c r="B21" s="83" t="s">
        <v>84</v>
      </c>
      <c r="C21" s="83" t="s">
        <v>36</v>
      </c>
      <c r="D21" s="80">
        <v>0</v>
      </c>
      <c r="E21" s="80">
        <f>+D21*450</f>
        <v>0</v>
      </c>
      <c r="F21" s="80">
        <v>0</v>
      </c>
      <c r="G21" s="88">
        <f t="shared" ref="G21" si="8">+E21+F21</f>
        <v>0</v>
      </c>
      <c r="H21" s="81">
        <f>G21-SUMIF('2021.12'!$B:$B,B21,'2021.12'!G:G)</f>
        <v>0</v>
      </c>
      <c r="I21" s="82"/>
      <c r="J21" s="99"/>
    </row>
    <row r="22" spans="1:10" s="98" customFormat="1" ht="24" customHeight="1">
      <c r="A22" s="17">
        <f t="shared" si="2"/>
        <v>19</v>
      </c>
      <c r="B22" s="17" t="s">
        <v>4</v>
      </c>
      <c r="C22" s="17" t="s">
        <v>30</v>
      </c>
      <c r="D22" s="18"/>
      <c r="E22" s="18">
        <v>2500000</v>
      </c>
      <c r="F22" s="18">
        <f t="shared" si="0"/>
        <v>250000</v>
      </c>
      <c r="G22" s="107">
        <f t="shared" si="7"/>
        <v>2750000</v>
      </c>
      <c r="H22" s="60">
        <f>G22-SUMIF('2021.12'!$B:$B,B22,'2021.12'!G:G)</f>
        <v>0</v>
      </c>
      <c r="I22" s="19"/>
      <c r="J22" s="99"/>
    </row>
    <row r="23" spans="1:10" s="98" customFormat="1" ht="24" customHeight="1">
      <c r="A23" s="84">
        <f t="shared" si="2"/>
        <v>20</v>
      </c>
      <c r="B23" s="84" t="s">
        <v>10</v>
      </c>
      <c r="C23" s="84" t="s">
        <v>41</v>
      </c>
      <c r="D23" s="85"/>
      <c r="E23" s="85"/>
      <c r="F23" s="85"/>
      <c r="G23" s="85">
        <f>+E23+F23</f>
        <v>0</v>
      </c>
      <c r="H23" s="81">
        <f>G23-SUMIF('2021.12'!$B:$B,B23,'2021.12'!G:G)</f>
        <v>0</v>
      </c>
      <c r="I23" s="92" t="s">
        <v>16</v>
      </c>
      <c r="J23" s="99"/>
    </row>
    <row r="24" spans="1:10" s="101" customFormat="1" ht="24" customHeight="1">
      <c r="A24" s="84">
        <f t="shared" si="2"/>
        <v>21</v>
      </c>
      <c r="B24" s="84" t="s">
        <v>37</v>
      </c>
      <c r="C24" s="84" t="s">
        <v>47</v>
      </c>
      <c r="D24" s="85"/>
      <c r="E24" s="85"/>
      <c r="F24" s="85"/>
      <c r="G24" s="85">
        <f>+E24+F24</f>
        <v>0</v>
      </c>
      <c r="H24" s="81">
        <f>G24-SUMIF('2021.12'!$B:$B,B24,'2021.12'!G:G)</f>
        <v>0</v>
      </c>
      <c r="I24" s="87" t="s">
        <v>16</v>
      </c>
      <c r="J24" s="99"/>
    </row>
    <row r="25" spans="1:10" s="39" customFormat="1" ht="24" customHeight="1">
      <c r="A25" s="366" t="s">
        <v>18</v>
      </c>
      <c r="B25" s="367"/>
      <c r="C25" s="108"/>
      <c r="D25" s="25">
        <f>SUM(D4:D24)</f>
        <v>1193200</v>
      </c>
      <c r="E25" s="25">
        <f>SUM(E4:E24)</f>
        <v>232348050</v>
      </c>
      <c r="F25" s="25">
        <f>SUM(F4:F24)</f>
        <v>22818995</v>
      </c>
      <c r="G25" s="25">
        <f>SUM(G4:G24)</f>
        <v>255167045</v>
      </c>
      <c r="H25" s="63">
        <f>G25-SUMIF('2021.09'!$B:$B,B25,'2021.09'!G:G)</f>
        <v>255167045</v>
      </c>
      <c r="I25" s="9"/>
    </row>
    <row r="27" spans="1:10">
      <c r="B27" s="45" t="s">
        <v>50</v>
      </c>
      <c r="E27" s="42">
        <f>E25-'2021.09'!E17</f>
        <v>232348050</v>
      </c>
      <c r="F27" s="42">
        <f>F25-'2021.09'!F17</f>
        <v>22818995</v>
      </c>
      <c r="G27" s="42">
        <f>G25-'2021.09'!G17</f>
        <v>255167045</v>
      </c>
      <c r="H27" s="42">
        <f>+H25-G27</f>
        <v>0</v>
      </c>
      <c r="I27" s="41"/>
    </row>
    <row r="28" spans="1:10">
      <c r="B28" s="46"/>
      <c r="C28" t="s">
        <v>54</v>
      </c>
    </row>
  </sheetData>
  <autoFilter ref="A3:I3"/>
  <mergeCells count="2">
    <mergeCell ref="A1:I1"/>
    <mergeCell ref="A25:B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2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showGridLines="0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H7" sqref="H7"/>
    </sheetView>
  </sheetViews>
  <sheetFormatPr defaultColWidth="9" defaultRowHeight="16.5"/>
  <cols>
    <col min="1" max="1" width="7.5" bestFit="1" customWidth="1"/>
    <col min="2" max="2" width="20" customWidth="1"/>
    <col min="3" max="3" width="15.375" bestFit="1" customWidth="1"/>
    <col min="4" max="4" width="12.375" style="2" bestFit="1" customWidth="1"/>
    <col min="5" max="5" width="14.875" style="2" bestFit="1" customWidth="1"/>
    <col min="6" max="6" width="13.625" style="2" bestFit="1" customWidth="1"/>
    <col min="7" max="7" width="14.875" style="2" bestFit="1" customWidth="1"/>
    <col min="8" max="8" width="14.875" style="2" customWidth="1"/>
    <col min="9" max="9" width="47.375" customWidth="1"/>
    <col min="10" max="10" width="11.875" style="40" bestFit="1" customWidth="1"/>
    <col min="11" max="16384" width="9" style="40"/>
  </cols>
  <sheetData>
    <row r="1" spans="1:10" ht="38.25">
      <c r="A1" s="363" t="s">
        <v>81</v>
      </c>
      <c r="B1" s="363"/>
      <c r="C1" s="363"/>
      <c r="D1" s="363"/>
      <c r="E1" s="363"/>
      <c r="F1" s="363"/>
      <c r="G1" s="363"/>
      <c r="H1" s="363"/>
      <c r="I1" s="363"/>
    </row>
    <row r="2" spans="1:10">
      <c r="I2" s="44" t="s">
        <v>82</v>
      </c>
    </row>
    <row r="3" spans="1:10" s="38" customFormat="1">
      <c r="A3" s="5" t="s">
        <v>12</v>
      </c>
      <c r="B3" s="5" t="s">
        <v>0</v>
      </c>
      <c r="C3" s="5" t="s">
        <v>26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50</v>
      </c>
      <c r="I3" s="5" t="s">
        <v>23</v>
      </c>
    </row>
    <row r="4" spans="1:10" s="98" customFormat="1" ht="24" customHeight="1">
      <c r="A4" s="78">
        <f>ROW()-3</f>
        <v>1</v>
      </c>
      <c r="B4" s="78" t="s">
        <v>13</v>
      </c>
      <c r="C4" s="78" t="s">
        <v>27</v>
      </c>
      <c r="D4" s="79"/>
      <c r="E4" s="79"/>
      <c r="F4" s="80">
        <f t="shared" ref="F4:F19" si="0">+E4*0.1</f>
        <v>0</v>
      </c>
      <c r="G4" s="79">
        <f t="shared" ref="G4:G13" si="1">+E4+F4</f>
        <v>0</v>
      </c>
      <c r="H4" s="81">
        <f>G4-SUMIF('2021.12'!$B:$B,B4,'2021.12'!G:G)</f>
        <v>0</v>
      </c>
      <c r="I4" s="82"/>
    </row>
    <row r="5" spans="1:10" s="98" customFormat="1" ht="24" customHeight="1">
      <c r="A5" s="14">
        <f t="shared" ref="A5:A21" si="2">ROW()-3</f>
        <v>2</v>
      </c>
      <c r="B5" s="14" t="s">
        <v>5</v>
      </c>
      <c r="C5" s="14" t="s">
        <v>34</v>
      </c>
      <c r="D5" s="15">
        <v>464045</v>
      </c>
      <c r="E5" s="15">
        <v>78650250</v>
      </c>
      <c r="F5" s="18">
        <f t="shared" si="0"/>
        <v>7865025</v>
      </c>
      <c r="G5" s="15">
        <f t="shared" si="1"/>
        <v>86515275</v>
      </c>
      <c r="H5" s="60">
        <f>G5-SUMIF('2021.12'!$B:$B,B5,'2021.12'!G:G)</f>
        <v>-41921275</v>
      </c>
      <c r="I5" s="82" t="s">
        <v>83</v>
      </c>
      <c r="J5" s="99"/>
    </row>
    <row r="6" spans="1:10" s="98" customFormat="1" ht="24" customHeight="1">
      <c r="A6" s="14">
        <f t="shared" si="2"/>
        <v>3</v>
      </c>
      <c r="B6" s="14" t="s">
        <v>11</v>
      </c>
      <c r="C6" s="14" t="s">
        <v>34</v>
      </c>
      <c r="D6" s="15">
        <v>684610</v>
      </c>
      <c r="E6" s="15">
        <v>109538200</v>
      </c>
      <c r="F6" s="18">
        <f t="shared" si="0"/>
        <v>10953820</v>
      </c>
      <c r="G6" s="15">
        <f t="shared" si="1"/>
        <v>120492020</v>
      </c>
      <c r="H6" s="60">
        <f>G6-SUMIF('2021.12'!$B:$B,B6,'2021.12'!G:G)</f>
        <v>54547542.5</v>
      </c>
      <c r="I6" s="82"/>
      <c r="J6" s="99"/>
    </row>
    <row r="7" spans="1:10" s="98" customFormat="1" ht="24" customHeight="1">
      <c r="A7" s="14">
        <f t="shared" si="2"/>
        <v>4</v>
      </c>
      <c r="B7" s="17" t="s">
        <v>2</v>
      </c>
      <c r="C7" s="17" t="s">
        <v>28</v>
      </c>
      <c r="D7" s="15">
        <v>17600</v>
      </c>
      <c r="E7" s="15">
        <v>2464000</v>
      </c>
      <c r="F7" s="18">
        <f t="shared" si="0"/>
        <v>246400</v>
      </c>
      <c r="G7" s="15">
        <f t="shared" si="1"/>
        <v>2710400</v>
      </c>
      <c r="H7" s="60">
        <f>G7-SUMIF('2021.12'!$B:$B,B7,'2021.12'!G:G)</f>
        <v>115500</v>
      </c>
      <c r="I7" s="82"/>
      <c r="J7" s="99"/>
    </row>
    <row r="8" spans="1:10" s="98" customFormat="1" ht="24" customHeight="1">
      <c r="A8" s="93">
        <f t="shared" si="2"/>
        <v>5</v>
      </c>
      <c r="B8" s="93" t="s">
        <v>8</v>
      </c>
      <c r="C8" s="93" t="s">
        <v>28</v>
      </c>
      <c r="D8" s="94"/>
      <c r="E8" s="94"/>
      <c r="F8" s="80">
        <f t="shared" si="0"/>
        <v>0</v>
      </c>
      <c r="G8" s="79">
        <f t="shared" si="1"/>
        <v>0</v>
      </c>
      <c r="H8" s="81">
        <f>G8-SUMIF('2021.12'!$B:$B,B8,'2021.12'!G:G)</f>
        <v>0</v>
      </c>
      <c r="I8" s="96"/>
      <c r="J8" s="99"/>
    </row>
    <row r="9" spans="1:10" s="98" customFormat="1" ht="24" customHeight="1">
      <c r="A9" s="14">
        <f t="shared" si="2"/>
        <v>6</v>
      </c>
      <c r="B9" s="17" t="s">
        <v>9</v>
      </c>
      <c r="C9" s="17" t="s">
        <v>28</v>
      </c>
      <c r="D9" s="107">
        <v>15170</v>
      </c>
      <c r="E9" s="107">
        <v>2123800</v>
      </c>
      <c r="F9" s="18">
        <f t="shared" si="0"/>
        <v>212380</v>
      </c>
      <c r="G9" s="15">
        <f t="shared" si="1"/>
        <v>2336180</v>
      </c>
      <c r="H9" s="60">
        <f>G9-SUMIF('2021.12'!$B:$B,B9,'2021.12'!G:G)</f>
        <v>-465080</v>
      </c>
      <c r="I9" s="82"/>
      <c r="J9" s="99"/>
    </row>
    <row r="10" spans="1:10" s="98" customFormat="1" ht="24" customHeight="1">
      <c r="A10" s="78">
        <f t="shared" si="2"/>
        <v>7</v>
      </c>
      <c r="B10" s="78" t="s">
        <v>1</v>
      </c>
      <c r="C10" s="78" t="s">
        <v>49</v>
      </c>
      <c r="D10" s="79">
        <v>12320</v>
      </c>
      <c r="E10" s="79">
        <v>4158100</v>
      </c>
      <c r="F10" s="80">
        <v>0</v>
      </c>
      <c r="G10" s="79">
        <f t="shared" si="1"/>
        <v>4158100</v>
      </c>
      <c r="H10" s="81">
        <f>G10-SUMIF('2021.12'!$B:$B,B10,'2021.12'!G:G)</f>
        <v>4158100</v>
      </c>
      <c r="I10" s="82" t="s">
        <v>17</v>
      </c>
      <c r="J10" s="99"/>
    </row>
    <row r="11" spans="1:10" s="98" customFormat="1" ht="24" customHeight="1">
      <c r="A11" s="14">
        <f t="shared" si="2"/>
        <v>8</v>
      </c>
      <c r="B11" s="14" t="s">
        <v>69</v>
      </c>
      <c r="C11" s="14" t="s">
        <v>46</v>
      </c>
      <c r="D11" s="15">
        <v>15045</v>
      </c>
      <c r="E11" s="15">
        <v>22298250</v>
      </c>
      <c r="F11" s="18">
        <f t="shared" si="0"/>
        <v>2229825</v>
      </c>
      <c r="G11" s="15">
        <f t="shared" si="1"/>
        <v>24528075</v>
      </c>
      <c r="H11" s="60">
        <f>G11-SUMIF('2021.12'!$B:$B,B11,'2021.12'!G:G)</f>
        <v>-1591425</v>
      </c>
      <c r="I11" s="82" t="s">
        <v>45</v>
      </c>
      <c r="J11" s="99"/>
    </row>
    <row r="12" spans="1:10" s="98" customFormat="1" ht="24" customHeight="1">
      <c r="A12" s="14">
        <f t="shared" si="2"/>
        <v>9</v>
      </c>
      <c r="B12" s="14" t="s">
        <v>7</v>
      </c>
      <c r="C12" s="14" t="s">
        <v>32</v>
      </c>
      <c r="D12" s="15">
        <v>1640</v>
      </c>
      <c r="E12" s="15">
        <v>229600</v>
      </c>
      <c r="F12" s="18">
        <f t="shared" si="0"/>
        <v>22960</v>
      </c>
      <c r="G12" s="15">
        <f t="shared" si="1"/>
        <v>252560</v>
      </c>
      <c r="H12" s="60">
        <f>G12-SUMIF('2021.12'!$B:$B,B12,'2021.12'!G:G)</f>
        <v>-277200</v>
      </c>
      <c r="I12" s="105"/>
      <c r="J12" s="99"/>
    </row>
    <row r="13" spans="1:10" s="98" customFormat="1" ht="24" customHeight="1">
      <c r="A13" s="78">
        <f t="shared" si="2"/>
        <v>10</v>
      </c>
      <c r="B13" s="78" t="s">
        <v>38</v>
      </c>
      <c r="C13" s="78" t="s">
        <v>55</v>
      </c>
      <c r="D13" s="79"/>
      <c r="E13" s="79"/>
      <c r="F13" s="80">
        <f t="shared" si="0"/>
        <v>0</v>
      </c>
      <c r="G13" s="79">
        <f t="shared" si="1"/>
        <v>0</v>
      </c>
      <c r="H13" s="81">
        <f>G13-SUMIF('2021.12'!$B:$B,B13,'2021.12'!G:G)</f>
        <v>-8689450</v>
      </c>
      <c r="I13" s="82"/>
      <c r="J13" s="99"/>
    </row>
    <row r="14" spans="1:10" s="98" customFormat="1" ht="24" customHeight="1">
      <c r="A14" s="93">
        <f t="shared" si="2"/>
        <v>11</v>
      </c>
      <c r="B14" s="93" t="s">
        <v>56</v>
      </c>
      <c r="C14" s="93" t="s">
        <v>57</v>
      </c>
      <c r="D14" s="94"/>
      <c r="E14" s="94"/>
      <c r="F14" s="80">
        <f t="shared" si="0"/>
        <v>0</v>
      </c>
      <c r="G14" s="94">
        <f>+E14+F14</f>
        <v>0</v>
      </c>
      <c r="H14" s="81">
        <f>G14-SUMIF('2021.12'!$B:$B,B14,'2021.12'!G:G)</f>
        <v>0</v>
      </c>
      <c r="I14" s="96"/>
      <c r="J14" s="99"/>
    </row>
    <row r="15" spans="1:10" s="98" customFormat="1" ht="24" customHeight="1">
      <c r="A15" s="83">
        <f t="shared" si="2"/>
        <v>12</v>
      </c>
      <c r="B15" s="83" t="s">
        <v>74</v>
      </c>
      <c r="C15" s="83" t="s">
        <v>57</v>
      </c>
      <c r="D15" s="88"/>
      <c r="E15" s="100"/>
      <c r="F15" s="80">
        <f t="shared" si="0"/>
        <v>0</v>
      </c>
      <c r="G15" s="88">
        <f>+E15+F15</f>
        <v>0</v>
      </c>
      <c r="H15" s="81">
        <f>G15-SUMIF('2021.12'!$B:$B,B15,'2021.12'!G:G)</f>
        <v>-566720</v>
      </c>
      <c r="I15" s="87"/>
      <c r="J15" s="99"/>
    </row>
    <row r="16" spans="1:10" s="98" customFormat="1" ht="24" customHeight="1">
      <c r="A16" s="83">
        <f t="shared" si="2"/>
        <v>13</v>
      </c>
      <c r="B16" s="83" t="s">
        <v>75</v>
      </c>
      <c r="C16" s="83" t="s">
        <v>57</v>
      </c>
      <c r="D16" s="88"/>
      <c r="E16" s="88"/>
      <c r="F16" s="80">
        <f t="shared" si="0"/>
        <v>0</v>
      </c>
      <c r="G16" s="88">
        <f t="shared" ref="G16:G19" si="3">+E16+F16</f>
        <v>0</v>
      </c>
      <c r="H16" s="81">
        <f>G16-SUMIF('2021.12'!$B:$B,B16,'2021.12'!G:G)</f>
        <v>0</v>
      </c>
      <c r="I16" s="92" t="s">
        <v>16</v>
      </c>
      <c r="J16" s="102"/>
    </row>
    <row r="17" spans="1:10" s="101" customFormat="1" ht="24" customHeight="1">
      <c r="A17" s="83">
        <f t="shared" si="2"/>
        <v>14</v>
      </c>
      <c r="B17" s="83" t="s">
        <v>35</v>
      </c>
      <c r="C17" s="83" t="s">
        <v>36</v>
      </c>
      <c r="D17" s="80"/>
      <c r="E17" s="80"/>
      <c r="F17" s="80">
        <f t="shared" si="0"/>
        <v>0</v>
      </c>
      <c r="G17" s="88">
        <f t="shared" si="3"/>
        <v>0</v>
      </c>
      <c r="H17" s="81">
        <f>G17-SUMIF('2021.12'!$B:$B,B17,'2021.12'!G:G)</f>
        <v>0</v>
      </c>
      <c r="I17" s="89"/>
      <c r="J17" s="99"/>
    </row>
    <row r="18" spans="1:10" s="98" customFormat="1" ht="24" customHeight="1">
      <c r="A18" s="83">
        <f t="shared" si="2"/>
        <v>15</v>
      </c>
      <c r="B18" s="83" t="s">
        <v>63</v>
      </c>
      <c r="C18" s="83" t="s">
        <v>36</v>
      </c>
      <c r="D18" s="80"/>
      <c r="E18" s="80"/>
      <c r="F18" s="80">
        <f t="shared" si="0"/>
        <v>0</v>
      </c>
      <c r="G18" s="88">
        <f t="shared" si="3"/>
        <v>0</v>
      </c>
      <c r="H18" s="81">
        <f>G18-SUMIF('2021.12'!$B:$B,B18,'2021.12'!G:G)</f>
        <v>0</v>
      </c>
      <c r="I18" s="91"/>
      <c r="J18" s="99"/>
    </row>
    <row r="19" spans="1:10" s="98" customFormat="1" ht="24" customHeight="1">
      <c r="A19" s="83">
        <f t="shared" si="2"/>
        <v>16</v>
      </c>
      <c r="B19" s="83" t="s">
        <v>4</v>
      </c>
      <c r="C19" s="83" t="s">
        <v>30</v>
      </c>
      <c r="D19" s="80"/>
      <c r="E19" s="80">
        <v>2500000</v>
      </c>
      <c r="F19" s="80">
        <f t="shared" si="0"/>
        <v>250000</v>
      </c>
      <c r="G19" s="88">
        <f t="shared" si="3"/>
        <v>2750000</v>
      </c>
      <c r="H19" s="81">
        <f>G19-SUMIF('2021.12'!$B:$B,B19,'2021.12'!G:G)</f>
        <v>0</v>
      </c>
      <c r="I19" s="91"/>
      <c r="J19" s="99"/>
    </row>
    <row r="20" spans="1:10" s="98" customFormat="1" ht="24" customHeight="1">
      <c r="A20" s="84">
        <f t="shared" si="2"/>
        <v>17</v>
      </c>
      <c r="B20" s="84" t="s">
        <v>10</v>
      </c>
      <c r="C20" s="84" t="s">
        <v>41</v>
      </c>
      <c r="D20" s="85"/>
      <c r="E20" s="85"/>
      <c r="F20" s="85"/>
      <c r="G20" s="85">
        <f>+E20+F20</f>
        <v>0</v>
      </c>
      <c r="H20" s="81">
        <f>G20-SUMIF('2021.12'!$B:$B,B20,'2021.12'!G:G)</f>
        <v>0</v>
      </c>
      <c r="I20" s="92" t="s">
        <v>16</v>
      </c>
      <c r="J20" s="99"/>
    </row>
    <row r="21" spans="1:10" s="101" customFormat="1" ht="24" customHeight="1">
      <c r="A21" s="84">
        <f t="shared" si="2"/>
        <v>18</v>
      </c>
      <c r="B21" s="84" t="s">
        <v>37</v>
      </c>
      <c r="C21" s="84" t="s">
        <v>47</v>
      </c>
      <c r="D21" s="85"/>
      <c r="E21" s="85"/>
      <c r="F21" s="85"/>
      <c r="G21" s="85">
        <f>+E21+F21</f>
        <v>0</v>
      </c>
      <c r="H21" s="81">
        <f>G21-SUMIF('2021.12'!$B:$B,B21,'2021.12'!G:G)</f>
        <v>0</v>
      </c>
      <c r="I21" s="87" t="s">
        <v>16</v>
      </c>
      <c r="J21" s="99"/>
    </row>
    <row r="22" spans="1:10" s="39" customFormat="1" ht="24" customHeight="1">
      <c r="A22" s="366" t="s">
        <v>18</v>
      </c>
      <c r="B22" s="367"/>
      <c r="C22" s="106"/>
      <c r="D22" s="25">
        <f>SUM(D4:D21)</f>
        <v>1210430</v>
      </c>
      <c r="E22" s="25">
        <f>SUM(E4:E21)</f>
        <v>221962200</v>
      </c>
      <c r="F22" s="25">
        <f>SUM(F4:F21)</f>
        <v>21780410</v>
      </c>
      <c r="G22" s="25">
        <f>SUM(G4:G21)</f>
        <v>243742610</v>
      </c>
      <c r="H22" s="63">
        <f>G22-SUMIF('2021.09'!$B:$B,B22,'2021.09'!G:G)</f>
        <v>243742610</v>
      </c>
      <c r="I22" s="9"/>
    </row>
    <row r="24" spans="1:10">
      <c r="B24" s="45" t="s">
        <v>50</v>
      </c>
      <c r="E24" s="42">
        <f>E22-'2021.09'!E17</f>
        <v>221962200</v>
      </c>
      <c r="F24" s="42">
        <f>F22-'2021.09'!F17</f>
        <v>21780410</v>
      </c>
      <c r="G24" s="42">
        <f>G22-'2021.09'!G17</f>
        <v>243742610</v>
      </c>
      <c r="H24" s="42">
        <f>+H22-G24</f>
        <v>0</v>
      </c>
      <c r="I24" s="41"/>
    </row>
    <row r="25" spans="1:10">
      <c r="B25" s="46"/>
      <c r="C25" t="s">
        <v>54</v>
      </c>
    </row>
  </sheetData>
  <autoFilter ref="A3:I3"/>
  <mergeCells count="2">
    <mergeCell ref="A1:I1"/>
    <mergeCell ref="A22:B2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2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showGridLines="0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H5" sqref="H5"/>
    </sheetView>
  </sheetViews>
  <sheetFormatPr defaultColWidth="9" defaultRowHeight="16.5"/>
  <cols>
    <col min="1" max="1" width="7.5" bestFit="1" customWidth="1"/>
    <col min="2" max="2" width="20" customWidth="1"/>
    <col min="3" max="3" width="15.375" bestFit="1" customWidth="1"/>
    <col min="4" max="4" width="12.375" style="2" bestFit="1" customWidth="1"/>
    <col min="5" max="5" width="14.875" style="2" bestFit="1" customWidth="1"/>
    <col min="6" max="6" width="13.625" style="2" bestFit="1" customWidth="1"/>
    <col min="7" max="7" width="14.875" style="2" bestFit="1" customWidth="1"/>
    <col min="8" max="8" width="14.875" style="2" customWidth="1"/>
    <col min="9" max="9" width="47.375" customWidth="1"/>
    <col min="10" max="10" width="11.875" style="40" bestFit="1" customWidth="1"/>
    <col min="11" max="16384" width="9" style="40"/>
  </cols>
  <sheetData>
    <row r="1" spans="1:10" ht="38.25">
      <c r="A1" s="363" t="s">
        <v>76</v>
      </c>
      <c r="B1" s="363"/>
      <c r="C1" s="363"/>
      <c r="D1" s="363"/>
      <c r="E1" s="363"/>
      <c r="F1" s="363"/>
      <c r="G1" s="363"/>
      <c r="H1" s="363"/>
      <c r="I1" s="363"/>
    </row>
    <row r="2" spans="1:10">
      <c r="I2" s="44" t="s">
        <v>79</v>
      </c>
    </row>
    <row r="3" spans="1:10" s="38" customFormat="1">
      <c r="A3" s="5" t="s">
        <v>12</v>
      </c>
      <c r="B3" s="5" t="s">
        <v>0</v>
      </c>
      <c r="C3" s="5" t="s">
        <v>26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50</v>
      </c>
      <c r="I3" s="5" t="s">
        <v>23</v>
      </c>
    </row>
    <row r="4" spans="1:10" s="98" customFormat="1" ht="24" customHeight="1">
      <c r="A4" s="78">
        <f>ROW()-3</f>
        <v>1</v>
      </c>
      <c r="B4" s="78" t="s">
        <v>13</v>
      </c>
      <c r="C4" s="78" t="s">
        <v>27</v>
      </c>
      <c r="D4" s="79"/>
      <c r="E4" s="79"/>
      <c r="F4" s="80">
        <f t="shared" ref="F4:F19" si="0">+E4*0.1</f>
        <v>0</v>
      </c>
      <c r="G4" s="79">
        <f t="shared" ref="G4:G13" si="1">+E4+F4</f>
        <v>0</v>
      </c>
      <c r="H4" s="81">
        <f>G4-SUMIF('2021.12'!$B:$B,B4,'2021.12'!G:G)</f>
        <v>0</v>
      </c>
      <c r="I4" s="82"/>
    </row>
    <row r="5" spans="1:10" s="98" customFormat="1" ht="24" customHeight="1">
      <c r="A5" s="78">
        <f t="shared" ref="A5:A21" si="2">ROW()-3</f>
        <v>2</v>
      </c>
      <c r="B5" s="78" t="s">
        <v>5</v>
      </c>
      <c r="C5" s="78" t="s">
        <v>34</v>
      </c>
      <c r="D5" s="79">
        <v>642510</v>
      </c>
      <c r="E5" s="79">
        <v>102801600</v>
      </c>
      <c r="F5" s="80">
        <f t="shared" si="0"/>
        <v>10280160</v>
      </c>
      <c r="G5" s="79">
        <f t="shared" si="1"/>
        <v>113081760</v>
      </c>
      <c r="H5" s="81">
        <f>G5-SUMIF('2021.12'!$B:$B,B5,'2021.12'!G:G)</f>
        <v>-15354790</v>
      </c>
      <c r="I5" s="82" t="s">
        <v>77</v>
      </c>
      <c r="J5" s="99"/>
    </row>
    <row r="6" spans="1:10" s="98" customFormat="1" ht="24" customHeight="1">
      <c r="A6" s="78">
        <f t="shared" si="2"/>
        <v>3</v>
      </c>
      <c r="B6" s="78" t="s">
        <v>11</v>
      </c>
      <c r="C6" s="78" t="s">
        <v>34</v>
      </c>
      <c r="D6" s="79">
        <v>560910</v>
      </c>
      <c r="E6" s="79">
        <v>95530700</v>
      </c>
      <c r="F6" s="80">
        <f t="shared" si="0"/>
        <v>9553070</v>
      </c>
      <c r="G6" s="79">
        <f t="shared" si="1"/>
        <v>105083770</v>
      </c>
      <c r="H6" s="81">
        <f>G6-SUMIF('2021.12'!$B:$B,B6,'2021.12'!G:G)</f>
        <v>39139292.5</v>
      </c>
      <c r="I6" s="82" t="s">
        <v>78</v>
      </c>
      <c r="J6" s="99"/>
    </row>
    <row r="7" spans="1:10" s="98" customFormat="1" ht="24" customHeight="1">
      <c r="A7" s="78">
        <f t="shared" si="2"/>
        <v>4</v>
      </c>
      <c r="B7" s="83" t="s">
        <v>2</v>
      </c>
      <c r="C7" s="83" t="s">
        <v>28</v>
      </c>
      <c r="D7" s="79">
        <v>19400</v>
      </c>
      <c r="E7" s="79">
        <v>2716000</v>
      </c>
      <c r="F7" s="80">
        <f t="shared" si="0"/>
        <v>271600</v>
      </c>
      <c r="G7" s="79">
        <f t="shared" si="1"/>
        <v>2987600</v>
      </c>
      <c r="H7" s="81">
        <f>G7-SUMIF('2021.12'!$B:$B,B7,'2021.12'!G:G)</f>
        <v>392700</v>
      </c>
      <c r="I7" s="82"/>
      <c r="J7" s="99"/>
    </row>
    <row r="8" spans="1:10" s="98" customFormat="1" ht="24" customHeight="1">
      <c r="A8" s="93">
        <f t="shared" si="2"/>
        <v>5</v>
      </c>
      <c r="B8" s="93" t="s">
        <v>8</v>
      </c>
      <c r="C8" s="93" t="s">
        <v>28</v>
      </c>
      <c r="D8" s="94"/>
      <c r="E8" s="94"/>
      <c r="F8" s="80">
        <f t="shared" si="0"/>
        <v>0</v>
      </c>
      <c r="G8" s="79">
        <f t="shared" si="1"/>
        <v>0</v>
      </c>
      <c r="H8" s="81">
        <f>G8-SUMIF('2021.12'!$B:$B,B8,'2021.12'!G:G)</f>
        <v>0</v>
      </c>
      <c r="I8" s="96"/>
      <c r="J8" s="99"/>
    </row>
    <row r="9" spans="1:10" s="98" customFormat="1" ht="24" customHeight="1">
      <c r="A9" s="78">
        <f t="shared" si="2"/>
        <v>6</v>
      </c>
      <c r="B9" s="83" t="s">
        <v>9</v>
      </c>
      <c r="C9" s="83" t="s">
        <v>28</v>
      </c>
      <c r="D9" s="88">
        <v>22775</v>
      </c>
      <c r="E9" s="88">
        <v>3188500</v>
      </c>
      <c r="F9" s="80">
        <f t="shared" si="0"/>
        <v>318850</v>
      </c>
      <c r="G9" s="79">
        <f t="shared" si="1"/>
        <v>3507350</v>
      </c>
      <c r="H9" s="81">
        <f>G9-SUMIF('2021.12'!$B:$B,B9,'2021.12'!G:G)</f>
        <v>706090</v>
      </c>
      <c r="I9" s="82"/>
      <c r="J9" s="99"/>
    </row>
    <row r="10" spans="1:10" s="98" customFormat="1" ht="24" customHeight="1">
      <c r="A10" s="78">
        <f t="shared" si="2"/>
        <v>7</v>
      </c>
      <c r="B10" s="78" t="s">
        <v>1</v>
      </c>
      <c r="C10" s="78" t="s">
        <v>49</v>
      </c>
      <c r="D10" s="79">
        <v>12320</v>
      </c>
      <c r="E10" s="79">
        <v>4158100</v>
      </c>
      <c r="F10" s="80">
        <v>0</v>
      </c>
      <c r="G10" s="79">
        <f t="shared" si="1"/>
        <v>4158100</v>
      </c>
      <c r="H10" s="81">
        <f>G10-SUMIF('2021.12'!$B:$B,B10,'2021.12'!G:G)</f>
        <v>4158100</v>
      </c>
      <c r="I10" s="82" t="s">
        <v>17</v>
      </c>
      <c r="J10" s="99"/>
    </row>
    <row r="11" spans="1:10" s="98" customFormat="1" ht="24" customHeight="1">
      <c r="A11" s="78">
        <f t="shared" si="2"/>
        <v>8</v>
      </c>
      <c r="B11" s="78" t="s">
        <v>69</v>
      </c>
      <c r="C11" s="78" t="s">
        <v>46</v>
      </c>
      <c r="D11" s="79">
        <v>15240</v>
      </c>
      <c r="E11" s="79">
        <v>20574000</v>
      </c>
      <c r="F11" s="80">
        <f t="shared" si="0"/>
        <v>2057400</v>
      </c>
      <c r="G11" s="79">
        <f t="shared" si="1"/>
        <v>22631400</v>
      </c>
      <c r="H11" s="81">
        <f>G11-SUMIF('2021.12'!$B:$B,B11,'2021.12'!G:G)</f>
        <v>-3488100</v>
      </c>
      <c r="I11" s="82" t="s">
        <v>45</v>
      </c>
      <c r="J11" s="99"/>
    </row>
    <row r="12" spans="1:10" s="98" customFormat="1" ht="24" customHeight="1">
      <c r="A12" s="78">
        <f t="shared" si="2"/>
        <v>9</v>
      </c>
      <c r="B12" s="78" t="s">
        <v>7</v>
      </c>
      <c r="C12" s="78" t="s">
        <v>32</v>
      </c>
      <c r="D12" s="79">
        <v>4575</v>
      </c>
      <c r="E12" s="79">
        <v>640500</v>
      </c>
      <c r="F12" s="80">
        <f t="shared" si="0"/>
        <v>64050</v>
      </c>
      <c r="G12" s="79">
        <f t="shared" si="1"/>
        <v>704550</v>
      </c>
      <c r="H12" s="81">
        <f>G12-SUMIF('2021.12'!$B:$B,B12,'2021.12'!G:G)</f>
        <v>174790</v>
      </c>
      <c r="I12" s="105"/>
      <c r="J12" s="99"/>
    </row>
    <row r="13" spans="1:10" s="98" customFormat="1" ht="24" customHeight="1">
      <c r="A13" s="78">
        <f t="shared" si="2"/>
        <v>10</v>
      </c>
      <c r="B13" s="78" t="s">
        <v>38</v>
      </c>
      <c r="C13" s="78" t="s">
        <v>55</v>
      </c>
      <c r="D13" s="79"/>
      <c r="E13" s="79">
        <v>8350750</v>
      </c>
      <c r="F13" s="80">
        <f t="shared" si="0"/>
        <v>835075</v>
      </c>
      <c r="G13" s="79">
        <f t="shared" si="1"/>
        <v>9185825</v>
      </c>
      <c r="H13" s="81">
        <f>G13-SUMIF('2021.12'!$B:$B,B13,'2021.12'!G:G)</f>
        <v>496375</v>
      </c>
      <c r="I13" s="82" t="s">
        <v>80</v>
      </c>
      <c r="J13" s="99"/>
    </row>
    <row r="14" spans="1:10" s="98" customFormat="1" ht="24" customHeight="1">
      <c r="A14" s="93">
        <f t="shared" si="2"/>
        <v>11</v>
      </c>
      <c r="B14" s="93" t="s">
        <v>56</v>
      </c>
      <c r="C14" s="93" t="s">
        <v>57</v>
      </c>
      <c r="D14" s="94"/>
      <c r="E14" s="94"/>
      <c r="F14" s="80">
        <f t="shared" si="0"/>
        <v>0</v>
      </c>
      <c r="G14" s="94">
        <f>+E14+F14</f>
        <v>0</v>
      </c>
      <c r="H14" s="81">
        <f>G14-SUMIF('2021.12'!$B:$B,B14,'2021.12'!G:G)</f>
        <v>0</v>
      </c>
      <c r="I14" s="96"/>
      <c r="J14" s="99"/>
    </row>
    <row r="15" spans="1:10" s="98" customFormat="1" ht="24" customHeight="1">
      <c r="A15" s="83">
        <f t="shared" si="2"/>
        <v>12</v>
      </c>
      <c r="B15" s="83" t="s">
        <v>74</v>
      </c>
      <c r="C15" s="83" t="s">
        <v>57</v>
      </c>
      <c r="D15" s="88"/>
      <c r="E15" s="100"/>
      <c r="F15" s="80">
        <f t="shared" si="0"/>
        <v>0</v>
      </c>
      <c r="G15" s="88">
        <f>+E15+F15</f>
        <v>0</v>
      </c>
      <c r="H15" s="81">
        <f>G15-SUMIF('2021.12'!$B:$B,B15,'2021.12'!G:G)</f>
        <v>-566720</v>
      </c>
      <c r="I15" s="87"/>
      <c r="J15" s="99"/>
    </row>
    <row r="16" spans="1:10" s="98" customFormat="1" ht="24" customHeight="1">
      <c r="A16" s="83">
        <f t="shared" si="2"/>
        <v>13</v>
      </c>
      <c r="B16" s="83" t="s">
        <v>75</v>
      </c>
      <c r="C16" s="83" t="s">
        <v>57</v>
      </c>
      <c r="D16" s="88">
        <f>4060+2900</f>
        <v>6960</v>
      </c>
      <c r="E16" s="88">
        <f>1136800+812000</f>
        <v>1948800</v>
      </c>
      <c r="F16" s="80">
        <f t="shared" si="0"/>
        <v>194880</v>
      </c>
      <c r="G16" s="88">
        <f t="shared" ref="G16:G19" si="3">+E16+F16</f>
        <v>2143680</v>
      </c>
      <c r="H16" s="81">
        <f>G16-SUMIF('2021.12'!$B:$B,B16,'2021.12'!G:G)</f>
        <v>2143680</v>
      </c>
      <c r="I16" s="92" t="s">
        <v>16</v>
      </c>
      <c r="J16" s="102"/>
    </row>
    <row r="17" spans="1:10" s="101" customFormat="1" ht="24" customHeight="1">
      <c r="A17" s="83">
        <f t="shared" si="2"/>
        <v>14</v>
      </c>
      <c r="B17" s="83" t="s">
        <v>35</v>
      </c>
      <c r="C17" s="83" t="s">
        <v>36</v>
      </c>
      <c r="D17" s="80"/>
      <c r="E17" s="80"/>
      <c r="F17" s="80">
        <f t="shared" si="0"/>
        <v>0</v>
      </c>
      <c r="G17" s="88">
        <f t="shared" si="3"/>
        <v>0</v>
      </c>
      <c r="H17" s="81">
        <f>G17-SUMIF('2021.12'!$B:$B,B17,'2021.12'!G:G)</f>
        <v>0</v>
      </c>
      <c r="I17" s="89"/>
      <c r="J17" s="99"/>
    </row>
    <row r="18" spans="1:10" s="98" customFormat="1" ht="24" customHeight="1">
      <c r="A18" s="83">
        <f t="shared" si="2"/>
        <v>15</v>
      </c>
      <c r="B18" s="83" t="s">
        <v>63</v>
      </c>
      <c r="C18" s="83" t="s">
        <v>36</v>
      </c>
      <c r="D18" s="80"/>
      <c r="E18" s="80"/>
      <c r="F18" s="80">
        <f t="shared" si="0"/>
        <v>0</v>
      </c>
      <c r="G18" s="88">
        <f t="shared" si="3"/>
        <v>0</v>
      </c>
      <c r="H18" s="81">
        <f>G18-SUMIF('2021.12'!$B:$B,B18,'2021.12'!G:G)</f>
        <v>0</v>
      </c>
      <c r="I18" s="91"/>
      <c r="J18" s="99"/>
    </row>
    <row r="19" spans="1:10" s="98" customFormat="1" ht="24" customHeight="1">
      <c r="A19" s="83">
        <f t="shared" si="2"/>
        <v>16</v>
      </c>
      <c r="B19" s="83" t="s">
        <v>4</v>
      </c>
      <c r="C19" s="83" t="s">
        <v>30</v>
      </c>
      <c r="D19" s="80"/>
      <c r="E19" s="80">
        <v>2500000</v>
      </c>
      <c r="F19" s="80">
        <f t="shared" si="0"/>
        <v>250000</v>
      </c>
      <c r="G19" s="88">
        <f t="shared" si="3"/>
        <v>2750000</v>
      </c>
      <c r="H19" s="81">
        <f>G19-SUMIF('2021.12'!$B:$B,B19,'2021.12'!G:G)</f>
        <v>0</v>
      </c>
      <c r="I19" s="91"/>
      <c r="J19" s="99"/>
    </row>
    <row r="20" spans="1:10" s="98" customFormat="1" ht="24" customHeight="1">
      <c r="A20" s="84">
        <f t="shared" si="2"/>
        <v>17</v>
      </c>
      <c r="B20" s="84" t="s">
        <v>10</v>
      </c>
      <c r="C20" s="84" t="s">
        <v>41</v>
      </c>
      <c r="D20" s="85"/>
      <c r="E20" s="85"/>
      <c r="F20" s="85"/>
      <c r="G20" s="85">
        <f>+E20+F20</f>
        <v>0</v>
      </c>
      <c r="H20" s="81">
        <f>G20-SUMIF('2021.12'!$B:$B,B20,'2021.12'!G:G)</f>
        <v>0</v>
      </c>
      <c r="I20" s="92" t="s">
        <v>16</v>
      </c>
      <c r="J20" s="99"/>
    </row>
    <row r="21" spans="1:10" s="101" customFormat="1" ht="24" customHeight="1">
      <c r="A21" s="84">
        <f t="shared" si="2"/>
        <v>18</v>
      </c>
      <c r="B21" s="84" t="s">
        <v>37</v>
      </c>
      <c r="C21" s="84" t="s">
        <v>47</v>
      </c>
      <c r="D21" s="85"/>
      <c r="E21" s="85"/>
      <c r="F21" s="85"/>
      <c r="G21" s="85">
        <f>+E21+F21</f>
        <v>0</v>
      </c>
      <c r="H21" s="81">
        <f>G21-SUMIF('2021.12'!$B:$B,B21,'2021.12'!G:G)</f>
        <v>0</v>
      </c>
      <c r="I21" s="87" t="s">
        <v>16</v>
      </c>
      <c r="J21" s="99"/>
    </row>
    <row r="22" spans="1:10" s="39" customFormat="1" ht="24" customHeight="1">
      <c r="A22" s="366" t="s">
        <v>18</v>
      </c>
      <c r="B22" s="367"/>
      <c r="C22" s="97"/>
      <c r="D22" s="25">
        <f>SUM(D4:D21)</f>
        <v>1284690</v>
      </c>
      <c r="E22" s="25">
        <f>SUM(E4:E21)</f>
        <v>242408950</v>
      </c>
      <c r="F22" s="25">
        <f>SUM(F4:F21)</f>
        <v>23825085</v>
      </c>
      <c r="G22" s="25">
        <f>SUM(G4:G21)</f>
        <v>266234035</v>
      </c>
      <c r="H22" s="63">
        <f>G22-SUMIF('2021.09'!$B:$B,B22,'2021.09'!G:G)</f>
        <v>266234035</v>
      </c>
      <c r="I22" s="9"/>
    </row>
    <row r="24" spans="1:10">
      <c r="B24" s="45" t="s">
        <v>50</v>
      </c>
      <c r="E24" s="42">
        <f>E22-'2021.09'!E17</f>
        <v>242408950</v>
      </c>
      <c r="F24" s="42">
        <f>F22-'2021.09'!F17</f>
        <v>23825085</v>
      </c>
      <c r="G24" s="42">
        <f>G22-'2021.09'!G17</f>
        <v>266234035</v>
      </c>
      <c r="H24" s="42">
        <f>+H22-G24</f>
        <v>0</v>
      </c>
      <c r="I24" s="41"/>
    </row>
    <row r="25" spans="1:10">
      <c r="B25" s="46"/>
      <c r="C25" t="s">
        <v>54</v>
      </c>
    </row>
  </sheetData>
  <autoFilter ref="A3:I3"/>
  <mergeCells count="2">
    <mergeCell ref="A1:I1"/>
    <mergeCell ref="A22:B2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2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showGridLines="0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G11" sqref="G11"/>
    </sheetView>
  </sheetViews>
  <sheetFormatPr defaultColWidth="9" defaultRowHeight="16.5"/>
  <cols>
    <col min="1" max="1" width="7.5" bestFit="1" customWidth="1"/>
    <col min="2" max="2" width="20" customWidth="1"/>
    <col min="3" max="3" width="15.375" bestFit="1" customWidth="1"/>
    <col min="4" max="4" width="12.375" style="2" bestFit="1" customWidth="1"/>
    <col min="5" max="5" width="14.875" style="2" bestFit="1" customWidth="1"/>
    <col min="6" max="6" width="13.625" style="2" bestFit="1" customWidth="1"/>
    <col min="7" max="7" width="14.875" style="2" bestFit="1" customWidth="1"/>
    <col min="8" max="8" width="14.875" style="2" customWidth="1"/>
    <col min="9" max="9" width="39" bestFit="1" customWidth="1"/>
    <col min="10" max="10" width="11.875" style="40" bestFit="1" customWidth="1"/>
    <col min="11" max="16384" width="9" style="40"/>
  </cols>
  <sheetData>
    <row r="1" spans="1:10" ht="38.25">
      <c r="A1" s="363" t="s">
        <v>71</v>
      </c>
      <c r="B1" s="363"/>
      <c r="C1" s="363"/>
      <c r="D1" s="363"/>
      <c r="E1" s="363"/>
      <c r="F1" s="363"/>
      <c r="G1" s="363"/>
      <c r="H1" s="363"/>
      <c r="I1" s="363"/>
    </row>
    <row r="2" spans="1:10">
      <c r="I2" s="44" t="s">
        <v>72</v>
      </c>
    </row>
    <row r="3" spans="1:10" s="38" customFormat="1">
      <c r="A3" s="5" t="s">
        <v>12</v>
      </c>
      <c r="B3" s="5" t="s">
        <v>0</v>
      </c>
      <c r="C3" s="5" t="s">
        <v>26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50</v>
      </c>
      <c r="I3" s="5" t="s">
        <v>23</v>
      </c>
    </row>
    <row r="4" spans="1:10" s="39" customFormat="1" ht="24" customHeight="1">
      <c r="A4" s="78">
        <f>ROW()-3</f>
        <v>1</v>
      </c>
      <c r="B4" s="78" t="s">
        <v>13</v>
      </c>
      <c r="C4" s="78" t="s">
        <v>27</v>
      </c>
      <c r="D4" s="79"/>
      <c r="E4" s="79"/>
      <c r="F4" s="80"/>
      <c r="G4" s="79"/>
      <c r="H4" s="81">
        <f>G4-SUMIF('2021.11'!$B:$B,B4,'2021.11'!G:G)</f>
        <v>-125290</v>
      </c>
      <c r="I4" s="82"/>
    </row>
    <row r="5" spans="1:10" s="39" customFormat="1" ht="24" customHeight="1">
      <c r="A5" s="47">
        <f t="shared" ref="A5:A21" si="0">ROW()-3</f>
        <v>2</v>
      </c>
      <c r="B5" s="47" t="s">
        <v>5</v>
      </c>
      <c r="C5" s="47" t="s">
        <v>34</v>
      </c>
      <c r="D5" s="48">
        <v>729710</v>
      </c>
      <c r="E5" s="48">
        <v>116760500</v>
      </c>
      <c r="F5" s="52">
        <f>E5*0.1</f>
        <v>11676050</v>
      </c>
      <c r="G5" s="48">
        <f>E5+F5</f>
        <v>128436550</v>
      </c>
      <c r="H5" s="59">
        <f>G5-SUMIF('2021.11'!$B:$B,B5,'2021.11'!G:G)</f>
        <v>18813190</v>
      </c>
      <c r="I5" s="49" t="s">
        <v>73</v>
      </c>
      <c r="J5" s="43"/>
    </row>
    <row r="6" spans="1:10" s="39" customFormat="1" ht="24" customHeight="1">
      <c r="A6" s="47">
        <f t="shared" si="0"/>
        <v>3</v>
      </c>
      <c r="B6" s="47" t="s">
        <v>11</v>
      </c>
      <c r="C6" s="47" t="s">
        <v>34</v>
      </c>
      <c r="D6" s="48">
        <v>351045</v>
      </c>
      <c r="E6" s="48">
        <v>59949525</v>
      </c>
      <c r="F6" s="52">
        <f>E6*0.1</f>
        <v>5994952.5</v>
      </c>
      <c r="G6" s="48">
        <f>E6+F6</f>
        <v>65944477.5</v>
      </c>
      <c r="H6" s="59">
        <f>G6-SUMIF('2021.11'!$B:$B,B6,'2021.11'!G:G)</f>
        <v>-10403827.5</v>
      </c>
      <c r="I6" s="49" t="s">
        <v>73</v>
      </c>
      <c r="J6" s="43"/>
    </row>
    <row r="7" spans="1:10" s="39" customFormat="1" ht="24" customHeight="1">
      <c r="A7" s="47">
        <f t="shared" si="0"/>
        <v>4</v>
      </c>
      <c r="B7" s="50" t="s">
        <v>2</v>
      </c>
      <c r="C7" s="50" t="s">
        <v>34</v>
      </c>
      <c r="D7" s="48">
        <f>8340+8510</f>
        <v>16850</v>
      </c>
      <c r="E7" s="48">
        <f>+D7*140</f>
        <v>2359000</v>
      </c>
      <c r="F7" s="53">
        <f>+E7*0.1</f>
        <v>235900</v>
      </c>
      <c r="G7" s="48">
        <f>F7+E7</f>
        <v>2594900</v>
      </c>
      <c r="H7" s="59">
        <f>G7-SUMIF('2021.11'!$B:$B,B7,'2021.11'!G:G)</f>
        <v>141020</v>
      </c>
      <c r="I7" s="49"/>
      <c r="J7" s="43"/>
    </row>
    <row r="8" spans="1:10" s="39" customFormat="1" ht="24" customHeight="1">
      <c r="A8" s="93">
        <f t="shared" si="0"/>
        <v>5</v>
      </c>
      <c r="B8" s="93" t="s">
        <v>8</v>
      </c>
      <c r="C8" s="93" t="s">
        <v>28</v>
      </c>
      <c r="D8" s="94"/>
      <c r="E8" s="94"/>
      <c r="F8" s="80">
        <f t="shared" ref="F8:F19" si="1">+E8*0.1</f>
        <v>0</v>
      </c>
      <c r="G8" s="94">
        <f>E8+F8</f>
        <v>0</v>
      </c>
      <c r="H8" s="95">
        <f>G8-SUMIF('2021.11'!$B:$B,B8,'2021.11'!G:G)</f>
        <v>0</v>
      </c>
      <c r="I8" s="96"/>
      <c r="J8" s="43"/>
    </row>
    <row r="9" spans="1:10" s="39" customFormat="1" ht="24" customHeight="1">
      <c r="A9" s="47">
        <f t="shared" si="0"/>
        <v>6</v>
      </c>
      <c r="B9" s="50" t="s">
        <v>9</v>
      </c>
      <c r="C9" s="50" t="s">
        <v>28</v>
      </c>
      <c r="D9" s="71">
        <v>18190</v>
      </c>
      <c r="E9" s="71">
        <v>2546600</v>
      </c>
      <c r="F9" s="53">
        <f t="shared" si="1"/>
        <v>254660</v>
      </c>
      <c r="G9" s="53">
        <f>E9+F9</f>
        <v>2801260</v>
      </c>
      <c r="H9" s="59">
        <f>G9-SUMIF('2021.11'!$B:$B,B9,'2021.11'!G:G)</f>
        <v>268730</v>
      </c>
      <c r="I9" s="49"/>
      <c r="J9" s="43"/>
    </row>
    <row r="10" spans="1:10" s="39" customFormat="1" ht="24" customHeight="1">
      <c r="A10" s="78">
        <f t="shared" si="0"/>
        <v>7</v>
      </c>
      <c r="B10" s="78" t="s">
        <v>1</v>
      </c>
      <c r="C10" s="78" t="s">
        <v>49</v>
      </c>
      <c r="D10" s="79"/>
      <c r="E10" s="79"/>
      <c r="F10" s="80">
        <f t="shared" si="1"/>
        <v>0</v>
      </c>
      <c r="G10" s="79">
        <f>E10+F10</f>
        <v>0</v>
      </c>
      <c r="H10" s="81">
        <f>G10-SUMIF('2021.11'!$B:$B,B10,'2021.11'!G:G)</f>
        <v>0</v>
      </c>
      <c r="I10" s="82" t="s">
        <v>17</v>
      </c>
      <c r="J10" s="43"/>
    </row>
    <row r="11" spans="1:10" s="39" customFormat="1" ht="24" customHeight="1">
      <c r="A11" s="47">
        <f t="shared" si="0"/>
        <v>8</v>
      </c>
      <c r="B11" s="47" t="s">
        <v>69</v>
      </c>
      <c r="C11" s="47" t="s">
        <v>46</v>
      </c>
      <c r="D11" s="56">
        <f>1815+15050</f>
        <v>16865</v>
      </c>
      <c r="E11" s="57">
        <v>23745000</v>
      </c>
      <c r="F11" s="53">
        <f t="shared" si="1"/>
        <v>2374500</v>
      </c>
      <c r="G11" s="48">
        <f t="shared" ref="G11:G12" si="2">E11+F11</f>
        <v>26119500</v>
      </c>
      <c r="H11" s="59">
        <f>G11-SUMIF('2021.11'!$B:$B,B11,'2021.11'!G:G)</f>
        <v>2420000</v>
      </c>
      <c r="I11" s="49" t="s">
        <v>45</v>
      </c>
      <c r="J11" s="43"/>
    </row>
    <row r="12" spans="1:10" s="39" customFormat="1" ht="24" customHeight="1">
      <c r="A12" s="47">
        <f t="shared" si="0"/>
        <v>9</v>
      </c>
      <c r="B12" s="47" t="s">
        <v>7</v>
      </c>
      <c r="C12" s="47" t="s">
        <v>32</v>
      </c>
      <c r="D12" s="48">
        <v>3440</v>
      </c>
      <c r="E12" s="48">
        <v>481600</v>
      </c>
      <c r="F12" s="53">
        <f t="shared" si="1"/>
        <v>48160</v>
      </c>
      <c r="G12" s="48">
        <f t="shared" si="2"/>
        <v>529760</v>
      </c>
      <c r="H12" s="59">
        <f>G12-SUMIF('2021.11'!$B:$B,B12,'2021.11'!G:G)</f>
        <v>-510840</v>
      </c>
      <c r="I12" s="49"/>
      <c r="J12" s="43"/>
    </row>
    <row r="13" spans="1:10" s="39" customFormat="1" ht="24" customHeight="1">
      <c r="A13" s="47">
        <f t="shared" si="0"/>
        <v>10</v>
      </c>
      <c r="B13" s="47" t="s">
        <v>38</v>
      </c>
      <c r="C13" s="47" t="s">
        <v>55</v>
      </c>
      <c r="D13" s="48"/>
      <c r="E13" s="48">
        <v>7899500</v>
      </c>
      <c r="F13" s="53">
        <f t="shared" si="1"/>
        <v>789950</v>
      </c>
      <c r="G13" s="48">
        <f>E13+F13</f>
        <v>8689450</v>
      </c>
      <c r="H13" s="59">
        <f>G13-SUMIF('2021.11'!$B:$B,B13,'2021.11'!G:G)</f>
        <v>855030</v>
      </c>
      <c r="I13" s="49" t="s">
        <v>62</v>
      </c>
      <c r="J13" s="43"/>
    </row>
    <row r="14" spans="1:10" s="39" customFormat="1" ht="24" customHeight="1">
      <c r="A14" s="93">
        <f t="shared" si="0"/>
        <v>11</v>
      </c>
      <c r="B14" s="93" t="s">
        <v>56</v>
      </c>
      <c r="C14" s="93" t="s">
        <v>57</v>
      </c>
      <c r="D14" s="94"/>
      <c r="E14" s="94"/>
      <c r="F14" s="80">
        <f t="shared" si="1"/>
        <v>0</v>
      </c>
      <c r="G14" s="94">
        <f>E14+F14</f>
        <v>0</v>
      </c>
      <c r="H14" s="95">
        <f>G14-SUMIF('2021.11'!$B:$B,B14,'2021.11'!G:G)</f>
        <v>0</v>
      </c>
      <c r="I14" s="96"/>
      <c r="J14" s="43"/>
    </row>
    <row r="15" spans="1:10" s="39" customFormat="1" ht="24" customHeight="1">
      <c r="A15" s="50">
        <f t="shared" si="0"/>
        <v>12</v>
      </c>
      <c r="B15" s="50" t="s">
        <v>74</v>
      </c>
      <c r="C15" s="50" t="s">
        <v>57</v>
      </c>
      <c r="D15" s="71">
        <v>1840</v>
      </c>
      <c r="E15" s="103">
        <v>515200</v>
      </c>
      <c r="F15" s="53">
        <f t="shared" si="1"/>
        <v>51520</v>
      </c>
      <c r="G15" s="71">
        <f>E15+F15</f>
        <v>566720</v>
      </c>
      <c r="H15" s="61">
        <f>G15-SUMIF('2021.11'!$B:$B,B15,'2021.11'!G:G)</f>
        <v>566720</v>
      </c>
      <c r="I15" s="104"/>
      <c r="J15" s="43"/>
    </row>
    <row r="16" spans="1:10" s="39" customFormat="1" ht="24" customHeight="1">
      <c r="A16" s="83">
        <f t="shared" si="0"/>
        <v>13</v>
      </c>
      <c r="B16" s="83" t="s">
        <v>75</v>
      </c>
      <c r="C16" s="83" t="s">
        <v>57</v>
      </c>
      <c r="D16" s="88"/>
      <c r="E16" s="85"/>
      <c r="F16" s="80">
        <f t="shared" si="1"/>
        <v>0</v>
      </c>
      <c r="G16" s="85">
        <f>E16+F16</f>
        <v>0</v>
      </c>
      <c r="H16" s="90">
        <f>G16-SUMIF('2021.11'!$B:$B,B16,'2021.11'!G:G)</f>
        <v>0</v>
      </c>
      <c r="I16" s="92" t="s">
        <v>16</v>
      </c>
      <c r="J16" s="43"/>
    </row>
    <row r="17" spans="1:10" s="23" customFormat="1" ht="24" customHeight="1">
      <c r="A17" s="83">
        <f t="shared" si="0"/>
        <v>14</v>
      </c>
      <c r="B17" s="83" t="s">
        <v>35</v>
      </c>
      <c r="C17" s="83" t="s">
        <v>36</v>
      </c>
      <c r="D17" s="80"/>
      <c r="E17" s="80"/>
      <c r="F17" s="80">
        <f t="shared" si="1"/>
        <v>0</v>
      </c>
      <c r="G17" s="79">
        <f>E17+F17</f>
        <v>0</v>
      </c>
      <c r="H17" s="81">
        <f>G17-SUMIF('2021.11'!$B:$B,B17,'2021.11'!G:G)</f>
        <v>0</v>
      </c>
      <c r="I17" s="89"/>
      <c r="J17" s="43"/>
    </row>
    <row r="18" spans="1:10" s="39" customFormat="1" ht="24" customHeight="1">
      <c r="A18" s="83">
        <f t="shared" si="0"/>
        <v>15</v>
      </c>
      <c r="B18" s="83" t="s">
        <v>63</v>
      </c>
      <c r="C18" s="83" t="s">
        <v>36</v>
      </c>
      <c r="D18" s="80"/>
      <c r="E18" s="80"/>
      <c r="F18" s="80">
        <f t="shared" si="1"/>
        <v>0</v>
      </c>
      <c r="G18" s="79">
        <f t="shared" ref="G18:G19" si="3">E18+F18</f>
        <v>0</v>
      </c>
      <c r="H18" s="90">
        <f>G18-SUMIF('2021.11'!$B:$B,B18,'2021.11'!G:G)</f>
        <v>-1454750</v>
      </c>
      <c r="I18" s="91"/>
      <c r="J18" s="43"/>
    </row>
    <row r="19" spans="1:10" s="39" customFormat="1" ht="24" customHeight="1">
      <c r="A19" s="50">
        <f t="shared" si="0"/>
        <v>16</v>
      </c>
      <c r="B19" s="50" t="s">
        <v>4</v>
      </c>
      <c r="C19" s="50" t="s">
        <v>30</v>
      </c>
      <c r="D19" s="53"/>
      <c r="E19" s="53">
        <v>2500000</v>
      </c>
      <c r="F19" s="53">
        <f t="shared" si="1"/>
        <v>250000</v>
      </c>
      <c r="G19" s="48">
        <f t="shared" si="3"/>
        <v>2750000</v>
      </c>
      <c r="H19" s="61">
        <f>G19-SUMIF('2021.11'!$B:$B,B19,'2021.11'!G:G)</f>
        <v>0</v>
      </c>
      <c r="I19" s="54"/>
      <c r="J19" s="43"/>
    </row>
    <row r="20" spans="1:10" s="39" customFormat="1" ht="24" customHeight="1">
      <c r="A20" s="84">
        <f t="shared" si="0"/>
        <v>17</v>
      </c>
      <c r="B20" s="84" t="s">
        <v>10</v>
      </c>
      <c r="C20" s="84" t="s">
        <v>41</v>
      </c>
      <c r="D20" s="85"/>
      <c r="E20" s="85"/>
      <c r="F20" s="85"/>
      <c r="G20" s="85">
        <f>+E20+F20</f>
        <v>0</v>
      </c>
      <c r="H20" s="86">
        <f>G20-SUMIF('2021.11'!$B:$B,B20,'2021.11'!G:G)</f>
        <v>0</v>
      </c>
      <c r="I20" s="92" t="s">
        <v>16</v>
      </c>
      <c r="J20" s="43"/>
    </row>
    <row r="21" spans="1:10" s="23" customFormat="1" ht="24" customHeight="1">
      <c r="A21" s="84">
        <f t="shared" si="0"/>
        <v>18</v>
      </c>
      <c r="B21" s="84" t="s">
        <v>37</v>
      </c>
      <c r="C21" s="84" t="s">
        <v>47</v>
      </c>
      <c r="D21" s="85"/>
      <c r="E21" s="85"/>
      <c r="F21" s="85"/>
      <c r="G21" s="85">
        <f>+E21+F21</f>
        <v>0</v>
      </c>
      <c r="H21" s="86">
        <f>G21-SUMIF('2021.11'!$B:$B,B21,'2021.11'!G:G)</f>
        <v>0</v>
      </c>
      <c r="I21" s="87" t="s">
        <v>16</v>
      </c>
      <c r="J21" s="43"/>
    </row>
    <row r="22" spans="1:10" s="39" customFormat="1" ht="24" customHeight="1">
      <c r="A22" s="366" t="s">
        <v>18</v>
      </c>
      <c r="B22" s="367"/>
      <c r="C22" s="77"/>
      <c r="D22" s="25">
        <f>SUM(D4:D21)</f>
        <v>1137940</v>
      </c>
      <c r="E22" s="25">
        <f>SUM(E4:E21)</f>
        <v>216756925</v>
      </c>
      <c r="F22" s="25">
        <f>SUM(F4:F21)</f>
        <v>21675692.5</v>
      </c>
      <c r="G22" s="25">
        <f>SUM(G4:G21)</f>
        <v>238432617.5</v>
      </c>
      <c r="H22" s="63">
        <f>G22-SUMIF('2021.09'!$B:$B,B22,'2021.09'!G:G)</f>
        <v>238432617.5</v>
      </c>
      <c r="I22" s="9"/>
    </row>
    <row r="24" spans="1:10">
      <c r="B24" s="45" t="s">
        <v>50</v>
      </c>
      <c r="E24" s="42">
        <f>E22-'2021.09'!E17</f>
        <v>216756925</v>
      </c>
      <c r="F24" s="42">
        <f>F22-'2021.09'!F17</f>
        <v>21675692.5</v>
      </c>
      <c r="G24" s="42">
        <f>G22-'2021.09'!G17</f>
        <v>238432617.5</v>
      </c>
      <c r="H24" s="42">
        <f>+H22-G24</f>
        <v>0</v>
      </c>
      <c r="I24" s="41" t="s">
        <v>64</v>
      </c>
    </row>
    <row r="25" spans="1:10">
      <c r="B25" s="46"/>
      <c r="C25" t="s">
        <v>54</v>
      </c>
    </row>
  </sheetData>
  <autoFilter ref="A3:I3"/>
  <mergeCells count="2">
    <mergeCell ref="A1:I1"/>
    <mergeCell ref="A22:B2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2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showGridLines="0" workbookViewId="0">
      <pane xSplit="2" ySplit="3" topLeftCell="C7" activePane="bottomRight" state="frozen"/>
      <selection pane="topRight" activeCell="C1" sqref="C1"/>
      <selection pane="bottomLeft" activeCell="A2" sqref="A2"/>
      <selection pane="bottomRight" activeCell="I21" sqref="I21"/>
    </sheetView>
  </sheetViews>
  <sheetFormatPr defaultColWidth="9" defaultRowHeight="16.5"/>
  <cols>
    <col min="1" max="1" width="7.5" bestFit="1" customWidth="1"/>
    <col min="2" max="2" width="20" customWidth="1"/>
    <col min="3" max="3" width="15.375" bestFit="1" customWidth="1"/>
    <col min="4" max="4" width="12.375" style="2" bestFit="1" customWidth="1"/>
    <col min="5" max="5" width="14.875" style="2" bestFit="1" customWidth="1"/>
    <col min="6" max="6" width="13.625" style="2" bestFit="1" customWidth="1"/>
    <col min="7" max="7" width="14.875" style="2" bestFit="1" customWidth="1"/>
    <col min="8" max="8" width="14.875" style="2" customWidth="1"/>
    <col min="9" max="9" width="39" bestFit="1" customWidth="1"/>
    <col min="10" max="10" width="11.875" style="40" bestFit="1" customWidth="1"/>
    <col min="11" max="16384" width="9" style="40"/>
  </cols>
  <sheetData>
    <row r="1" spans="1:10" ht="38.25">
      <c r="A1" s="363" t="s">
        <v>68</v>
      </c>
      <c r="B1" s="363"/>
      <c r="C1" s="363"/>
      <c r="D1" s="363"/>
      <c r="E1" s="363"/>
      <c r="F1" s="363"/>
      <c r="G1" s="363"/>
      <c r="H1" s="363"/>
      <c r="I1" s="363"/>
    </row>
    <row r="2" spans="1:10">
      <c r="I2" s="44" t="s">
        <v>66</v>
      </c>
    </row>
    <row r="3" spans="1:10" s="38" customFormat="1">
      <c r="A3" s="5" t="s">
        <v>12</v>
      </c>
      <c r="B3" s="5" t="s">
        <v>0</v>
      </c>
      <c r="C3" s="5" t="s">
        <v>26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50</v>
      </c>
      <c r="I3" s="5" t="s">
        <v>23</v>
      </c>
    </row>
    <row r="4" spans="1:10" s="39" customFormat="1" ht="24" customHeight="1">
      <c r="A4" s="47">
        <f>ROW()-3</f>
        <v>1</v>
      </c>
      <c r="B4" s="47" t="s">
        <v>13</v>
      </c>
      <c r="C4" s="47" t="s">
        <v>27</v>
      </c>
      <c r="D4" s="48">
        <v>670</v>
      </c>
      <c r="E4" s="48">
        <v>113900</v>
      </c>
      <c r="F4" s="53">
        <v>11390</v>
      </c>
      <c r="G4" s="48">
        <f t="shared" ref="G4:G18" si="0">+E4+F4</f>
        <v>125290</v>
      </c>
      <c r="H4" s="59">
        <f>G4-SUMIF('2021.09'!$B:$B,B4,'2021.09'!G:G)</f>
        <v>125290</v>
      </c>
      <c r="I4" s="49"/>
    </row>
    <row r="5" spans="1:10" s="39" customFormat="1" ht="24" customHeight="1">
      <c r="A5" s="47">
        <f t="shared" ref="A5:A21" si="1">ROW()-3</f>
        <v>2</v>
      </c>
      <c r="B5" s="47" t="s">
        <v>5</v>
      </c>
      <c r="C5" s="47" t="s">
        <v>34</v>
      </c>
      <c r="D5" s="48">
        <v>622860</v>
      </c>
      <c r="E5" s="48">
        <v>99657600</v>
      </c>
      <c r="F5" s="52">
        <f>+E5*0.1</f>
        <v>9965760</v>
      </c>
      <c r="G5" s="48">
        <f t="shared" si="0"/>
        <v>109623360</v>
      </c>
      <c r="H5" s="59">
        <f>G5-SUMIF('2021.09'!$B:$B,B5,'2021.09'!G:G)</f>
        <v>-8242190</v>
      </c>
      <c r="I5" s="49" t="s">
        <v>67</v>
      </c>
      <c r="J5" s="43"/>
    </row>
    <row r="6" spans="1:10" s="39" customFormat="1" ht="24" customHeight="1">
      <c r="A6" s="47">
        <f t="shared" si="1"/>
        <v>3</v>
      </c>
      <c r="B6" s="47" t="s">
        <v>11</v>
      </c>
      <c r="C6" s="47" t="s">
        <v>34</v>
      </c>
      <c r="D6" s="48">
        <v>406490</v>
      </c>
      <c r="E6" s="48">
        <v>69407550</v>
      </c>
      <c r="F6" s="52">
        <f>+E6*0.1</f>
        <v>6940755</v>
      </c>
      <c r="G6" s="48">
        <f t="shared" si="0"/>
        <v>76348305</v>
      </c>
      <c r="H6" s="59">
        <f>G6-SUMIF('2021.09'!$B:$B,B6,'2021.09'!G:G)</f>
        <v>-9295495</v>
      </c>
      <c r="I6" s="49" t="s">
        <v>67</v>
      </c>
      <c r="J6" s="43"/>
    </row>
    <row r="7" spans="1:10" s="39" customFormat="1" ht="24" customHeight="1">
      <c r="A7" s="47">
        <f t="shared" si="1"/>
        <v>4</v>
      </c>
      <c r="B7" s="50" t="s">
        <v>2</v>
      </c>
      <c r="C7" s="50" t="s">
        <v>34</v>
      </c>
      <c r="D7" s="48">
        <v>15940</v>
      </c>
      <c r="E7" s="48">
        <v>2230800</v>
      </c>
      <c r="F7" s="53">
        <f>+E7*0.1</f>
        <v>223080</v>
      </c>
      <c r="G7" s="48">
        <f t="shared" si="0"/>
        <v>2453880</v>
      </c>
      <c r="H7" s="59">
        <f>G7-SUMIF('2021.09'!$B:$B,B7,'2021.09'!G:G)</f>
        <v>-35640</v>
      </c>
      <c r="I7" s="49"/>
      <c r="J7" s="43"/>
    </row>
    <row r="8" spans="1:10" s="39" customFormat="1" ht="24" customHeight="1">
      <c r="A8" s="12">
        <f t="shared" si="1"/>
        <v>5</v>
      </c>
      <c r="B8" s="12" t="s">
        <v>8</v>
      </c>
      <c r="C8" s="12" t="s">
        <v>28</v>
      </c>
      <c r="D8" s="4"/>
      <c r="E8" s="4"/>
      <c r="F8" s="4">
        <f>+E8*0.1</f>
        <v>0</v>
      </c>
      <c r="G8" s="4">
        <f t="shared" si="0"/>
        <v>0</v>
      </c>
      <c r="H8" s="62">
        <f>G8-SUMIF('2021.09'!$B:$B,B8,'2021.09'!G:G)</f>
        <v>-2884640</v>
      </c>
      <c r="I8" s="32"/>
      <c r="J8" s="43"/>
    </row>
    <row r="9" spans="1:10" s="39" customFormat="1" ht="24" customHeight="1">
      <c r="A9" s="47">
        <f t="shared" si="1"/>
        <v>6</v>
      </c>
      <c r="B9" s="50" t="s">
        <v>9</v>
      </c>
      <c r="C9" s="50" t="s">
        <v>28</v>
      </c>
      <c r="D9" s="71">
        <v>16445</v>
      </c>
      <c r="E9" s="71">
        <v>2302300</v>
      </c>
      <c r="F9" s="53">
        <f>+E9*0.1</f>
        <v>230230</v>
      </c>
      <c r="G9" s="71">
        <f t="shared" si="0"/>
        <v>2532530</v>
      </c>
      <c r="H9" s="59">
        <f>G9-SUMIF('2021.09'!$B:$B,B9,'2021.09'!G:G)</f>
        <v>-1365595</v>
      </c>
      <c r="I9" s="49"/>
      <c r="J9" s="43"/>
    </row>
    <row r="10" spans="1:10" s="39" customFormat="1" ht="24" customHeight="1">
      <c r="A10" s="14">
        <f t="shared" si="1"/>
        <v>7</v>
      </c>
      <c r="B10" s="14" t="s">
        <v>1</v>
      </c>
      <c r="C10" s="14" t="s">
        <v>49</v>
      </c>
      <c r="D10" s="15"/>
      <c r="E10" s="15"/>
      <c r="F10" s="15"/>
      <c r="G10" s="15">
        <f t="shared" si="0"/>
        <v>0</v>
      </c>
      <c r="H10" s="60">
        <f>G10-SUMIF('2021.09'!$B:$B,B10,'2021.09'!G:G)</f>
        <v>-3512650</v>
      </c>
      <c r="I10" s="16" t="s">
        <v>17</v>
      </c>
      <c r="J10" s="43"/>
    </row>
    <row r="11" spans="1:10" s="39" customFormat="1" ht="24" customHeight="1">
      <c r="A11" s="47">
        <f t="shared" si="1"/>
        <v>8</v>
      </c>
      <c r="B11" s="47" t="s">
        <v>69</v>
      </c>
      <c r="C11" s="47" t="s">
        <v>46</v>
      </c>
      <c r="D11" s="56">
        <v>13900</v>
      </c>
      <c r="E11" s="57">
        <v>21545000</v>
      </c>
      <c r="F11" s="53">
        <f>+E11*0.1</f>
        <v>2154500</v>
      </c>
      <c r="G11" s="48">
        <f t="shared" si="0"/>
        <v>23699500</v>
      </c>
      <c r="H11" s="59">
        <f>G11-SUMIF('2021.09'!$B:$B,B11,'2021.09'!G:G)</f>
        <v>-990825</v>
      </c>
      <c r="I11" s="49" t="s">
        <v>45</v>
      </c>
      <c r="J11" s="43"/>
    </row>
    <row r="12" spans="1:10" s="39" customFormat="1" ht="24" customHeight="1">
      <c r="A12" s="47">
        <f t="shared" si="1"/>
        <v>9</v>
      </c>
      <c r="B12" s="47" t="s">
        <v>7</v>
      </c>
      <c r="C12" s="47" t="s">
        <v>32</v>
      </c>
      <c r="D12" s="48">
        <v>7000</v>
      </c>
      <c r="E12" s="48">
        <v>946000</v>
      </c>
      <c r="F12" s="53">
        <f>+E12*0.1</f>
        <v>94600</v>
      </c>
      <c r="G12" s="48">
        <f>+E12+F12</f>
        <v>1040600</v>
      </c>
      <c r="H12" s="59">
        <f>G12-SUMIF('2021.09'!$B:$B,B12,'2021.09'!G:G)</f>
        <v>566720</v>
      </c>
      <c r="I12" s="49"/>
      <c r="J12" s="43" t="s">
        <v>70</v>
      </c>
    </row>
    <row r="13" spans="1:10" s="39" customFormat="1" ht="24" customHeight="1">
      <c r="A13" s="47">
        <f t="shared" si="1"/>
        <v>10</v>
      </c>
      <c r="B13" s="47" t="s">
        <v>38</v>
      </c>
      <c r="C13" s="47" t="s">
        <v>55</v>
      </c>
      <c r="D13" s="48"/>
      <c r="E13" s="48">
        <v>7122200</v>
      </c>
      <c r="F13" s="52">
        <f>+E13*0.1</f>
        <v>712220</v>
      </c>
      <c r="G13" s="48">
        <f>+E13+F13</f>
        <v>7834420</v>
      </c>
      <c r="H13" s="59">
        <f>G13-SUMIF('2021.09'!$B:$B,B13,'2021.09'!G:G)</f>
        <v>2477695</v>
      </c>
      <c r="I13" s="49" t="s">
        <v>62</v>
      </c>
      <c r="J13" s="43"/>
    </row>
    <row r="14" spans="1:10" s="39" customFormat="1" ht="24" customHeight="1">
      <c r="A14" s="12">
        <f t="shared" si="1"/>
        <v>11</v>
      </c>
      <c r="B14" s="12" t="s">
        <v>56</v>
      </c>
      <c r="C14" s="12" t="s">
        <v>57</v>
      </c>
      <c r="D14" s="4"/>
      <c r="E14" s="4"/>
      <c r="F14" s="4">
        <f>+E14*0.1</f>
        <v>0</v>
      </c>
      <c r="G14" s="4">
        <f>+E14+F14</f>
        <v>0</v>
      </c>
      <c r="H14" s="62">
        <f>G14-SUMIF('2021.09'!$B:$B,B14,'2021.09'!G:G)</f>
        <v>-1232000</v>
      </c>
      <c r="I14" s="32"/>
      <c r="J14" s="43"/>
    </row>
    <row r="15" spans="1:10" s="23" customFormat="1" ht="24" customHeight="1">
      <c r="A15" s="17">
        <f t="shared" si="1"/>
        <v>12</v>
      </c>
      <c r="B15" s="17" t="s">
        <v>35</v>
      </c>
      <c r="C15" s="17" t="s">
        <v>36</v>
      </c>
      <c r="D15" s="18"/>
      <c r="E15" s="18"/>
      <c r="F15" s="18"/>
      <c r="G15" s="15">
        <f>+E15+F15</f>
        <v>0</v>
      </c>
      <c r="H15" s="60">
        <f>G15-SUMIF('2021.09'!$B:$B,B15,'2021.09'!G:G)</f>
        <v>-219100</v>
      </c>
      <c r="I15" s="70"/>
      <c r="J15" s="43"/>
    </row>
    <row r="16" spans="1:10" s="39" customFormat="1" ht="24" customHeight="1">
      <c r="A16" s="50">
        <f t="shared" si="1"/>
        <v>13</v>
      </c>
      <c r="B16" s="50" t="s">
        <v>63</v>
      </c>
      <c r="C16" s="50" t="s">
        <v>36</v>
      </c>
      <c r="D16" s="53">
        <v>2645</v>
      </c>
      <c r="E16" s="53">
        <v>1322500</v>
      </c>
      <c r="F16" s="53">
        <f>+E16*0.1</f>
        <v>132250</v>
      </c>
      <c r="G16" s="53">
        <f>+E16+F16</f>
        <v>1454750</v>
      </c>
      <c r="H16" s="61">
        <f>G16-SUMIF('2021.09'!$B:$B,B16,'2021.09'!G:G)</f>
        <v>1454750</v>
      </c>
      <c r="I16" s="54"/>
      <c r="J16" s="43"/>
    </row>
    <row r="17" spans="1:10" s="39" customFormat="1" ht="24" customHeight="1">
      <c r="A17" s="50">
        <f t="shared" si="1"/>
        <v>14</v>
      </c>
      <c r="B17" s="50" t="s">
        <v>4</v>
      </c>
      <c r="C17" s="50" t="s">
        <v>30</v>
      </c>
      <c r="D17" s="53"/>
      <c r="E17" s="53">
        <v>2500000</v>
      </c>
      <c r="F17" s="53">
        <f>+E17*0.1</f>
        <v>250000</v>
      </c>
      <c r="G17" s="53">
        <f t="shared" si="0"/>
        <v>2750000</v>
      </c>
      <c r="H17" s="61">
        <f>G17-SUMIF('2021.09'!$B:$B,B17,'2021.09'!G:G)</f>
        <v>0</v>
      </c>
      <c r="I17" s="54"/>
      <c r="J17" s="43"/>
    </row>
    <row r="18" spans="1:10" s="39" customFormat="1" ht="24" customHeight="1">
      <c r="A18" s="12">
        <f t="shared" si="1"/>
        <v>15</v>
      </c>
      <c r="B18" s="12" t="s">
        <v>61</v>
      </c>
      <c r="C18" s="12" t="s">
        <v>41</v>
      </c>
      <c r="D18" s="4"/>
      <c r="E18" s="4"/>
      <c r="F18" s="4">
        <f>+E18*0.1</f>
        <v>0</v>
      </c>
      <c r="G18" s="4">
        <f t="shared" si="0"/>
        <v>0</v>
      </c>
      <c r="H18" s="62">
        <f>G18-SUMIF('2021.09'!$B:$B,B18,'2021.09'!G:G)</f>
        <v>0</v>
      </c>
      <c r="I18" s="32"/>
      <c r="J18" s="43"/>
    </row>
    <row r="19" spans="1:10" s="39" customFormat="1" ht="24" customHeight="1">
      <c r="A19" s="72">
        <f t="shared" si="1"/>
        <v>16</v>
      </c>
      <c r="B19" s="72" t="s">
        <v>6</v>
      </c>
      <c r="C19" s="72" t="s">
        <v>42</v>
      </c>
      <c r="D19" s="73"/>
      <c r="E19" s="73"/>
      <c r="F19" s="73"/>
      <c r="G19" s="73">
        <f>+E19+F19</f>
        <v>0</v>
      </c>
      <c r="H19" s="74">
        <f>G19-SUMIF('2021.09'!$B:$B,B19,'2021.09'!G:G)</f>
        <v>0</v>
      </c>
      <c r="I19" s="75" t="s">
        <v>16</v>
      </c>
      <c r="J19" s="43"/>
    </row>
    <row r="20" spans="1:10" s="39" customFormat="1" ht="24" customHeight="1">
      <c r="A20" s="72">
        <f t="shared" si="1"/>
        <v>17</v>
      </c>
      <c r="B20" s="72" t="s">
        <v>10</v>
      </c>
      <c r="C20" s="72" t="s">
        <v>41</v>
      </c>
      <c r="D20" s="73"/>
      <c r="E20" s="73"/>
      <c r="F20" s="73"/>
      <c r="G20" s="73">
        <f>+E20+F20</f>
        <v>0</v>
      </c>
      <c r="H20" s="74">
        <f>G20-SUMIF('2021.09'!$B:$B,B20,'2021.09'!G:G)</f>
        <v>0</v>
      </c>
      <c r="I20" s="75" t="s">
        <v>16</v>
      </c>
      <c r="J20" s="43"/>
    </row>
    <row r="21" spans="1:10" s="23" customFormat="1" ht="24" customHeight="1">
      <c r="A21" s="72">
        <f t="shared" si="1"/>
        <v>18</v>
      </c>
      <c r="B21" s="72" t="s">
        <v>37</v>
      </c>
      <c r="C21" s="72" t="s">
        <v>47</v>
      </c>
      <c r="D21" s="73"/>
      <c r="E21" s="73"/>
      <c r="F21" s="73"/>
      <c r="G21" s="73">
        <f>+E21+F21</f>
        <v>0</v>
      </c>
      <c r="H21" s="74">
        <f>G21-SUMIF('2021.09'!$B:$B,B21,'2021.09'!G:G)</f>
        <v>0</v>
      </c>
      <c r="I21" s="76" t="s">
        <v>16</v>
      </c>
      <c r="J21" s="43"/>
    </row>
    <row r="22" spans="1:10" s="39" customFormat="1" ht="24" customHeight="1">
      <c r="A22" s="366" t="s">
        <v>18</v>
      </c>
      <c r="B22" s="367"/>
      <c r="C22" s="69"/>
      <c r="D22" s="25">
        <f>SUM(D4:D21)</f>
        <v>1085950</v>
      </c>
      <c r="E22" s="25">
        <f>SUM(E4:E21)</f>
        <v>207147850</v>
      </c>
      <c r="F22" s="25">
        <f>SUM(F4:F21)</f>
        <v>20714785</v>
      </c>
      <c r="G22" s="25">
        <f>SUM(G4:G21)</f>
        <v>227862635</v>
      </c>
      <c r="H22" s="63">
        <f>G22-SUMIF('2021.09'!$B:$B,B22,'2021.09'!G:G)</f>
        <v>227862635</v>
      </c>
      <c r="I22" s="9"/>
    </row>
    <row r="24" spans="1:10">
      <c r="B24" s="45" t="s">
        <v>50</v>
      </c>
      <c r="E24" s="42">
        <f>E22-'2021.09'!E17</f>
        <v>207147850</v>
      </c>
      <c r="F24" s="42">
        <f>F22-'2021.09'!F17</f>
        <v>20714785</v>
      </c>
      <c r="G24" s="42">
        <f>G22-'2021.09'!G17</f>
        <v>227862635</v>
      </c>
      <c r="H24" s="42">
        <f>+H22-G24</f>
        <v>0</v>
      </c>
      <c r="I24" s="41" t="s">
        <v>64</v>
      </c>
    </row>
    <row r="25" spans="1:10">
      <c r="B25" s="46"/>
      <c r="C25" t="s">
        <v>54</v>
      </c>
    </row>
  </sheetData>
  <autoFilter ref="A3:I3"/>
  <mergeCells count="2">
    <mergeCell ref="A1:I1"/>
    <mergeCell ref="A22:B2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2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25"/>
  <sheetViews>
    <sheetView showGridLines="0" workbookViewId="0">
      <pane xSplit="2" ySplit="3" topLeftCell="D13" activePane="bottomRight" state="frozen"/>
      <selection pane="topRight" activeCell="C1" sqref="C1"/>
      <selection pane="bottomLeft" activeCell="A2" sqref="A2"/>
      <selection pane="bottomRight" activeCell="H24" sqref="H24"/>
    </sheetView>
  </sheetViews>
  <sheetFormatPr defaultColWidth="9" defaultRowHeight="16.5"/>
  <cols>
    <col min="1" max="1" width="7.5" bestFit="1" customWidth="1"/>
    <col min="2" max="2" width="20" customWidth="1"/>
    <col min="3" max="3" width="15.375" bestFit="1" customWidth="1"/>
    <col min="4" max="4" width="12.375" style="2" bestFit="1" customWidth="1"/>
    <col min="5" max="5" width="14.875" style="2" bestFit="1" customWidth="1"/>
    <col min="6" max="6" width="13.625" style="2" bestFit="1" customWidth="1"/>
    <col min="7" max="7" width="14.875" style="2" bestFit="1" customWidth="1"/>
    <col min="8" max="8" width="14.875" style="2" customWidth="1"/>
    <col min="9" max="9" width="39" bestFit="1" customWidth="1"/>
    <col min="10" max="10" width="11.875" style="40" bestFit="1" customWidth="1"/>
    <col min="11" max="16384" width="9" style="40"/>
  </cols>
  <sheetData>
    <row r="1" spans="1:10" ht="38.25">
      <c r="A1" s="363" t="s">
        <v>58</v>
      </c>
      <c r="B1" s="363"/>
      <c r="C1" s="363"/>
      <c r="D1" s="363"/>
      <c r="E1" s="363"/>
      <c r="F1" s="363"/>
      <c r="G1" s="363"/>
      <c r="H1" s="363"/>
      <c r="I1" s="363"/>
    </row>
    <row r="2" spans="1:10">
      <c r="I2" s="44" t="s">
        <v>59</v>
      </c>
    </row>
    <row r="3" spans="1:10" s="38" customFormat="1">
      <c r="A3" s="5" t="s">
        <v>12</v>
      </c>
      <c r="B3" s="5" t="s">
        <v>0</v>
      </c>
      <c r="C3" s="5" t="s">
        <v>26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50</v>
      </c>
      <c r="I3" s="5" t="s">
        <v>23</v>
      </c>
    </row>
    <row r="4" spans="1:10" s="39" customFormat="1" ht="24" customHeight="1">
      <c r="A4" s="29">
        <f>ROW()-3</f>
        <v>1</v>
      </c>
      <c r="B4" s="29" t="s">
        <v>13</v>
      </c>
      <c r="C4" s="29" t="s">
        <v>27</v>
      </c>
      <c r="D4" s="30"/>
      <c r="E4" s="30"/>
      <c r="F4" s="27"/>
      <c r="G4" s="30">
        <f t="shared" ref="G4:G17" si="0">+E4+F4</f>
        <v>0</v>
      </c>
      <c r="H4" s="65">
        <f>G4-SUMIF('2021.09'!$B:$B,B4,'2021.09'!G:G)</f>
        <v>0</v>
      </c>
      <c r="I4" s="31"/>
    </row>
    <row r="5" spans="1:10" s="39" customFormat="1" ht="24" customHeight="1">
      <c r="A5" s="29">
        <f t="shared" ref="A5:A21" si="1">ROW()-3</f>
        <v>2</v>
      </c>
      <c r="B5" s="29" t="s">
        <v>5</v>
      </c>
      <c r="C5" s="29" t="s">
        <v>34</v>
      </c>
      <c r="D5" s="30">
        <v>597460</v>
      </c>
      <c r="E5" s="30">
        <v>95598700</v>
      </c>
      <c r="F5" s="33">
        <f>+E5*0.1</f>
        <v>9559870</v>
      </c>
      <c r="G5" s="30">
        <f t="shared" si="0"/>
        <v>105158570</v>
      </c>
      <c r="H5" s="65">
        <f>G5-SUMIF('2021.09'!$B:$B,B5,'2021.09'!G:G)</f>
        <v>-12706980</v>
      </c>
      <c r="I5" s="31" t="s">
        <v>60</v>
      </c>
      <c r="J5" s="43"/>
    </row>
    <row r="6" spans="1:10" s="39" customFormat="1" ht="24" customHeight="1">
      <c r="A6" s="29">
        <f t="shared" si="1"/>
        <v>3</v>
      </c>
      <c r="B6" s="29" t="s">
        <v>11</v>
      </c>
      <c r="C6" s="29" t="s">
        <v>34</v>
      </c>
      <c r="D6" s="30">
        <v>381245</v>
      </c>
      <c r="E6" s="30">
        <v>64954150</v>
      </c>
      <c r="F6" s="33">
        <f>+E6*0.1</f>
        <v>6495415</v>
      </c>
      <c r="G6" s="30">
        <f t="shared" ref="G6" si="2">+E6+F6</f>
        <v>71449565</v>
      </c>
      <c r="H6" s="65">
        <f>G6-SUMIF('2021.09'!$B:$B,B6,'2021.09'!G:G)</f>
        <v>-14194235</v>
      </c>
      <c r="I6" s="31" t="s">
        <v>60</v>
      </c>
      <c r="J6" s="43"/>
    </row>
    <row r="7" spans="1:10" s="39" customFormat="1" ht="24" customHeight="1">
      <c r="A7" s="29">
        <f t="shared" si="1"/>
        <v>4</v>
      </c>
      <c r="B7" s="26" t="s">
        <v>2</v>
      </c>
      <c r="C7" s="26" t="s">
        <v>34</v>
      </c>
      <c r="D7" s="30">
        <v>16130</v>
      </c>
      <c r="E7" s="30">
        <v>2258200</v>
      </c>
      <c r="F7" s="27">
        <f>+E7*0.1</f>
        <v>225820</v>
      </c>
      <c r="G7" s="30">
        <f t="shared" si="0"/>
        <v>2484020</v>
      </c>
      <c r="H7" s="65">
        <f>G7-SUMIF('2021.09'!$B:$B,B7,'2021.09'!G:G)</f>
        <v>-5500</v>
      </c>
      <c r="I7" s="31"/>
      <c r="J7" s="43"/>
    </row>
    <row r="8" spans="1:10" s="39" customFormat="1" ht="24" customHeight="1">
      <c r="A8" s="29">
        <f t="shared" si="1"/>
        <v>5</v>
      </c>
      <c r="B8" s="29" t="s">
        <v>8</v>
      </c>
      <c r="C8" s="29" t="s">
        <v>28</v>
      </c>
      <c r="D8" s="30">
        <v>4510</v>
      </c>
      <c r="E8" s="30">
        <v>721600</v>
      </c>
      <c r="F8" s="27">
        <f>+E8*0.1</f>
        <v>72160</v>
      </c>
      <c r="G8" s="30">
        <f t="shared" si="0"/>
        <v>793760</v>
      </c>
      <c r="H8" s="65">
        <f>G8-SUMIF('2021.09'!$B:$B,B8,'2021.09'!G:G)</f>
        <v>-2090880</v>
      </c>
      <c r="I8" s="31"/>
      <c r="J8" s="43"/>
    </row>
    <row r="9" spans="1:10" s="39" customFormat="1" ht="24" customHeight="1">
      <c r="A9" s="29">
        <f t="shared" si="1"/>
        <v>6</v>
      </c>
      <c r="B9" s="26" t="s">
        <v>9</v>
      </c>
      <c r="C9" s="26" t="s">
        <v>28</v>
      </c>
      <c r="D9" s="66">
        <v>17575</v>
      </c>
      <c r="E9" s="66">
        <v>2372625</v>
      </c>
      <c r="F9" s="66">
        <v>237262</v>
      </c>
      <c r="G9" s="66">
        <f t="shared" si="0"/>
        <v>2609887</v>
      </c>
      <c r="H9" s="65">
        <f>G9-SUMIF('2021.09'!$B:$B,B9,'2021.09'!G:G)</f>
        <v>-1288238</v>
      </c>
      <c r="I9" s="31"/>
      <c r="J9" s="43"/>
    </row>
    <row r="10" spans="1:10" s="39" customFormat="1" ht="24" customHeight="1">
      <c r="A10" s="14">
        <f t="shared" si="1"/>
        <v>7</v>
      </c>
      <c r="B10" s="14" t="s">
        <v>1</v>
      </c>
      <c r="C10" s="14" t="s">
        <v>49</v>
      </c>
      <c r="D10" s="15"/>
      <c r="E10" s="15"/>
      <c r="F10" s="15"/>
      <c r="G10" s="15">
        <f t="shared" si="0"/>
        <v>0</v>
      </c>
      <c r="H10" s="60">
        <f>G10-SUMIF('2021.09'!$B:$B,B10,'2021.09'!G:G)</f>
        <v>-3512650</v>
      </c>
      <c r="I10" s="16" t="s">
        <v>17</v>
      </c>
      <c r="J10" s="43"/>
    </row>
    <row r="11" spans="1:10" s="39" customFormat="1" ht="24" customHeight="1">
      <c r="A11" s="29">
        <f t="shared" si="1"/>
        <v>8</v>
      </c>
      <c r="B11" s="29" t="s">
        <v>3</v>
      </c>
      <c r="C11" s="29" t="s">
        <v>46</v>
      </c>
      <c r="D11" s="67">
        <v>15200</v>
      </c>
      <c r="E11" s="68">
        <v>22665750</v>
      </c>
      <c r="F11" s="27">
        <v>2266575</v>
      </c>
      <c r="G11" s="30">
        <f t="shared" si="0"/>
        <v>24932325</v>
      </c>
      <c r="H11" s="65">
        <f>G11-SUMIF('2021.09'!$B:$B,B11,'2021.09'!G:G)</f>
        <v>242000</v>
      </c>
      <c r="I11" s="31" t="s">
        <v>45</v>
      </c>
      <c r="J11" s="43"/>
    </row>
    <row r="12" spans="1:10" s="39" customFormat="1" ht="24" customHeight="1">
      <c r="A12" s="29">
        <f t="shared" si="1"/>
        <v>9</v>
      </c>
      <c r="B12" s="29" t="s">
        <v>7</v>
      </c>
      <c r="C12" s="29" t="s">
        <v>32</v>
      </c>
      <c r="D12" s="30">
        <v>3855</v>
      </c>
      <c r="E12" s="30">
        <v>462600</v>
      </c>
      <c r="F12" s="30">
        <v>46260</v>
      </c>
      <c r="G12" s="30">
        <f>+E12+F12</f>
        <v>508860</v>
      </c>
      <c r="H12" s="65">
        <f>G12-SUMIF('2021.09'!$B:$B,B12,'2021.09'!G:G)</f>
        <v>34980</v>
      </c>
      <c r="I12" s="31"/>
      <c r="J12" s="43"/>
    </row>
    <row r="13" spans="1:10" s="39" customFormat="1" ht="24" customHeight="1">
      <c r="A13" s="29">
        <f t="shared" si="1"/>
        <v>10</v>
      </c>
      <c r="B13" s="29" t="s">
        <v>38</v>
      </c>
      <c r="C13" s="29" t="s">
        <v>55</v>
      </c>
      <c r="D13" s="30"/>
      <c r="E13" s="30">
        <v>12645250</v>
      </c>
      <c r="F13" s="33">
        <f>+E13*0.1</f>
        <v>1264525</v>
      </c>
      <c r="G13" s="30">
        <f>+E13+F13</f>
        <v>13909775</v>
      </c>
      <c r="H13" s="65">
        <f>G13-SUMIF('2021.09'!$B:$B,B13,'2021.09'!G:G)</f>
        <v>8553050</v>
      </c>
      <c r="I13" s="31" t="s">
        <v>62</v>
      </c>
      <c r="J13" s="43"/>
    </row>
    <row r="14" spans="1:10" s="39" customFormat="1" ht="24" customHeight="1">
      <c r="A14" s="29">
        <f t="shared" si="1"/>
        <v>11</v>
      </c>
      <c r="B14" s="29" t="s">
        <v>56</v>
      </c>
      <c r="C14" s="29" t="s">
        <v>57</v>
      </c>
      <c r="D14" s="30">
        <v>4155</v>
      </c>
      <c r="E14" s="30">
        <v>955650</v>
      </c>
      <c r="F14" s="30">
        <f>+E14*0.1</f>
        <v>95565</v>
      </c>
      <c r="G14" s="30">
        <f>+E14+F14</f>
        <v>1051215</v>
      </c>
      <c r="H14" s="65">
        <f>G14-SUMIF('2021.09'!$B:$B,B14,'2021.09'!G:G)</f>
        <v>-180785</v>
      </c>
      <c r="I14" s="31"/>
      <c r="J14" s="43"/>
    </row>
    <row r="15" spans="1:10" s="23" customFormat="1" ht="24" customHeight="1">
      <c r="A15" s="17">
        <f t="shared" si="1"/>
        <v>12</v>
      </c>
      <c r="B15" s="17" t="s">
        <v>35</v>
      </c>
      <c r="C15" s="17" t="s">
        <v>36</v>
      </c>
      <c r="D15" s="18"/>
      <c r="E15" s="18"/>
      <c r="F15" s="18"/>
      <c r="G15" s="15">
        <f>+E15+F15</f>
        <v>0</v>
      </c>
      <c r="H15" s="60">
        <f>G15-SUMIF('2021.09'!$B:$B,B15,'2021.09'!G:G)</f>
        <v>-219100</v>
      </c>
      <c r="I15" s="70" t="s">
        <v>65</v>
      </c>
      <c r="J15" s="43"/>
    </row>
    <row r="16" spans="1:10" s="39" customFormat="1" ht="24" customHeight="1">
      <c r="A16" s="26">
        <f t="shared" si="1"/>
        <v>13</v>
      </c>
      <c r="B16" s="26" t="s">
        <v>63</v>
      </c>
      <c r="C16" s="26" t="s">
        <v>36</v>
      </c>
      <c r="D16" s="27">
        <v>3555</v>
      </c>
      <c r="E16" s="27">
        <f>1262250+693000</f>
        <v>1955250</v>
      </c>
      <c r="F16" s="27">
        <f>+E16*0.1</f>
        <v>195525</v>
      </c>
      <c r="G16" s="27">
        <f>+E16+F16</f>
        <v>2150775</v>
      </c>
      <c r="H16" s="64">
        <f>G16-SUMIF('2021.09'!$B:$B,B16,'2021.09'!G:G)</f>
        <v>2150775</v>
      </c>
      <c r="I16" s="28"/>
      <c r="J16" s="43"/>
    </row>
    <row r="17" spans="1:10" s="39" customFormat="1" ht="24" customHeight="1">
      <c r="A17" s="26">
        <f t="shared" si="1"/>
        <v>14</v>
      </c>
      <c r="B17" s="26" t="s">
        <v>4</v>
      </c>
      <c r="C17" s="26" t="s">
        <v>30</v>
      </c>
      <c r="D17" s="27">
        <v>0</v>
      </c>
      <c r="E17" s="27">
        <v>2500000</v>
      </c>
      <c r="F17" s="27">
        <v>250000</v>
      </c>
      <c r="G17" s="27">
        <f t="shared" si="0"/>
        <v>2750000</v>
      </c>
      <c r="H17" s="64">
        <f>G17-SUMIF('2021.09'!$B:$B,B17,'2021.09'!G:G)</f>
        <v>0</v>
      </c>
      <c r="I17" s="28"/>
      <c r="J17" s="43"/>
    </row>
    <row r="18" spans="1:10" s="39" customFormat="1" ht="24" customHeight="1">
      <c r="A18" s="26">
        <f t="shared" si="1"/>
        <v>15</v>
      </c>
      <c r="B18" s="26" t="s">
        <v>61</v>
      </c>
      <c r="C18" s="26" t="s">
        <v>41</v>
      </c>
      <c r="D18" s="27"/>
      <c r="E18" s="27">
        <v>3996000</v>
      </c>
      <c r="F18" s="27">
        <f>+E18*0.1</f>
        <v>399600</v>
      </c>
      <c r="G18" s="27">
        <f t="shared" ref="G18" si="3">+E18+F18</f>
        <v>4395600</v>
      </c>
      <c r="H18" s="64">
        <f>G18-SUMIF('2021.09'!$B:$B,B18,'2021.09'!G:G)</f>
        <v>4395600</v>
      </c>
      <c r="I18" s="28"/>
      <c r="J18" s="43"/>
    </row>
    <row r="19" spans="1:10" s="39" customFormat="1" ht="24" customHeight="1">
      <c r="A19" s="12">
        <f t="shared" si="1"/>
        <v>16</v>
      </c>
      <c r="B19" s="12" t="s">
        <v>6</v>
      </c>
      <c r="C19" s="12" t="s">
        <v>42</v>
      </c>
      <c r="D19" s="4"/>
      <c r="E19" s="4"/>
      <c r="F19" s="4"/>
      <c r="G19" s="4">
        <f>+E19+F19</f>
        <v>0</v>
      </c>
      <c r="H19" s="62">
        <f>G19-SUMIF('2021.09'!$B:$B,B19,'2021.09'!G:G)</f>
        <v>0</v>
      </c>
      <c r="I19" s="13" t="s">
        <v>16</v>
      </c>
      <c r="J19" s="43"/>
    </row>
    <row r="20" spans="1:10" s="39" customFormat="1" ht="24" customHeight="1">
      <c r="A20" s="12">
        <f t="shared" si="1"/>
        <v>17</v>
      </c>
      <c r="B20" s="12" t="s">
        <v>10</v>
      </c>
      <c r="C20" s="12" t="s">
        <v>41</v>
      </c>
      <c r="D20" s="4"/>
      <c r="E20" s="4"/>
      <c r="F20" s="4"/>
      <c r="G20" s="4">
        <f>+E20+F20</f>
        <v>0</v>
      </c>
      <c r="H20" s="62">
        <f>G20-SUMIF('2021.09'!$B:$B,B20,'2021.09'!G:G)</f>
        <v>0</v>
      </c>
      <c r="I20" s="13" t="s">
        <v>16</v>
      </c>
      <c r="J20" s="43"/>
    </row>
    <row r="21" spans="1:10" s="23" customFormat="1" ht="24" customHeight="1">
      <c r="A21" s="12">
        <f t="shared" si="1"/>
        <v>18</v>
      </c>
      <c r="B21" s="12" t="s">
        <v>37</v>
      </c>
      <c r="C21" s="12" t="s">
        <v>47</v>
      </c>
      <c r="D21" s="4"/>
      <c r="E21" s="4"/>
      <c r="F21" s="4"/>
      <c r="G21" s="4">
        <f>+E21+F21</f>
        <v>0</v>
      </c>
      <c r="H21" s="62">
        <f>G21-SUMIF('2021.09'!$B:$B,B21,'2021.09'!G:G)</f>
        <v>0</v>
      </c>
      <c r="I21" s="32" t="s">
        <v>16</v>
      </c>
      <c r="J21" s="43"/>
    </row>
    <row r="22" spans="1:10" s="39" customFormat="1" ht="24" customHeight="1">
      <c r="A22" s="366" t="s">
        <v>18</v>
      </c>
      <c r="B22" s="367"/>
      <c r="C22" s="55"/>
      <c r="D22" s="25">
        <f>SUM(D4:D21)</f>
        <v>1043685</v>
      </c>
      <c r="E22" s="25">
        <f>SUM(E4:E21)</f>
        <v>211085775</v>
      </c>
      <c r="F22" s="25">
        <f>SUM(F4:F21)</f>
        <v>21108577</v>
      </c>
      <c r="G22" s="25">
        <f>SUM(G4:G21)</f>
        <v>232194352</v>
      </c>
      <c r="H22" s="63">
        <f>G22-SUMIF('2021.09'!$B:$B,B22,'2021.09'!G:G)</f>
        <v>232194352</v>
      </c>
      <c r="I22" s="9"/>
    </row>
    <row r="24" spans="1:10">
      <c r="B24" s="45" t="s">
        <v>50</v>
      </c>
      <c r="E24" s="42">
        <f>E22-'2021.09'!E17</f>
        <v>211085775</v>
      </c>
      <c r="F24" s="42">
        <f>F22-'2021.09'!F17</f>
        <v>21108577</v>
      </c>
      <c r="G24" s="42">
        <f>G22-'2021.09'!G17</f>
        <v>232194352</v>
      </c>
      <c r="H24" s="42">
        <f>+H22-G24</f>
        <v>0</v>
      </c>
      <c r="I24" s="41" t="s">
        <v>64</v>
      </c>
    </row>
    <row r="25" spans="1:10">
      <c r="B25" s="46"/>
      <c r="C25" t="s">
        <v>54</v>
      </c>
    </row>
  </sheetData>
  <autoFilter ref="A3:I3"/>
  <mergeCells count="2">
    <mergeCell ref="A1:I1"/>
    <mergeCell ref="A22:B2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2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J23"/>
  <sheetViews>
    <sheetView showGridLines="0" workbookViewId="0">
      <pane xSplit="2" ySplit="3" topLeftCell="C4" activePane="bottomRight" state="frozen"/>
      <selection pane="topRight" activeCell="C1" sqref="C1"/>
      <selection pane="bottomLeft" activeCell="A2" sqref="A2"/>
      <selection pane="bottomRight" activeCell="G5" sqref="G5"/>
    </sheetView>
  </sheetViews>
  <sheetFormatPr defaultColWidth="9" defaultRowHeight="16.5"/>
  <cols>
    <col min="1" max="1" width="7.5" bestFit="1" customWidth="1"/>
    <col min="2" max="2" width="20" customWidth="1"/>
    <col min="3" max="3" width="15.375" bestFit="1" customWidth="1"/>
    <col min="4" max="4" width="12.375" style="2" bestFit="1" customWidth="1"/>
    <col min="5" max="5" width="14.875" style="2" bestFit="1" customWidth="1"/>
    <col min="6" max="6" width="13.625" style="2" bestFit="1" customWidth="1"/>
    <col min="7" max="7" width="14.875" style="2" bestFit="1" customWidth="1"/>
    <col min="8" max="8" width="14.875" style="2" customWidth="1"/>
    <col min="9" max="9" width="39" bestFit="1" customWidth="1"/>
    <col min="10" max="10" width="11.875" style="40" bestFit="1" customWidth="1"/>
    <col min="11" max="16384" width="9" style="40"/>
  </cols>
  <sheetData>
    <row r="1" spans="1:10" ht="38.25">
      <c r="A1" s="363" t="s">
        <v>52</v>
      </c>
      <c r="B1" s="363"/>
      <c r="C1" s="363"/>
      <c r="D1" s="363"/>
      <c r="E1" s="363"/>
      <c r="F1" s="363"/>
      <c r="G1" s="363"/>
      <c r="H1" s="363"/>
      <c r="I1" s="363"/>
    </row>
    <row r="2" spans="1:10">
      <c r="I2" s="44" t="s">
        <v>53</v>
      </c>
    </row>
    <row r="3" spans="1:10" s="38" customFormat="1">
      <c r="A3" s="5" t="s">
        <v>12</v>
      </c>
      <c r="B3" s="5" t="s">
        <v>0</v>
      </c>
      <c r="C3" s="5" t="s">
        <v>26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50</v>
      </c>
      <c r="I3" s="5" t="s">
        <v>23</v>
      </c>
    </row>
    <row r="4" spans="1:10" s="39" customFormat="1" ht="24" customHeight="1">
      <c r="A4" s="8">
        <f>ROW()-3</f>
        <v>1</v>
      </c>
      <c r="B4" s="8" t="s">
        <v>13</v>
      </c>
      <c r="C4" s="8" t="s">
        <v>27</v>
      </c>
      <c r="D4" s="36"/>
      <c r="E4" s="36"/>
      <c r="F4" s="22"/>
      <c r="G4" s="36">
        <f t="shared" ref="G4:G9" si="0">+E4+F4</f>
        <v>0</v>
      </c>
      <c r="H4" s="58">
        <f>G4-SUMIF('2021.08'!$B:$B,B4,'2021.08'!G:G)</f>
        <v>0</v>
      </c>
      <c r="I4" s="37"/>
    </row>
    <row r="5" spans="1:10" s="39" customFormat="1" ht="24" customHeight="1">
      <c r="A5" s="47">
        <f t="shared" ref="A5:A19" si="1">ROW()-3</f>
        <v>2</v>
      </c>
      <c r="B5" s="47" t="s">
        <v>5</v>
      </c>
      <c r="C5" s="47" t="s">
        <v>28</v>
      </c>
      <c r="D5" s="48">
        <v>669650</v>
      </c>
      <c r="E5" s="48">
        <v>107150500</v>
      </c>
      <c r="F5" s="52">
        <v>10715050</v>
      </c>
      <c r="G5" s="48">
        <f t="shared" si="0"/>
        <v>117865550</v>
      </c>
      <c r="H5" s="59">
        <f>G5-SUMIF('2021.08'!$B:$B,B5,'2021.08'!G:G)</f>
        <v>35460920</v>
      </c>
      <c r="I5" s="49" t="s">
        <v>48</v>
      </c>
      <c r="J5" s="43"/>
    </row>
    <row r="6" spans="1:10" s="39" customFormat="1" ht="24" customHeight="1">
      <c r="A6" s="47">
        <f t="shared" si="1"/>
        <v>3</v>
      </c>
      <c r="B6" s="47" t="s">
        <v>11</v>
      </c>
      <c r="C6" s="47" t="s">
        <v>28</v>
      </c>
      <c r="D6" s="48">
        <v>461635</v>
      </c>
      <c r="E6" s="48">
        <v>77858000</v>
      </c>
      <c r="F6" s="48">
        <v>7785800</v>
      </c>
      <c r="G6" s="48">
        <f t="shared" si="0"/>
        <v>85643800</v>
      </c>
      <c r="H6" s="59">
        <f>G6-SUMIF('2021.08'!$B:$B,B6,'2021.08'!G:G)</f>
        <v>-3080330</v>
      </c>
      <c r="I6" s="49" t="s">
        <v>48</v>
      </c>
      <c r="J6" s="43"/>
    </row>
    <row r="7" spans="1:10" s="39" customFormat="1" ht="24" customHeight="1">
      <c r="A7" s="47">
        <f t="shared" si="1"/>
        <v>4</v>
      </c>
      <c r="B7" s="50" t="s">
        <v>2</v>
      </c>
      <c r="C7" s="50" t="s">
        <v>34</v>
      </c>
      <c r="D7" s="48">
        <f>5270+260+10480+180</f>
        <v>16190</v>
      </c>
      <c r="E7" s="48">
        <v>2263200</v>
      </c>
      <c r="F7" s="53">
        <v>226320</v>
      </c>
      <c r="G7" s="48">
        <f t="shared" si="0"/>
        <v>2489520</v>
      </c>
      <c r="H7" s="59">
        <f>G7-SUMIF('2021.08'!$B:$B,B7,'2021.08'!G:G)</f>
        <v>-322190</v>
      </c>
      <c r="I7" s="49"/>
      <c r="J7" s="43"/>
    </row>
    <row r="8" spans="1:10" s="39" customFormat="1" ht="24" customHeight="1">
      <c r="A8" s="47">
        <f t="shared" si="1"/>
        <v>5</v>
      </c>
      <c r="B8" s="47" t="s">
        <v>8</v>
      </c>
      <c r="C8" s="47" t="s">
        <v>28</v>
      </c>
      <c r="D8" s="48">
        <v>16390</v>
      </c>
      <c r="E8" s="48">
        <v>2622400</v>
      </c>
      <c r="F8" s="48">
        <f>+E8*0.1</f>
        <v>262240</v>
      </c>
      <c r="G8" s="48">
        <f t="shared" si="0"/>
        <v>2884640</v>
      </c>
      <c r="H8" s="59">
        <f>G8-SUMIF('2021.08'!$B:$B,B8,'2021.08'!G:G)</f>
        <v>-278190</v>
      </c>
      <c r="I8" s="49"/>
      <c r="J8" s="43"/>
    </row>
    <row r="9" spans="1:10" s="39" customFormat="1" ht="24" customHeight="1">
      <c r="A9" s="47">
        <f t="shared" si="1"/>
        <v>6</v>
      </c>
      <c r="B9" s="50" t="s">
        <v>9</v>
      </c>
      <c r="C9" s="50" t="s">
        <v>28</v>
      </c>
      <c r="D9" s="51">
        <v>26250</v>
      </c>
      <c r="E9" s="51">
        <v>3543750</v>
      </c>
      <c r="F9" s="51">
        <f>+E9*0.1</f>
        <v>354375</v>
      </c>
      <c r="G9" s="51">
        <f t="shared" si="0"/>
        <v>3898125</v>
      </c>
      <c r="H9" s="59">
        <f>G9-SUMIF('2021.08'!$B:$B,B9,'2021.08'!G:G)</f>
        <v>1172215</v>
      </c>
      <c r="I9" s="49"/>
      <c r="J9" s="43"/>
    </row>
    <row r="10" spans="1:10" s="39" customFormat="1" ht="24" customHeight="1">
      <c r="A10" s="14">
        <f t="shared" si="1"/>
        <v>7</v>
      </c>
      <c r="B10" s="14" t="s">
        <v>1</v>
      </c>
      <c r="C10" s="14" t="s">
        <v>49</v>
      </c>
      <c r="D10" s="15">
        <v>50130</v>
      </c>
      <c r="E10" s="15">
        <v>3512650</v>
      </c>
      <c r="F10" s="15"/>
      <c r="G10" s="15">
        <f t="shared" ref="G10:G16" si="2">+E10+F10</f>
        <v>3512650</v>
      </c>
      <c r="H10" s="60">
        <f>G10-SUMIF('2021.08'!$B:$B,B10,'2021.08'!G:G)</f>
        <v>-20000</v>
      </c>
      <c r="I10" s="16" t="s">
        <v>17</v>
      </c>
      <c r="J10" s="43"/>
    </row>
    <row r="11" spans="1:10" s="39" customFormat="1" ht="24" customHeight="1">
      <c r="A11" s="47">
        <f t="shared" si="1"/>
        <v>8</v>
      </c>
      <c r="B11" s="47" t="s">
        <v>3</v>
      </c>
      <c r="C11" s="47" t="s">
        <v>46</v>
      </c>
      <c r="D11" s="56">
        <v>16485</v>
      </c>
      <c r="E11" s="57">
        <v>22445750</v>
      </c>
      <c r="F11" s="53">
        <f>+E11*0.1</f>
        <v>2244575</v>
      </c>
      <c r="G11" s="48">
        <f t="shared" si="2"/>
        <v>24690325</v>
      </c>
      <c r="H11" s="59">
        <f>G11-SUMIF('2021.08'!$B:$B,B11,'2021.08'!G:G)</f>
        <v>-26950</v>
      </c>
      <c r="I11" s="49" t="s">
        <v>45</v>
      </c>
      <c r="J11" s="43"/>
    </row>
    <row r="12" spans="1:10" s="39" customFormat="1" ht="24" customHeight="1">
      <c r="A12" s="47">
        <f t="shared" si="1"/>
        <v>9</v>
      </c>
      <c r="B12" s="47" t="s">
        <v>7</v>
      </c>
      <c r="C12" s="47" t="s">
        <v>32</v>
      </c>
      <c r="D12" s="48">
        <v>3590</v>
      </c>
      <c r="E12" s="48">
        <v>430800</v>
      </c>
      <c r="F12" s="48">
        <f>+E12*0.1</f>
        <v>43080</v>
      </c>
      <c r="G12" s="48">
        <f>+E12+F12</f>
        <v>473880</v>
      </c>
      <c r="H12" s="59">
        <f>G12-SUMIF('2021.08'!$B:$B,B12,'2021.08'!G:G)</f>
        <v>14520</v>
      </c>
      <c r="I12" s="49"/>
      <c r="J12" s="43"/>
    </row>
    <row r="13" spans="1:10" s="39" customFormat="1" ht="24" customHeight="1">
      <c r="A13" s="47">
        <f t="shared" si="1"/>
        <v>10</v>
      </c>
      <c r="B13" s="47" t="s">
        <v>38</v>
      </c>
      <c r="C13" s="47" t="s">
        <v>55</v>
      </c>
      <c r="D13" s="48">
        <v>3385</v>
      </c>
      <c r="E13" s="48">
        <v>4869750</v>
      </c>
      <c r="F13" s="48">
        <f>+E13*0.1</f>
        <v>486975</v>
      </c>
      <c r="G13" s="48">
        <f>+E13+F13</f>
        <v>5356725</v>
      </c>
      <c r="H13" s="59">
        <f>G13-SUMIF('2021.08'!$B:$B,B13,'2021.08'!G:G)</f>
        <v>-1685200</v>
      </c>
      <c r="I13" s="49" t="s">
        <v>40</v>
      </c>
      <c r="J13" s="43"/>
    </row>
    <row r="14" spans="1:10" s="39" customFormat="1" ht="24" customHeight="1">
      <c r="A14" s="47">
        <f t="shared" si="1"/>
        <v>11</v>
      </c>
      <c r="B14" s="47" t="s">
        <v>56</v>
      </c>
      <c r="C14" s="47" t="s">
        <v>57</v>
      </c>
      <c r="D14" s="48">
        <v>0</v>
      </c>
      <c r="E14" s="48">
        <v>1120000</v>
      </c>
      <c r="F14" s="48">
        <v>112000</v>
      </c>
      <c r="G14" s="48">
        <f>+E14+F14</f>
        <v>1232000</v>
      </c>
      <c r="H14" s="59">
        <f>G14-SUMIF('2021.08'!$B:$B,B14,'2021.08'!G:G)</f>
        <v>1232000</v>
      </c>
      <c r="I14" s="49"/>
      <c r="J14" s="43"/>
    </row>
    <row r="15" spans="1:10" s="23" customFormat="1" ht="24" customHeight="1">
      <c r="A15" s="17">
        <f t="shared" si="1"/>
        <v>12</v>
      </c>
      <c r="B15" s="17" t="s">
        <v>35</v>
      </c>
      <c r="C15" s="17" t="s">
        <v>36</v>
      </c>
      <c r="D15" s="18">
        <v>1565</v>
      </c>
      <c r="E15" s="18">
        <v>219100</v>
      </c>
      <c r="F15" s="18"/>
      <c r="G15" s="15">
        <f>+E15+F15</f>
        <v>219100</v>
      </c>
      <c r="H15" s="60">
        <f>G15-SUMIF('2021.08'!$B:$B,B15,'2021.08'!G:G)</f>
        <v>219100</v>
      </c>
      <c r="I15" s="19" t="s">
        <v>17</v>
      </c>
      <c r="J15" s="43"/>
    </row>
    <row r="16" spans="1:10" s="39" customFormat="1" ht="24" customHeight="1">
      <c r="A16" s="50">
        <f t="shared" si="1"/>
        <v>13</v>
      </c>
      <c r="B16" s="50" t="s">
        <v>4</v>
      </c>
      <c r="C16" s="50" t="s">
        <v>30</v>
      </c>
      <c r="D16" s="53">
        <v>0</v>
      </c>
      <c r="E16" s="53">
        <v>2500000</v>
      </c>
      <c r="F16" s="53">
        <v>250000</v>
      </c>
      <c r="G16" s="53">
        <f t="shared" si="2"/>
        <v>2750000</v>
      </c>
      <c r="H16" s="61">
        <f>G16-SUMIF('2021.08'!$B:$B,B16,'2021.08'!G:G)</f>
        <v>0</v>
      </c>
      <c r="I16" s="54"/>
      <c r="J16" s="43"/>
    </row>
    <row r="17" spans="1:10" s="39" customFormat="1" ht="24" customHeight="1">
      <c r="A17" s="12">
        <f t="shared" si="1"/>
        <v>14</v>
      </c>
      <c r="B17" s="12" t="s">
        <v>6</v>
      </c>
      <c r="C17" s="12" t="s">
        <v>42</v>
      </c>
      <c r="D17" s="4">
        <v>85915</v>
      </c>
      <c r="E17" s="4"/>
      <c r="F17" s="4"/>
      <c r="G17" s="4">
        <f>+E17+F17</f>
        <v>0</v>
      </c>
      <c r="H17" s="62">
        <f>G17-SUMIF('2021.08'!$B:$B,B17,'2021.08'!G:G)</f>
        <v>0</v>
      </c>
      <c r="I17" s="13" t="s">
        <v>16</v>
      </c>
      <c r="J17" s="43"/>
    </row>
    <row r="18" spans="1:10" s="39" customFormat="1" ht="24" customHeight="1">
      <c r="A18" s="12">
        <f t="shared" si="1"/>
        <v>15</v>
      </c>
      <c r="B18" s="12" t="s">
        <v>10</v>
      </c>
      <c r="C18" s="12" t="s">
        <v>41</v>
      </c>
      <c r="D18" s="4">
        <v>3100</v>
      </c>
      <c r="E18" s="4"/>
      <c r="F18" s="4"/>
      <c r="G18" s="4">
        <f>+E18+F18</f>
        <v>0</v>
      </c>
      <c r="H18" s="62">
        <f>G18-SUMIF('2021.08'!$B:$B,B18,'2021.08'!G:G)</f>
        <v>0</v>
      </c>
      <c r="I18" s="13" t="s">
        <v>16</v>
      </c>
      <c r="J18" s="43"/>
    </row>
    <row r="19" spans="1:10" s="23" customFormat="1" ht="24" customHeight="1">
      <c r="A19" s="12">
        <f t="shared" si="1"/>
        <v>16</v>
      </c>
      <c r="B19" s="12" t="s">
        <v>37</v>
      </c>
      <c r="C19" s="12" t="s">
        <v>47</v>
      </c>
      <c r="D19" s="4"/>
      <c r="E19" s="4"/>
      <c r="F19" s="4"/>
      <c r="G19" s="4">
        <f>+E19+F19</f>
        <v>0</v>
      </c>
      <c r="H19" s="62">
        <f>G19-SUMIF('2021.08'!$B:$B,B19,'2021.08'!G:G)</f>
        <v>0</v>
      </c>
      <c r="I19" s="32" t="s">
        <v>16</v>
      </c>
      <c r="J19" s="43"/>
    </row>
    <row r="20" spans="1:10" s="39" customFormat="1" ht="24" customHeight="1">
      <c r="A20" s="366" t="s">
        <v>18</v>
      </c>
      <c r="B20" s="367"/>
      <c r="C20" s="35"/>
      <c r="D20" s="25">
        <f>SUM(D4:D19)</f>
        <v>1354285</v>
      </c>
      <c r="E20" s="25">
        <f>SUM(E4:E19)</f>
        <v>228535900</v>
      </c>
      <c r="F20" s="25">
        <f>SUM(F4:F19)</f>
        <v>22480415</v>
      </c>
      <c r="G20" s="25">
        <f>SUM(G4:G19)</f>
        <v>251016315</v>
      </c>
      <c r="H20" s="63">
        <f>G20-'2021.08'!G17</f>
        <v>32685895</v>
      </c>
      <c r="I20" s="9"/>
    </row>
    <row r="22" spans="1:10">
      <c r="B22" s="45" t="s">
        <v>50</v>
      </c>
      <c r="E22" s="42">
        <f>E20-'2021.08'!E17</f>
        <v>29225050</v>
      </c>
      <c r="F22" s="42">
        <f>F20-'2021.08'!F17</f>
        <v>2953345</v>
      </c>
      <c r="G22" s="42">
        <f>G20-'2021.08'!G17</f>
        <v>32685895</v>
      </c>
      <c r="H22" s="42">
        <f>+H20-G22</f>
        <v>0</v>
      </c>
      <c r="I22" s="41" t="s">
        <v>51</v>
      </c>
    </row>
    <row r="23" spans="1:10">
      <c r="B23" s="46"/>
      <c r="C23" t="s">
        <v>54</v>
      </c>
    </row>
  </sheetData>
  <autoFilter ref="A3:I3"/>
  <mergeCells count="2">
    <mergeCell ref="A20:B20"/>
    <mergeCell ref="A1:I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2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9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3" sqref="F23"/>
    </sheetView>
  </sheetViews>
  <sheetFormatPr defaultRowHeight="16.5"/>
  <cols>
    <col min="1" max="1" width="7.5" bestFit="1" customWidth="1"/>
    <col min="2" max="2" width="13.25" bestFit="1" customWidth="1"/>
    <col min="3" max="3" width="15.375" bestFit="1" customWidth="1"/>
    <col min="4" max="4" width="12.375" style="2" bestFit="1" customWidth="1"/>
    <col min="5" max="5" width="14.875" style="2" bestFit="1" customWidth="1"/>
    <col min="6" max="6" width="13.625" style="2" bestFit="1" customWidth="1"/>
    <col min="7" max="7" width="14.875" style="2" bestFit="1" customWidth="1"/>
    <col min="8" max="8" width="39" bestFit="1" customWidth="1"/>
  </cols>
  <sheetData>
    <row r="1" spans="1:8" s="6" customFormat="1">
      <c r="A1" s="5" t="s">
        <v>12</v>
      </c>
      <c r="B1" s="5" t="s">
        <v>0</v>
      </c>
      <c r="C1" s="5" t="s">
        <v>26</v>
      </c>
      <c r="D1" s="1" t="s">
        <v>19</v>
      </c>
      <c r="E1" s="1" t="s">
        <v>20</v>
      </c>
      <c r="F1" s="1" t="s">
        <v>21</v>
      </c>
      <c r="G1" s="1" t="s">
        <v>22</v>
      </c>
      <c r="H1" s="5" t="s">
        <v>23</v>
      </c>
    </row>
    <row r="2" spans="1:8" s="10" customFormat="1">
      <c r="A2" s="7">
        <f t="shared" ref="A2:A16" si="0">ROW()-1</f>
        <v>1</v>
      </c>
      <c r="B2" s="8" t="s">
        <v>13</v>
      </c>
      <c r="C2" s="8" t="s">
        <v>27</v>
      </c>
      <c r="D2" s="3">
        <v>0</v>
      </c>
      <c r="E2" s="3">
        <v>0</v>
      </c>
      <c r="F2" s="22">
        <f>E2*0.1</f>
        <v>0</v>
      </c>
      <c r="G2" s="3">
        <f>+E2+F2</f>
        <v>0</v>
      </c>
      <c r="H2" s="9"/>
    </row>
    <row r="3" spans="1:8" s="10" customFormat="1">
      <c r="A3" s="14">
        <f t="shared" si="0"/>
        <v>2</v>
      </c>
      <c r="B3" s="14" t="s">
        <v>1</v>
      </c>
      <c r="C3" s="14"/>
      <c r="D3" s="15">
        <v>0</v>
      </c>
      <c r="E3" s="15">
        <v>3532650</v>
      </c>
      <c r="F3" s="15"/>
      <c r="G3" s="15">
        <f t="shared" ref="G3:G16" si="1">+E3+F3</f>
        <v>3532650</v>
      </c>
      <c r="H3" s="16" t="s">
        <v>17</v>
      </c>
    </row>
    <row r="4" spans="1:8" s="10" customFormat="1">
      <c r="A4" s="29">
        <f t="shared" si="0"/>
        <v>3</v>
      </c>
      <c r="B4" s="26" t="s">
        <v>2</v>
      </c>
      <c r="C4" s="26" t="s">
        <v>34</v>
      </c>
      <c r="D4" s="30"/>
      <c r="E4" s="30">
        <v>2556100</v>
      </c>
      <c r="F4" s="27">
        <v>255610</v>
      </c>
      <c r="G4" s="30">
        <f t="shared" si="1"/>
        <v>2811710</v>
      </c>
      <c r="H4" s="31"/>
    </row>
    <row r="5" spans="1:8" s="10" customFormat="1">
      <c r="A5" s="29">
        <f t="shared" si="0"/>
        <v>4</v>
      </c>
      <c r="B5" s="29" t="s">
        <v>3</v>
      </c>
      <c r="C5" s="29" t="s">
        <v>46</v>
      </c>
      <c r="D5" s="30"/>
      <c r="E5" s="30">
        <v>22470250</v>
      </c>
      <c r="F5" s="27">
        <v>2247025</v>
      </c>
      <c r="G5" s="30">
        <f t="shared" si="1"/>
        <v>24717275</v>
      </c>
      <c r="H5" s="31" t="s">
        <v>45</v>
      </c>
    </row>
    <row r="6" spans="1:8" s="10" customFormat="1">
      <c r="A6" s="26">
        <f t="shared" si="0"/>
        <v>5</v>
      </c>
      <c r="B6" s="26" t="s">
        <v>4</v>
      </c>
      <c r="C6" s="26" t="s">
        <v>30</v>
      </c>
      <c r="D6" s="27"/>
      <c r="E6" s="27">
        <v>2500000</v>
      </c>
      <c r="F6" s="27">
        <f t="shared" ref="F6" si="2">E6*0.1</f>
        <v>250000</v>
      </c>
      <c r="G6" s="27">
        <f t="shared" si="1"/>
        <v>2750000</v>
      </c>
      <c r="H6" s="28" t="s">
        <v>44</v>
      </c>
    </row>
    <row r="7" spans="1:8" s="23" customFormat="1">
      <c r="A7" s="17">
        <v>6</v>
      </c>
      <c r="B7" s="17" t="s">
        <v>35</v>
      </c>
      <c r="C7" s="17" t="s">
        <v>36</v>
      </c>
      <c r="D7" s="18"/>
      <c r="E7" s="18">
        <v>507500</v>
      </c>
      <c r="F7" s="18"/>
      <c r="G7" s="18"/>
      <c r="H7" s="19" t="s">
        <v>17</v>
      </c>
    </row>
    <row r="8" spans="1:8" s="10" customFormat="1">
      <c r="A8" s="29">
        <f t="shared" si="0"/>
        <v>7</v>
      </c>
      <c r="B8" s="29" t="s">
        <v>5</v>
      </c>
      <c r="C8" s="29" t="s">
        <v>28</v>
      </c>
      <c r="D8" s="30">
        <v>494920</v>
      </c>
      <c r="E8" s="30">
        <v>74913300</v>
      </c>
      <c r="F8" s="33">
        <f>+E8*0.1</f>
        <v>7491330</v>
      </c>
      <c r="G8" s="30">
        <f t="shared" si="1"/>
        <v>82404630</v>
      </c>
      <c r="H8" s="31"/>
    </row>
    <row r="9" spans="1:8" s="10" customFormat="1">
      <c r="A9" s="12">
        <f t="shared" si="0"/>
        <v>8</v>
      </c>
      <c r="B9" s="12" t="s">
        <v>6</v>
      </c>
      <c r="C9" s="12" t="s">
        <v>42</v>
      </c>
      <c r="D9" s="4"/>
      <c r="E9" s="4"/>
      <c r="F9" s="4"/>
      <c r="G9" s="4">
        <f t="shared" si="1"/>
        <v>0</v>
      </c>
      <c r="H9" s="13" t="s">
        <v>16</v>
      </c>
    </row>
    <row r="10" spans="1:8" s="10" customFormat="1">
      <c r="A10" s="29">
        <f t="shared" si="0"/>
        <v>9</v>
      </c>
      <c r="B10" s="29" t="s">
        <v>7</v>
      </c>
      <c r="C10" s="29" t="s">
        <v>32</v>
      </c>
      <c r="D10" s="30">
        <v>3480</v>
      </c>
      <c r="E10" s="30">
        <v>417600</v>
      </c>
      <c r="F10" s="30">
        <f t="shared" ref="F10:F16" si="3">E10*0.1</f>
        <v>41760</v>
      </c>
      <c r="G10" s="30">
        <f t="shared" si="1"/>
        <v>459360</v>
      </c>
      <c r="H10" s="31"/>
    </row>
    <row r="11" spans="1:8" s="34" customFormat="1">
      <c r="A11" s="29">
        <f t="shared" si="0"/>
        <v>10</v>
      </c>
      <c r="B11" s="29" t="s">
        <v>8</v>
      </c>
      <c r="C11" s="29" t="s">
        <v>28</v>
      </c>
      <c r="D11" s="30">
        <v>19000</v>
      </c>
      <c r="E11" s="30">
        <v>2875300</v>
      </c>
      <c r="F11" s="30">
        <v>287530</v>
      </c>
      <c r="G11" s="30">
        <f t="shared" si="1"/>
        <v>3162830</v>
      </c>
      <c r="H11" s="31"/>
    </row>
    <row r="12" spans="1:8" s="10" customFormat="1">
      <c r="A12" s="29">
        <f t="shared" si="0"/>
        <v>11</v>
      </c>
      <c r="B12" s="26" t="s">
        <v>9</v>
      </c>
      <c r="C12" s="26" t="s">
        <v>28</v>
      </c>
      <c r="D12" s="30">
        <v>19730</v>
      </c>
      <c r="E12" s="30">
        <v>2478100</v>
      </c>
      <c r="F12" s="30">
        <f t="shared" si="3"/>
        <v>247810</v>
      </c>
      <c r="G12" s="30">
        <f t="shared" si="1"/>
        <v>2725910</v>
      </c>
      <c r="H12" s="31"/>
    </row>
    <row r="13" spans="1:8" s="10" customFormat="1">
      <c r="A13" s="12">
        <f t="shared" si="0"/>
        <v>12</v>
      </c>
      <c r="B13" s="12" t="s">
        <v>10</v>
      </c>
      <c r="C13" s="12" t="s">
        <v>41</v>
      </c>
      <c r="D13" s="4"/>
      <c r="E13" s="4"/>
      <c r="F13" s="4"/>
      <c r="G13" s="4">
        <f t="shared" si="1"/>
        <v>0</v>
      </c>
      <c r="H13" s="13" t="s">
        <v>16</v>
      </c>
    </row>
    <row r="14" spans="1:8" s="23" customFormat="1">
      <c r="A14" s="12">
        <f t="shared" si="0"/>
        <v>13</v>
      </c>
      <c r="B14" s="12" t="s">
        <v>37</v>
      </c>
      <c r="C14" s="12" t="s">
        <v>47</v>
      </c>
      <c r="D14" s="4"/>
      <c r="E14" s="4"/>
      <c r="F14" s="4"/>
      <c r="G14" s="4">
        <f t="shared" si="1"/>
        <v>0</v>
      </c>
      <c r="H14" s="32" t="s">
        <v>16</v>
      </c>
    </row>
    <row r="15" spans="1:8" s="10" customFormat="1">
      <c r="A15" s="29">
        <f t="shared" si="0"/>
        <v>14</v>
      </c>
      <c r="B15" s="29" t="s">
        <v>38</v>
      </c>
      <c r="C15" s="29" t="s">
        <v>39</v>
      </c>
      <c r="D15" s="30"/>
      <c r="E15" s="30">
        <v>6401750</v>
      </c>
      <c r="F15" s="30">
        <f t="shared" si="3"/>
        <v>640175</v>
      </c>
      <c r="G15" s="30">
        <f t="shared" ref="G15" si="4">+E15+F15</f>
        <v>7041925</v>
      </c>
      <c r="H15" s="31" t="s">
        <v>40</v>
      </c>
    </row>
    <row r="16" spans="1:8" s="10" customFormat="1">
      <c r="A16" s="29">
        <f t="shared" si="0"/>
        <v>15</v>
      </c>
      <c r="B16" s="29" t="s">
        <v>11</v>
      </c>
      <c r="C16" s="29" t="s">
        <v>28</v>
      </c>
      <c r="D16" s="30">
        <v>512530</v>
      </c>
      <c r="E16" s="30">
        <v>80658300</v>
      </c>
      <c r="F16" s="30">
        <f t="shared" si="3"/>
        <v>8065830</v>
      </c>
      <c r="G16" s="30">
        <f t="shared" si="1"/>
        <v>88724130</v>
      </c>
      <c r="H16" s="31" t="s">
        <v>43</v>
      </c>
    </row>
    <row r="17" spans="1:8" s="10" customFormat="1">
      <c r="A17" s="366" t="s">
        <v>18</v>
      </c>
      <c r="B17" s="367"/>
      <c r="C17" s="21"/>
      <c r="D17" s="25">
        <f>SUM(D2:D16)</f>
        <v>1049660</v>
      </c>
      <c r="E17" s="25">
        <f t="shared" ref="E17:G17" si="5">SUM(E2:E16)</f>
        <v>199310850</v>
      </c>
      <c r="F17" s="25">
        <f t="shared" si="5"/>
        <v>19527070</v>
      </c>
      <c r="G17" s="25">
        <f t="shared" si="5"/>
        <v>218330420</v>
      </c>
      <c r="H17" s="9"/>
    </row>
    <row r="19" spans="1:8">
      <c r="E19" s="24">
        <f>+E17-E6</f>
        <v>196810850</v>
      </c>
      <c r="F19" s="24">
        <f>+F17-F6</f>
        <v>19277070</v>
      </c>
      <c r="G19" s="24">
        <f>+E19+F19</f>
        <v>216087920</v>
      </c>
    </row>
  </sheetData>
  <autoFilter ref="A1:H1"/>
  <mergeCells count="1">
    <mergeCell ref="A17:B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4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0" sqref="A10:XFD10"/>
    </sheetView>
  </sheetViews>
  <sheetFormatPr defaultRowHeight="16.5"/>
  <cols>
    <col min="1" max="1" width="7.5" bestFit="1" customWidth="1"/>
    <col min="2" max="2" width="11.25" bestFit="1" customWidth="1"/>
    <col min="3" max="3" width="15.375" bestFit="1" customWidth="1"/>
    <col min="4" max="4" width="11" style="2" customWidth="1"/>
    <col min="5" max="5" width="13" style="2" bestFit="1" customWidth="1"/>
    <col min="6" max="6" width="11.875" style="2" bestFit="1" customWidth="1"/>
    <col min="7" max="7" width="13" style="2" bestFit="1" customWidth="1"/>
    <col min="8" max="8" width="39" bestFit="1" customWidth="1"/>
  </cols>
  <sheetData>
    <row r="1" spans="1:8" s="6" customFormat="1">
      <c r="A1" s="5" t="s">
        <v>12</v>
      </c>
      <c r="B1" s="5" t="s">
        <v>0</v>
      </c>
      <c r="C1" s="5" t="s">
        <v>26</v>
      </c>
      <c r="D1" s="1" t="s">
        <v>19</v>
      </c>
      <c r="E1" s="1" t="s">
        <v>20</v>
      </c>
      <c r="F1" s="1" t="s">
        <v>21</v>
      </c>
      <c r="G1" s="1" t="s">
        <v>22</v>
      </c>
      <c r="H1" s="5" t="s">
        <v>23</v>
      </c>
    </row>
    <row r="2" spans="1:8" s="10" customFormat="1">
      <c r="A2" s="7">
        <f t="shared" ref="A2:A13" si="0">ROW()-1</f>
        <v>1</v>
      </c>
      <c r="B2" s="8" t="s">
        <v>13</v>
      </c>
      <c r="C2" s="8" t="s">
        <v>27</v>
      </c>
      <c r="D2" s="3">
        <v>610</v>
      </c>
      <c r="E2" s="3">
        <v>91500</v>
      </c>
      <c r="F2" s="3">
        <f>E2*0.1</f>
        <v>9150</v>
      </c>
      <c r="G2" s="3">
        <f>+E2+F2</f>
        <v>100650</v>
      </c>
      <c r="H2" s="9"/>
    </row>
    <row r="3" spans="1:8" s="10" customFormat="1">
      <c r="A3" s="14">
        <f t="shared" si="0"/>
        <v>2</v>
      </c>
      <c r="B3" s="14" t="s">
        <v>1</v>
      </c>
      <c r="C3" s="14"/>
      <c r="D3" s="15"/>
      <c r="E3" s="15">
        <f>374000+417000+222000+311000+418000+760000+570000</f>
        <v>3072000</v>
      </c>
      <c r="F3" s="15"/>
      <c r="G3" s="15">
        <f t="shared" ref="G3:G13" si="1">+E3+F3</f>
        <v>3072000</v>
      </c>
      <c r="H3" s="16" t="s">
        <v>17</v>
      </c>
    </row>
    <row r="4" spans="1:8" s="10" customFormat="1">
      <c r="A4" s="7">
        <f t="shared" si="0"/>
        <v>3</v>
      </c>
      <c r="B4" s="11" t="s">
        <v>2</v>
      </c>
      <c r="C4" s="11" t="s">
        <v>28</v>
      </c>
      <c r="D4" s="3"/>
      <c r="E4" s="3">
        <v>158600</v>
      </c>
      <c r="F4" s="3">
        <f t="shared" ref="F4:F6" si="2">E4*0.1</f>
        <v>15860</v>
      </c>
      <c r="G4" s="3">
        <f t="shared" si="1"/>
        <v>174460</v>
      </c>
      <c r="H4" s="9"/>
    </row>
    <row r="5" spans="1:8" s="10" customFormat="1">
      <c r="A5" s="7">
        <f t="shared" si="0"/>
        <v>4</v>
      </c>
      <c r="B5" s="8" t="s">
        <v>3</v>
      </c>
      <c r="C5" s="8" t="s">
        <v>29</v>
      </c>
      <c r="D5" s="3">
        <v>15070</v>
      </c>
      <c r="E5" s="3">
        <v>19591000</v>
      </c>
      <c r="F5" s="3">
        <f t="shared" si="2"/>
        <v>1959100</v>
      </c>
      <c r="G5" s="3">
        <f t="shared" si="1"/>
        <v>21550100</v>
      </c>
      <c r="H5" s="9" t="s">
        <v>14</v>
      </c>
    </row>
    <row r="6" spans="1:8" s="10" customFormat="1">
      <c r="A6" s="17">
        <f t="shared" si="0"/>
        <v>5</v>
      </c>
      <c r="B6" s="17" t="s">
        <v>4</v>
      </c>
      <c r="C6" s="17" t="s">
        <v>30</v>
      </c>
      <c r="D6" s="18"/>
      <c r="E6" s="18">
        <v>2500000</v>
      </c>
      <c r="F6" s="18">
        <f t="shared" si="2"/>
        <v>250000</v>
      </c>
      <c r="G6" s="18">
        <f t="shared" si="1"/>
        <v>2750000</v>
      </c>
      <c r="H6" s="19" t="s">
        <v>24</v>
      </c>
    </row>
    <row r="7" spans="1:8" s="10" customFormat="1">
      <c r="A7" s="7">
        <f t="shared" si="0"/>
        <v>6</v>
      </c>
      <c r="B7" s="8" t="s">
        <v>5</v>
      </c>
      <c r="C7" s="8" t="s">
        <v>31</v>
      </c>
      <c r="D7" s="3"/>
      <c r="E7" s="3">
        <v>84468500</v>
      </c>
      <c r="F7" s="3">
        <v>8446850</v>
      </c>
      <c r="G7" s="3">
        <f t="shared" si="1"/>
        <v>92915350</v>
      </c>
      <c r="H7" s="9"/>
    </row>
    <row r="8" spans="1:8" s="10" customFormat="1">
      <c r="A8" s="12">
        <f t="shared" si="0"/>
        <v>7</v>
      </c>
      <c r="B8" s="12" t="s">
        <v>6</v>
      </c>
      <c r="C8" s="12"/>
      <c r="D8" s="4"/>
      <c r="E8" s="4"/>
      <c r="F8" s="4"/>
      <c r="G8" s="4">
        <f t="shared" si="1"/>
        <v>0</v>
      </c>
      <c r="H8" s="13" t="s">
        <v>16</v>
      </c>
    </row>
    <row r="9" spans="1:8" s="10" customFormat="1">
      <c r="A9" s="7">
        <f t="shared" si="0"/>
        <v>8</v>
      </c>
      <c r="B9" s="8" t="s">
        <v>7</v>
      </c>
      <c r="C9" s="8" t="s">
        <v>32</v>
      </c>
      <c r="D9" s="3">
        <f>4875+3415</f>
        <v>8290</v>
      </c>
      <c r="E9" s="3">
        <f>585000+409800</f>
        <v>994800</v>
      </c>
      <c r="F9" s="3">
        <f t="shared" ref="F9:F11" si="3">E9*0.1</f>
        <v>99480</v>
      </c>
      <c r="G9" s="3">
        <f t="shared" si="1"/>
        <v>1094280</v>
      </c>
      <c r="H9" s="9" t="s">
        <v>15</v>
      </c>
    </row>
    <row r="10" spans="1:8" s="10" customFormat="1">
      <c r="A10" s="7">
        <f t="shared" si="0"/>
        <v>9</v>
      </c>
      <c r="B10" s="8" t="s">
        <v>8</v>
      </c>
      <c r="C10" s="8" t="s">
        <v>33</v>
      </c>
      <c r="D10" s="3">
        <v>30850</v>
      </c>
      <c r="E10" s="3">
        <v>4627500</v>
      </c>
      <c r="F10" s="3">
        <f t="shared" si="3"/>
        <v>462750</v>
      </c>
      <c r="G10" s="3">
        <f t="shared" si="1"/>
        <v>5090250</v>
      </c>
      <c r="H10" s="9" t="s">
        <v>25</v>
      </c>
    </row>
    <row r="11" spans="1:8" s="10" customFormat="1">
      <c r="A11" s="7">
        <f t="shared" si="0"/>
        <v>10</v>
      </c>
      <c r="B11" s="11" t="s">
        <v>9</v>
      </c>
      <c r="C11" s="11" t="s">
        <v>28</v>
      </c>
      <c r="D11" s="3">
        <v>18635</v>
      </c>
      <c r="E11" s="3">
        <v>2329375</v>
      </c>
      <c r="F11" s="3">
        <f t="shared" si="3"/>
        <v>232937.5</v>
      </c>
      <c r="G11" s="3">
        <f t="shared" si="1"/>
        <v>2562312.5</v>
      </c>
      <c r="H11" s="9"/>
    </row>
    <row r="12" spans="1:8" s="10" customFormat="1">
      <c r="A12" s="12">
        <f t="shared" si="0"/>
        <v>11</v>
      </c>
      <c r="B12" s="12" t="s">
        <v>10</v>
      </c>
      <c r="C12" s="12"/>
      <c r="D12" s="4"/>
      <c r="E12" s="4"/>
      <c r="F12" s="4"/>
      <c r="G12" s="4">
        <f t="shared" si="1"/>
        <v>0</v>
      </c>
      <c r="H12" s="13" t="s">
        <v>16</v>
      </c>
    </row>
    <row r="13" spans="1:8" s="10" customFormat="1">
      <c r="A13" s="7">
        <f t="shared" si="0"/>
        <v>12</v>
      </c>
      <c r="B13" s="8" t="s">
        <v>11</v>
      </c>
      <c r="C13" s="8" t="s">
        <v>28</v>
      </c>
      <c r="D13" s="3">
        <v>461535</v>
      </c>
      <c r="E13" s="3">
        <v>71680725</v>
      </c>
      <c r="F13" s="3">
        <v>7168072.5</v>
      </c>
      <c r="G13" s="3">
        <f t="shared" si="1"/>
        <v>78848797.5</v>
      </c>
      <c r="H13" s="9"/>
    </row>
    <row r="14" spans="1:8" s="10" customFormat="1">
      <c r="A14" s="366" t="s">
        <v>18</v>
      </c>
      <c r="B14" s="367"/>
      <c r="C14" s="20"/>
      <c r="D14" s="3">
        <f>SUM(D2:D13)</f>
        <v>534990</v>
      </c>
      <c r="E14" s="3">
        <f t="shared" ref="E14:G14" si="4">SUM(E2:E13)</f>
        <v>189514000</v>
      </c>
      <c r="F14" s="3">
        <f t="shared" si="4"/>
        <v>18644200</v>
      </c>
      <c r="G14" s="3">
        <f t="shared" si="4"/>
        <v>208158200</v>
      </c>
      <c r="H14" s="9"/>
    </row>
  </sheetData>
  <autoFilter ref="A1:H1"/>
  <mergeCells count="1">
    <mergeCell ref="A14:B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33</vt:i4>
      </vt:variant>
    </vt:vector>
  </HeadingPairs>
  <TitlesOfParts>
    <vt:vector size="33" baseType="lpstr">
      <vt:lpstr>매출업체list</vt:lpstr>
      <vt:lpstr>2024.01</vt:lpstr>
      <vt:lpstr>2023.12</vt:lpstr>
      <vt:lpstr>2023.11</vt:lpstr>
      <vt:lpstr>2023.10</vt:lpstr>
      <vt:lpstr>2023.09</vt:lpstr>
      <vt:lpstr>2023.08</vt:lpstr>
      <vt:lpstr>2023.07</vt:lpstr>
      <vt:lpstr>2023.06</vt:lpstr>
      <vt:lpstr>2023.05</vt:lpstr>
      <vt:lpstr>2023.04</vt:lpstr>
      <vt:lpstr>2023.03</vt:lpstr>
      <vt:lpstr>2023.02</vt:lpstr>
      <vt:lpstr>2023.01</vt:lpstr>
      <vt:lpstr>202212</vt:lpstr>
      <vt:lpstr>2022.11</vt:lpstr>
      <vt:lpstr>2022.10</vt:lpstr>
      <vt:lpstr>2022.09</vt:lpstr>
      <vt:lpstr>2022.08</vt:lpstr>
      <vt:lpstr>2022.07</vt:lpstr>
      <vt:lpstr>2022.06</vt:lpstr>
      <vt:lpstr>2022.05.31</vt:lpstr>
      <vt:lpstr>2022.05</vt:lpstr>
      <vt:lpstr>2022.04</vt:lpstr>
      <vt:lpstr>2022.03</vt:lpstr>
      <vt:lpstr>2022.02</vt:lpstr>
      <vt:lpstr>2022.01</vt:lpstr>
      <vt:lpstr>2021.12</vt:lpstr>
      <vt:lpstr>2021.11</vt:lpstr>
      <vt:lpstr>2021.10</vt:lpstr>
      <vt:lpstr>2021.09</vt:lpstr>
      <vt:lpstr>2021.08</vt:lpstr>
      <vt:lpstr>2021.07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2024-01-10T03:35:46Z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6672e1f7-913a-47ea-92ca-6d9fa03a409c</vt:lpwstr>
  </property>
</Properties>
</file>