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0" yWindow="0" windowWidth="25600" windowHeight="15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7" i="1" l="1"/>
  <c r="B116" i="1"/>
  <c r="B115" i="1"/>
  <c r="B113" i="1"/>
  <c r="B112" i="1"/>
  <c r="A91" i="1"/>
  <c r="B106" i="1"/>
  <c r="B105" i="1"/>
  <c r="D105" i="1"/>
  <c r="F103" i="1"/>
  <c r="A103" i="1"/>
  <c r="E105" i="1"/>
  <c r="C105" i="1"/>
  <c r="C77" i="1"/>
  <c r="B101" i="1"/>
  <c r="B97" i="1"/>
  <c r="B24" i="1"/>
  <c r="B27" i="1"/>
  <c r="C33" i="1"/>
  <c r="E33" i="1"/>
  <c r="I36" i="1"/>
  <c r="B96" i="1"/>
  <c r="D96" i="1"/>
  <c r="B98" i="1"/>
  <c r="B99" i="1"/>
  <c r="D101" i="1"/>
  <c r="K36" i="1"/>
  <c r="C32" i="1"/>
  <c r="E32" i="1"/>
  <c r="D25" i="1"/>
  <c r="I35" i="1"/>
  <c r="K35" i="1"/>
  <c r="C96" i="1"/>
  <c r="B87" i="1"/>
  <c r="B86" i="1"/>
  <c r="D86" i="1"/>
  <c r="F86" i="1"/>
  <c r="D87" i="1"/>
  <c r="B71" i="1"/>
  <c r="C79" i="1"/>
  <c r="B41" i="1"/>
  <c r="D41" i="1"/>
  <c r="B83" i="1"/>
  <c r="B84" i="1"/>
  <c r="I87" i="1"/>
  <c r="C87" i="1"/>
  <c r="C86" i="1"/>
  <c r="F87" i="1"/>
  <c r="H86" i="1"/>
  <c r="H85" i="1"/>
  <c r="H84" i="1"/>
  <c r="I84" i="1"/>
  <c r="I90" i="1"/>
  <c r="E79" i="1"/>
  <c r="E78" i="1"/>
  <c r="D77" i="1"/>
  <c r="D75" i="1"/>
  <c r="E77" i="1"/>
  <c r="F77" i="1"/>
  <c r="B73" i="1"/>
  <c r="D73" i="1"/>
  <c r="G61" i="1"/>
  <c r="G62" i="1"/>
  <c r="G63" i="1"/>
  <c r="C61" i="1"/>
  <c r="C62" i="1"/>
  <c r="G64" i="1"/>
  <c r="G65" i="1"/>
  <c r="H60" i="1"/>
  <c r="B65" i="1"/>
  <c r="B57" i="1"/>
  <c r="E22" i="1"/>
  <c r="B55" i="1"/>
  <c r="E23" i="1"/>
  <c r="B53" i="1"/>
  <c r="B50" i="1"/>
  <c r="A55" i="1"/>
  <c r="A54" i="1"/>
  <c r="D49" i="1"/>
  <c r="B42" i="1"/>
  <c r="B43" i="1"/>
  <c r="A42" i="1"/>
  <c r="D7" i="1"/>
  <c r="D6" i="1"/>
  <c r="C21" i="1"/>
  <c r="B20" i="1"/>
</calcChain>
</file>

<file path=xl/sharedStrings.xml><?xml version="1.0" encoding="utf-8"?>
<sst xmlns="http://schemas.openxmlformats.org/spreadsheetml/2006/main" count="184" uniqueCount="123">
  <si>
    <t>Given Data</t>
  </si>
  <si>
    <t>Isolated Footing</t>
  </si>
  <si>
    <t>Column Size</t>
  </si>
  <si>
    <t>Axial Load =</t>
  </si>
  <si>
    <t>Bending Moment about x-axis =</t>
  </si>
  <si>
    <t>Bending Moment about y-axis =</t>
  </si>
  <si>
    <t xml:space="preserve">Unit Weight of soil = </t>
  </si>
  <si>
    <t>Safe bearing capacity of soil =</t>
  </si>
  <si>
    <t>Angle of repose of soil =</t>
  </si>
  <si>
    <t>Grade of concrete =</t>
  </si>
  <si>
    <t>Grade of steel =</t>
  </si>
  <si>
    <t>Length (A), mm =</t>
  </si>
  <si>
    <t>Breadth (B), mm =</t>
  </si>
  <si>
    <t>kN</t>
  </si>
  <si>
    <t>mm</t>
  </si>
  <si>
    <t>kNm</t>
  </si>
  <si>
    <t>kN/m3</t>
  </si>
  <si>
    <t>kN/m2</t>
  </si>
  <si>
    <t>30 degree</t>
  </si>
  <si>
    <t>M20</t>
  </si>
  <si>
    <t>N/mm2</t>
  </si>
  <si>
    <t>Fe415</t>
  </si>
  <si>
    <t>Mu, lim =</t>
  </si>
  <si>
    <t>0.1388 fckbd2</t>
  </si>
  <si>
    <t>Depth of footing =</t>
  </si>
  <si>
    <t>m</t>
  </si>
  <si>
    <t>eccentricity, e = M/W</t>
  </si>
  <si>
    <t>Area of footing, Af =</t>
  </si>
  <si>
    <t>1.1W/Po</t>
  </si>
  <si>
    <t>m2</t>
  </si>
  <si>
    <t xml:space="preserve">Adopted Size of footing = </t>
  </si>
  <si>
    <t>Length, A =</t>
  </si>
  <si>
    <t>Breadth, B =</t>
  </si>
  <si>
    <t>Area of footing provided =</t>
  </si>
  <si>
    <t>Provided eccentricity, e =</t>
  </si>
  <si>
    <t>Pedestal provided =</t>
  </si>
  <si>
    <t>Net upward soil pressure, Pu' =</t>
  </si>
  <si>
    <t>Thickness of footing</t>
  </si>
  <si>
    <t>Thickness from flexural considerations</t>
  </si>
  <si>
    <t>Dimensions of pedestal:</t>
  </si>
  <si>
    <t>Lp =</t>
  </si>
  <si>
    <t>Bp =</t>
  </si>
  <si>
    <t>Pu'[(L-Lp)/2+e)]2/2</t>
  </si>
  <si>
    <t>Moment due to larger projection beyond the pedestal face along the direction of eccentricity (x-axis), Mux =</t>
  </si>
  <si>
    <t>Moment due to larger projection beyond the pedestal face along other axis (y-axis), Muy =</t>
  </si>
  <si>
    <t>Pu'[(B-Bp)]^2/8</t>
  </si>
  <si>
    <t>Considering a balanced section:</t>
  </si>
  <si>
    <t>Mu,lim = Mu,max = Mux</t>
  </si>
  <si>
    <t xml:space="preserve">0.1388 fckbd2 = </t>
  </si>
  <si>
    <t>For b = 1000 mm</t>
  </si>
  <si>
    <t>d =</t>
  </si>
  <si>
    <t>ONE Way Shear</t>
  </si>
  <si>
    <t>Vu,max =</t>
  </si>
  <si>
    <t>Pu'B[(l-Lp)/2+e-d]</t>
  </si>
  <si>
    <t>Vuc =</t>
  </si>
  <si>
    <t>ksTuc(bd)</t>
  </si>
  <si>
    <t>Therefore, considering, Vu,max = Vuc i.e.</t>
  </si>
  <si>
    <t xml:space="preserve">Here, ks = </t>
  </si>
  <si>
    <t xml:space="preserve"> for assumed total depth &gt;= 300 mm</t>
  </si>
  <si>
    <t>Considering Tuc =</t>
  </si>
  <si>
    <t>Mpa</t>
  </si>
  <si>
    <t>MPa</t>
  </si>
  <si>
    <t>Therefore, d =</t>
  </si>
  <si>
    <t>Two -Way Shear</t>
  </si>
  <si>
    <t>Pu'[LB-(Lp+d)(Bp+d]</t>
  </si>
  <si>
    <t>Allowable punching shear =</t>
  </si>
  <si>
    <t>0.25sqrtFck</t>
  </si>
  <si>
    <t>Perimeter of critical section =</t>
  </si>
  <si>
    <t>2[(Lp+d)+(Bp+d)]</t>
  </si>
  <si>
    <t>For d =</t>
  </si>
  <si>
    <t>Perimeter =</t>
  </si>
  <si>
    <t>Shear Force arrised at the critical section =</t>
  </si>
  <si>
    <t>Shear Stresses arrised =</t>
  </si>
  <si>
    <t>Permissible Stresses =</t>
  </si>
  <si>
    <t>OK</t>
  </si>
  <si>
    <t>Fail</t>
  </si>
  <si>
    <t>Thus the thickness of footing is governed by:</t>
  </si>
  <si>
    <t>One way shear</t>
  </si>
  <si>
    <t>Clear cover =</t>
  </si>
  <si>
    <t>Diameter of the bar to be used =</t>
  </si>
  <si>
    <t>Effective cover =</t>
  </si>
  <si>
    <t>Overall edpth of footing, D =</t>
  </si>
  <si>
    <t>Cosider the overall depth of footing to be =</t>
  </si>
  <si>
    <t>inch</t>
  </si>
  <si>
    <t>Provide uniform thickness of footing from the face of pedestal =</t>
  </si>
  <si>
    <t>reducing linearly at the edges =</t>
  </si>
  <si>
    <t>Reinforcement Parameter:</t>
  </si>
  <si>
    <t>Ru = (4.6/fck)*(Mux/bd2)</t>
  </si>
  <si>
    <t>Therfore, effective depth provided, d =</t>
  </si>
  <si>
    <t>Nmm</t>
  </si>
  <si>
    <t>Ast,x = (fckbd/2fy)[1-sqrt(1-Ru)]</t>
  </si>
  <si>
    <t>mm2/m</t>
  </si>
  <si>
    <t>Nos.</t>
  </si>
  <si>
    <t>Spacing req.</t>
  </si>
  <si>
    <t>For 16 mm dia bars</t>
  </si>
  <si>
    <t>For 20 mm dia bars</t>
  </si>
  <si>
    <t>Actual effective depth, d =</t>
  </si>
  <si>
    <t>Ru =</t>
  </si>
  <si>
    <t>Lets provide diameter of the bars in x-direction to be of</t>
  </si>
  <si>
    <t>For bars in the y-direction (Upper layer of reinforcement):</t>
  </si>
  <si>
    <t>Muy =</t>
  </si>
  <si>
    <t>Ast,y =</t>
  </si>
  <si>
    <t>Ast,min. = (@0.12% off bD) =</t>
  </si>
  <si>
    <t>Ast,y</t>
  </si>
  <si>
    <t xml:space="preserve">For 12 mm diameter bars, provide bars </t>
  </si>
  <si>
    <t>Spacing, mm</t>
  </si>
  <si>
    <t>Spacing required, inch</t>
  </si>
  <si>
    <t>mm2</t>
  </si>
  <si>
    <t>Spacing provided =</t>
  </si>
  <si>
    <t>Check for Shear:</t>
  </si>
  <si>
    <t>Since the thickness of footing is based on shear strength of concrete without reinforcement, it is safe in shear.</t>
  </si>
  <si>
    <t>in X-direction:</t>
  </si>
  <si>
    <t>in Y-direction:</t>
  </si>
  <si>
    <t>12mm dia. @5.5" c/c</t>
  </si>
  <si>
    <t>16mm dia. @6" c/c</t>
  </si>
  <si>
    <t>Detailing:</t>
  </si>
  <si>
    <t>Thickness of footing slab:</t>
  </si>
  <si>
    <t>Thickness of footing slab at the ends:</t>
  </si>
  <si>
    <t>Pedestal:</t>
  </si>
  <si>
    <t>50 mm</t>
  </si>
  <si>
    <t>Grade of Concrete:</t>
  </si>
  <si>
    <t>Grade of steel:</t>
  </si>
  <si>
    <t>Clear cover: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</si>
</sst>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b/>
      <u/>
      <sz val="16"/>
      <color theme="1"/>
      <name val="Calibri"/>
      <scheme val="minor"/>
    </font>
    <font>
      <sz val="14"/>
      <color indexed="206"/>
      <name val="Calibri"/>
    </font>
    <font>
      <sz val="20"/>
      <color theme="1"/>
      <name val="Calibri"/>
      <scheme val="minor"/>
    </font>
    <font>
      <b/>
      <u/>
      <sz val="20"/>
      <color theme="1"/>
      <name val="Calibri"/>
      <scheme val="minor"/>
    </font>
    <font>
      <b/>
      <u/>
      <sz val="14"/>
      <color theme="1"/>
      <name val="Calibri"/>
      <scheme val="minor"/>
    </font>
    <font>
      <u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8" fillId="0" borderId="0" xfId="0" applyFont="1"/>
    <xf numFmtId="0" fontId="2" fillId="3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/>
    <xf numFmtId="0" fontId="9" fillId="0" borderId="0" xfId="0" applyFont="1"/>
    <xf numFmtId="0" fontId="10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4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1" fillId="0" borderId="0" xfId="0" applyFont="1"/>
    <xf numFmtId="0" fontId="2" fillId="4" borderId="0" xfId="0" applyFont="1" applyFill="1" applyAlignment="1">
      <alignment horizontal="right"/>
    </xf>
    <xf numFmtId="165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0" fontId="2" fillId="0" borderId="0" xfId="0" applyNumberFormat="1" applyFont="1"/>
    <xf numFmtId="2" fontId="1" fillId="0" borderId="0" xfId="41" applyNumberFormat="1"/>
    <xf numFmtId="0" fontId="1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right"/>
    </xf>
    <xf numFmtId="1" fontId="2" fillId="4" borderId="0" xfId="0" applyNumberFormat="1" applyFont="1" applyFill="1"/>
    <xf numFmtId="0" fontId="13" fillId="4" borderId="0" xfId="0" applyFont="1" applyFill="1"/>
    <xf numFmtId="0" fontId="2" fillId="0" borderId="0" xfId="0" applyFont="1" applyFill="1"/>
    <xf numFmtId="0" fontId="7" fillId="0" borderId="0" xfId="0" applyFont="1" applyFill="1"/>
  </cellXfs>
  <cellStyles count="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  <cellStyle name="nos." xfId="41"/>
  </cellStyles>
  <dxfs count="2"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127000</xdr:rowOff>
    </xdr:from>
    <xdr:to>
      <xdr:col>3</xdr:col>
      <xdr:colOff>596900</xdr:colOff>
      <xdr:row>5</xdr:row>
      <xdr:rowOff>88900</xdr:rowOff>
    </xdr:to>
    <xdr:grpSp>
      <xdr:nvGrpSpPr>
        <xdr:cNvPr id="5" name="Group 4"/>
        <xdr:cNvGrpSpPr/>
      </xdr:nvGrpSpPr>
      <xdr:grpSpPr>
        <a:xfrm>
          <a:off x="5913967" y="448733"/>
          <a:ext cx="1397000" cy="1248834"/>
          <a:chOff x="2717800" y="647700"/>
          <a:chExt cx="1206500" cy="723900"/>
        </a:xfrm>
      </xdr:grpSpPr>
      <xdr:sp macro="" textlink="">
        <xdr:nvSpPr>
          <xdr:cNvPr id="2" name="Rectangle 1"/>
          <xdr:cNvSpPr/>
        </xdr:nvSpPr>
        <xdr:spPr>
          <a:xfrm>
            <a:off x="2717800" y="965200"/>
            <a:ext cx="889000" cy="406400"/>
          </a:xfrm>
          <a:prstGeom prst="rect">
            <a:avLst/>
          </a:prstGeom>
          <a:solidFill>
            <a:srgbClr val="000000">
              <a:alpha val="0"/>
            </a:srgbClr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chemeClr val="tx1"/>
                </a:solidFill>
              </a:ln>
              <a:effectLst/>
            </a:endParaRPr>
          </a:p>
        </xdr:txBody>
      </xdr:sp>
      <xdr:sp macro="" textlink="">
        <xdr:nvSpPr>
          <xdr:cNvPr id="3" name="TextBox 2"/>
          <xdr:cNvSpPr txBox="1"/>
        </xdr:nvSpPr>
        <xdr:spPr>
          <a:xfrm>
            <a:off x="2882900" y="647700"/>
            <a:ext cx="254000" cy="2667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/>
              <a:t>A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3670300" y="1016000"/>
            <a:ext cx="254000" cy="2667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/>
              <a:t>B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P120"/>
  <sheetViews>
    <sheetView tabSelected="1" topLeftCell="A106" zoomScale="150" zoomScaleNormal="150" zoomScalePageLayoutView="150" workbookViewId="0">
      <selection activeCell="A122" sqref="A122"/>
    </sheetView>
  </sheetViews>
  <sheetFormatPr baseColWidth="10" defaultRowHeight="18" x14ac:dyDescent="0"/>
  <cols>
    <col min="1" max="1" width="53.5" style="1" bestFit="1" customWidth="1"/>
    <col min="2" max="2" width="21.1640625" style="1" bestFit="1" customWidth="1"/>
    <col min="3" max="3" width="13.33203125" style="1" bestFit="1" customWidth="1"/>
    <col min="4" max="4" width="14.5" style="1" bestFit="1" customWidth="1"/>
    <col min="5" max="5" width="35.5" style="1" bestFit="1" customWidth="1"/>
    <col min="6" max="6" width="37.83203125" style="1" bestFit="1" customWidth="1"/>
    <col min="7" max="7" width="13.33203125" style="1" bestFit="1" customWidth="1"/>
    <col min="8" max="8" width="22" style="1" customWidth="1"/>
    <col min="9" max="9" width="10" style="1" customWidth="1"/>
    <col min="10" max="10" width="10.83203125" style="1"/>
    <col min="11" max="11" width="12" style="1" bestFit="1" customWidth="1"/>
    <col min="12" max="16384" width="10.83203125" style="1"/>
  </cols>
  <sheetData>
    <row r="1" spans="1:5" ht="25" customHeight="1">
      <c r="A1" s="1" t="s">
        <v>1</v>
      </c>
    </row>
    <row r="2" spans="1:5" ht="25" customHeight="1"/>
    <row r="3" spans="1:5" ht="25" customHeight="1">
      <c r="A3" s="2" t="s">
        <v>0</v>
      </c>
    </row>
    <row r="4" spans="1:5" ht="25" customHeight="1"/>
    <row r="5" spans="1:5" ht="25" customHeight="1">
      <c r="A5" s="2" t="s">
        <v>2</v>
      </c>
    </row>
    <row r="6" spans="1:5" ht="25" customHeight="1">
      <c r="A6" s="1" t="s">
        <v>11</v>
      </c>
      <c r="B6" s="1">
        <v>450</v>
      </c>
      <c r="C6" s="1" t="s">
        <v>14</v>
      </c>
      <c r="D6" s="1">
        <f>B6/1000</f>
        <v>0.45</v>
      </c>
      <c r="E6" s="1" t="s">
        <v>25</v>
      </c>
    </row>
    <row r="7" spans="1:5" ht="25" customHeight="1">
      <c r="A7" s="1" t="s">
        <v>12</v>
      </c>
      <c r="B7" s="1">
        <v>450</v>
      </c>
      <c r="C7" s="1" t="s">
        <v>14</v>
      </c>
      <c r="D7" s="1">
        <f>B7/1000</f>
        <v>0.45</v>
      </c>
      <c r="E7" s="1" t="s">
        <v>25</v>
      </c>
    </row>
    <row r="8" spans="1:5" ht="25" customHeight="1"/>
    <row r="9" spans="1:5" ht="25" customHeight="1">
      <c r="A9" s="1" t="s">
        <v>3</v>
      </c>
      <c r="B9" s="1">
        <v>1200</v>
      </c>
      <c r="C9" s="1" t="s">
        <v>13</v>
      </c>
    </row>
    <row r="10" spans="1:5" ht="25" customHeight="1">
      <c r="A10" s="1" t="s">
        <v>4</v>
      </c>
      <c r="B10" s="1">
        <v>450</v>
      </c>
      <c r="C10" s="1" t="s">
        <v>15</v>
      </c>
    </row>
    <row r="11" spans="1:5" ht="25" customHeight="1">
      <c r="A11" s="1" t="s">
        <v>5</v>
      </c>
    </row>
    <row r="12" spans="1:5" ht="25" customHeight="1">
      <c r="A12" s="1" t="s">
        <v>6</v>
      </c>
      <c r="B12" s="1">
        <v>19</v>
      </c>
      <c r="C12" s="1" t="s">
        <v>16</v>
      </c>
    </row>
    <row r="13" spans="1:5" ht="25" customHeight="1">
      <c r="A13" s="1" t="s">
        <v>7</v>
      </c>
      <c r="B13" s="1">
        <v>150</v>
      </c>
      <c r="C13" s="1" t="s">
        <v>17</v>
      </c>
    </row>
    <row r="14" spans="1:5" ht="25" customHeight="1">
      <c r="A14" s="1" t="s">
        <v>8</v>
      </c>
      <c r="B14" s="1" t="s">
        <v>18</v>
      </c>
    </row>
    <row r="15" spans="1:5" ht="25" customHeight="1">
      <c r="A15" s="1" t="s">
        <v>9</v>
      </c>
      <c r="B15" s="1" t="s">
        <v>19</v>
      </c>
      <c r="C15" s="1">
        <v>20</v>
      </c>
      <c r="D15" s="1" t="s">
        <v>20</v>
      </c>
    </row>
    <row r="16" spans="1:5" ht="25" customHeight="1">
      <c r="A16" s="1" t="s">
        <v>10</v>
      </c>
      <c r="B16" s="1" t="s">
        <v>21</v>
      </c>
      <c r="C16" s="1">
        <v>415</v>
      </c>
      <c r="D16" s="1" t="s">
        <v>20</v>
      </c>
    </row>
    <row r="17" spans="1:6" ht="25" customHeight="1"/>
    <row r="18" spans="1:6" ht="25" customHeight="1">
      <c r="A18" s="1" t="s">
        <v>22</v>
      </c>
      <c r="B18" s="1" t="s">
        <v>23</v>
      </c>
    </row>
    <row r="19" spans="1:6" ht="25" customHeight="1">
      <c r="A19" s="1" t="s">
        <v>24</v>
      </c>
      <c r="B19" s="1">
        <v>1</v>
      </c>
      <c r="C19" s="1" t="s">
        <v>25</v>
      </c>
    </row>
    <row r="20" spans="1:6" ht="25" customHeight="1">
      <c r="A20" s="1" t="s">
        <v>26</v>
      </c>
      <c r="B20" s="1">
        <f>((B10*10^6)/(B9*10^3))</f>
        <v>375</v>
      </c>
      <c r="C20" s="1" t="s">
        <v>14</v>
      </c>
    </row>
    <row r="21" spans="1:6" ht="25" customHeight="1">
      <c r="A21" s="1" t="s">
        <v>27</v>
      </c>
      <c r="B21" s="1" t="s">
        <v>28</v>
      </c>
      <c r="C21" s="1">
        <f>1.1*B9/150</f>
        <v>8.8000000000000007</v>
      </c>
      <c r="D21" s="1" t="s">
        <v>29</v>
      </c>
    </row>
    <row r="22" spans="1:6" ht="25" customHeight="1">
      <c r="A22" s="1" t="s">
        <v>30</v>
      </c>
      <c r="B22" s="1" t="s">
        <v>31</v>
      </c>
      <c r="C22" s="1">
        <v>3</v>
      </c>
      <c r="D22" s="1" t="s">
        <v>25</v>
      </c>
      <c r="E22" s="1">
        <f>C22*1000</f>
        <v>3000</v>
      </c>
      <c r="F22" s="1" t="s">
        <v>14</v>
      </c>
    </row>
    <row r="23" spans="1:6" ht="25" customHeight="1">
      <c r="B23" s="1" t="s">
        <v>32</v>
      </c>
      <c r="C23" s="1">
        <v>3</v>
      </c>
      <c r="D23" s="1" t="s">
        <v>25</v>
      </c>
      <c r="E23" s="1">
        <f>C23*1000</f>
        <v>3000</v>
      </c>
      <c r="F23" s="1" t="s">
        <v>14</v>
      </c>
    </row>
    <row r="24" spans="1:6" ht="25" customHeight="1">
      <c r="A24" s="1" t="s">
        <v>33</v>
      </c>
      <c r="B24" s="1">
        <f>C22*C23</f>
        <v>9</v>
      </c>
      <c r="C24" s="1" t="s">
        <v>29</v>
      </c>
    </row>
    <row r="25" spans="1:6" ht="25" customHeight="1">
      <c r="A25" s="1" t="s">
        <v>34</v>
      </c>
      <c r="B25" s="1">
        <v>375</v>
      </c>
      <c r="C25" s="1" t="s">
        <v>14</v>
      </c>
      <c r="D25" s="1">
        <f>B25/1000</f>
        <v>0.375</v>
      </c>
      <c r="E25" s="1" t="s">
        <v>25</v>
      </c>
    </row>
    <row r="26" spans="1:6" ht="25" customHeight="1">
      <c r="A26" s="1" t="s">
        <v>35</v>
      </c>
      <c r="B26" s="1">
        <v>50</v>
      </c>
      <c r="C26" s="1" t="s">
        <v>14</v>
      </c>
    </row>
    <row r="27" spans="1:6" ht="25" customHeight="1">
      <c r="A27" s="1" t="s">
        <v>36</v>
      </c>
      <c r="B27" s="1">
        <f>(1.5*B9)/B24</f>
        <v>200</v>
      </c>
      <c r="C27" s="1" t="s">
        <v>17</v>
      </c>
    </row>
    <row r="28" spans="1:6" ht="25" customHeight="1">
      <c r="A28" s="1" t="s">
        <v>78</v>
      </c>
      <c r="B28" s="1">
        <v>40</v>
      </c>
      <c r="C28" s="1" t="s">
        <v>14</v>
      </c>
    </row>
    <row r="29" spans="1:6" ht="25" customHeight="1">
      <c r="A29" s="4" t="s">
        <v>37</v>
      </c>
    </row>
    <row r="30" spans="1:6" ht="25" customHeight="1"/>
    <row r="31" spans="1:6" ht="25" customHeight="1">
      <c r="A31" s="3" t="s">
        <v>38</v>
      </c>
    </row>
    <row r="32" spans="1:6" ht="25" customHeight="1">
      <c r="A32" s="1" t="s">
        <v>39</v>
      </c>
      <c r="B32" s="1" t="s">
        <v>40</v>
      </c>
      <c r="C32" s="1">
        <f>(B6+B26+B26)</f>
        <v>550</v>
      </c>
      <c r="D32" s="1" t="s">
        <v>14</v>
      </c>
      <c r="E32" s="1">
        <f>C32/1000</f>
        <v>0.55000000000000004</v>
      </c>
      <c r="F32" s="1" t="s">
        <v>25</v>
      </c>
    </row>
    <row r="33" spans="1:12" ht="25" customHeight="1">
      <c r="B33" s="1" t="s">
        <v>41</v>
      </c>
      <c r="C33" s="1">
        <f>B7+B26+B26</f>
        <v>550</v>
      </c>
      <c r="D33" s="1" t="s">
        <v>14</v>
      </c>
      <c r="E33" s="1">
        <f>C33/1000</f>
        <v>0.55000000000000004</v>
      </c>
      <c r="F33" s="1" t="s">
        <v>25</v>
      </c>
    </row>
    <row r="34" spans="1:12" ht="25" customHeight="1"/>
    <row r="35" spans="1:12" ht="25" customHeight="1">
      <c r="A35" s="34" t="s">
        <v>43</v>
      </c>
      <c r="B35" s="34"/>
      <c r="C35" s="34"/>
      <c r="D35" s="34"/>
      <c r="E35" s="34"/>
      <c r="F35" s="34"/>
      <c r="G35" s="34"/>
      <c r="H35" s="1" t="s">
        <v>42</v>
      </c>
      <c r="I35" s="1">
        <f>(((((C22-E32)/2)+D25)^2)/2)*B27</f>
        <v>256.00000000000006</v>
      </c>
      <c r="J35" s="1" t="s">
        <v>15</v>
      </c>
      <c r="K35" s="1">
        <f>I35*10^6</f>
        <v>256000000.00000006</v>
      </c>
      <c r="L35" s="1" t="s">
        <v>89</v>
      </c>
    </row>
    <row r="36" spans="1:12" ht="25" customHeight="1">
      <c r="A36" s="34" t="s">
        <v>44</v>
      </c>
      <c r="B36" s="34"/>
      <c r="C36" s="34"/>
      <c r="D36" s="34"/>
      <c r="E36" s="34"/>
      <c r="F36" s="34"/>
      <c r="G36" s="34"/>
      <c r="H36" s="1" t="s">
        <v>45</v>
      </c>
      <c r="I36" s="1">
        <f>(B27*((C23-E33)^2))/8</f>
        <v>150.06250000000003</v>
      </c>
      <c r="J36" s="1" t="s">
        <v>15</v>
      </c>
      <c r="K36" s="1">
        <f>I36*10^6</f>
        <v>150062500.00000003</v>
      </c>
      <c r="L36" s="1" t="s">
        <v>89</v>
      </c>
    </row>
    <row r="37" spans="1:12" ht="25" customHeight="1"/>
    <row r="38" spans="1:12" ht="25" customHeight="1">
      <c r="A38" s="2" t="s">
        <v>46</v>
      </c>
    </row>
    <row r="40" spans="1:12">
      <c r="A40" s="1" t="s">
        <v>47</v>
      </c>
    </row>
    <row r="41" spans="1:12">
      <c r="A41" s="5" t="s">
        <v>48</v>
      </c>
      <c r="B41" s="1">
        <f>I35</f>
        <v>256.00000000000006</v>
      </c>
      <c r="C41" s="1" t="s">
        <v>15</v>
      </c>
      <c r="D41" s="1">
        <f>B41*10^6</f>
        <v>256000000.00000006</v>
      </c>
      <c r="E41" s="1" t="s">
        <v>89</v>
      </c>
      <c r="F41" s="1" t="s">
        <v>49</v>
      </c>
    </row>
    <row r="42" spans="1:12">
      <c r="A42" s="6" t="str">
        <f>0.1388*C15*1000&amp;"d^2"&amp;"="</f>
        <v>2776d^2=</v>
      </c>
      <c r="B42" s="1">
        <f>B41</f>
        <v>256.00000000000006</v>
      </c>
      <c r="D42" s="7">
        <v>2776</v>
      </c>
    </row>
    <row r="43" spans="1:12">
      <c r="A43" s="8" t="s">
        <v>50</v>
      </c>
      <c r="B43" s="9">
        <f>SQRT(B42/D42)*1000</f>
        <v>303.67584720044937</v>
      </c>
      <c r="C43" s="1" t="s">
        <v>14</v>
      </c>
    </row>
    <row r="46" spans="1:12" ht="23">
      <c r="A46" s="4" t="s">
        <v>38</v>
      </c>
    </row>
    <row r="48" spans="1:12" ht="20">
      <c r="A48" s="10" t="s">
        <v>51</v>
      </c>
    </row>
    <row r="49" spans="1:16">
      <c r="A49" s="5" t="s">
        <v>52</v>
      </c>
      <c r="B49" s="1" t="s">
        <v>53</v>
      </c>
      <c r="D49" s="1" t="str">
        <f>(B27*C23) &amp;"d"</f>
        <v>600d</v>
      </c>
    </row>
    <row r="50" spans="1:16">
      <c r="B50" s="5" t="str">
        <f>(B27*C23*(((C22-E32)/2)+D25))&amp;"-600d"</f>
        <v>960-600d</v>
      </c>
      <c r="C50" s="1" t="s">
        <v>13</v>
      </c>
    </row>
    <row r="51" spans="1:16">
      <c r="A51" s="5" t="s">
        <v>54</v>
      </c>
      <c r="B51" s="1" t="s">
        <v>55</v>
      </c>
      <c r="C51" s="1" t="s">
        <v>57</v>
      </c>
      <c r="D51" s="1">
        <v>1</v>
      </c>
      <c r="E51" s="1" t="s">
        <v>58</v>
      </c>
    </row>
    <row r="52" spans="1:16">
      <c r="C52" s="1" t="s">
        <v>59</v>
      </c>
      <c r="E52" s="1">
        <v>0.36</v>
      </c>
      <c r="F52" s="1" t="s">
        <v>61</v>
      </c>
    </row>
    <row r="53" spans="1:16">
      <c r="A53" s="1" t="s">
        <v>56</v>
      </c>
      <c r="B53" s="1" t="str">
        <f>D51*E52*E22 &amp;"d"</f>
        <v>1080d</v>
      </c>
    </row>
    <row r="54" spans="1:16">
      <c r="A54" s="5" t="str">
        <f>B50&amp;""</f>
        <v>960-600d</v>
      </c>
    </row>
    <row r="55" spans="1:16">
      <c r="A55" s="5" t="str">
        <f>B50&amp;"="</f>
        <v>960-600d=</v>
      </c>
      <c r="B55" s="1" t="str">
        <f>D51*E52*E22 &amp;"d"</f>
        <v>1080d</v>
      </c>
    </row>
    <row r="56" spans="1:16">
      <c r="A56" s="12" t="s">
        <v>62</v>
      </c>
      <c r="B56" s="13">
        <v>0.57099999999999995</v>
      </c>
      <c r="C56" s="13" t="s">
        <v>25</v>
      </c>
    </row>
    <row r="57" spans="1:16">
      <c r="A57" s="13"/>
      <c r="B57" s="13">
        <f>B56*1000</f>
        <v>571</v>
      </c>
      <c r="C57" s="13" t="s">
        <v>14</v>
      </c>
    </row>
    <row r="59" spans="1:16" ht="21" thickBot="1">
      <c r="A59" s="10" t="s">
        <v>63</v>
      </c>
      <c r="P59" s="13" t="s">
        <v>74</v>
      </c>
    </row>
    <row r="60" spans="1:16">
      <c r="A60" s="5" t="s">
        <v>52</v>
      </c>
      <c r="B60" s="1" t="s">
        <v>64</v>
      </c>
      <c r="F60" s="16" t="s">
        <v>69</v>
      </c>
      <c r="G60" s="17">
        <v>0.57099999999999995</v>
      </c>
      <c r="H60" s="18" t="str">
        <f>C56</f>
        <v>m</v>
      </c>
      <c r="P60" s="11" t="s">
        <v>75</v>
      </c>
    </row>
    <row r="61" spans="1:16">
      <c r="A61" s="5" t="s">
        <v>65</v>
      </c>
      <c r="B61" s="1" t="s">
        <v>66</v>
      </c>
      <c r="C61" s="1">
        <f>SQRT(C15)*0.25</f>
        <v>1.1180339887498949</v>
      </c>
      <c r="D61" s="1" t="s">
        <v>60</v>
      </c>
      <c r="F61" s="19" t="s">
        <v>71</v>
      </c>
      <c r="G61" s="20">
        <f>B27*((C22*C23)-(E32+G60)*(E33+G60))</f>
        <v>1548.6718000000001</v>
      </c>
      <c r="H61" s="21" t="s">
        <v>25</v>
      </c>
    </row>
    <row r="62" spans="1:16">
      <c r="C62" s="1">
        <f>C61*1000</f>
        <v>1118.0339887498949</v>
      </c>
      <c r="D62" s="1" t="s">
        <v>17</v>
      </c>
      <c r="F62" s="22" t="s">
        <v>70</v>
      </c>
      <c r="G62" s="20">
        <f>2*((E32+G60)+(E33+G60))</f>
        <v>4.484</v>
      </c>
      <c r="H62" s="21" t="s">
        <v>25</v>
      </c>
    </row>
    <row r="63" spans="1:16">
      <c r="F63" s="22" t="s">
        <v>72</v>
      </c>
      <c r="G63" s="20">
        <f>G61/G62</f>
        <v>345.37729705619984</v>
      </c>
      <c r="H63" s="21" t="s">
        <v>17</v>
      </c>
    </row>
    <row r="64" spans="1:16" ht="19" thickBot="1">
      <c r="A64" s="1" t="s">
        <v>67</v>
      </c>
      <c r="B64" s="1" t="s">
        <v>68</v>
      </c>
      <c r="F64" s="23" t="s">
        <v>73</v>
      </c>
      <c r="G64" s="24">
        <f>C62</f>
        <v>1118.0339887498949</v>
      </c>
      <c r="H64" s="25" t="s">
        <v>17</v>
      </c>
    </row>
    <row r="65" spans="1:7" ht="25">
      <c r="B65" s="14" t="str">
        <f>2*(E32+E33) &amp;" + 4d"</f>
        <v>2.2 + 4d</v>
      </c>
      <c r="G65" s="15" t="str">
        <f>IF(G63&lt;=G64,"OK", "Fail")</f>
        <v>OK</v>
      </c>
    </row>
    <row r="66" spans="1:7" ht="25">
      <c r="G66" s="15"/>
    </row>
    <row r="67" spans="1:7">
      <c r="A67" s="13" t="s">
        <v>76</v>
      </c>
      <c r="B67" s="13" t="s">
        <v>77</v>
      </c>
      <c r="C67" s="13">
        <v>571</v>
      </c>
      <c r="D67" s="13" t="s">
        <v>14</v>
      </c>
    </row>
    <row r="69" spans="1:7">
      <c r="A69" s="1" t="s">
        <v>78</v>
      </c>
      <c r="B69" s="1">
        <v>40</v>
      </c>
      <c r="C69" s="1" t="s">
        <v>14</v>
      </c>
    </row>
    <row r="70" spans="1:7">
      <c r="A70" s="1" t="s">
        <v>79</v>
      </c>
      <c r="B70" s="1">
        <v>16</v>
      </c>
      <c r="C70" s="1" t="s">
        <v>14</v>
      </c>
    </row>
    <row r="71" spans="1:7">
      <c r="A71" s="1" t="s">
        <v>80</v>
      </c>
      <c r="B71" s="1">
        <f>B69+(B70/2)</f>
        <v>48</v>
      </c>
      <c r="C71" s="1" t="s">
        <v>14</v>
      </c>
    </row>
    <row r="73" spans="1:7">
      <c r="A73" s="1" t="s">
        <v>81</v>
      </c>
      <c r="B73" s="1">
        <f>C67+B71</f>
        <v>619</v>
      </c>
      <c r="C73" s="1" t="s">
        <v>14</v>
      </c>
      <c r="D73" s="1">
        <f>B73/25.4</f>
        <v>24.370078740157481</v>
      </c>
      <c r="E73" s="1" t="s">
        <v>83</v>
      </c>
    </row>
    <row r="75" spans="1:7">
      <c r="A75" s="13" t="s">
        <v>82</v>
      </c>
      <c r="B75" s="13">
        <v>620</v>
      </c>
      <c r="C75" s="13" t="s">
        <v>14</v>
      </c>
      <c r="D75" s="13">
        <f>B75/25.4</f>
        <v>24.409448818897641</v>
      </c>
      <c r="E75" s="13" t="s">
        <v>83</v>
      </c>
    </row>
    <row r="77" spans="1:7">
      <c r="A77" s="35" t="s">
        <v>84</v>
      </c>
      <c r="B77" s="35"/>
      <c r="C77" s="13">
        <f>B75</f>
        <v>620</v>
      </c>
      <c r="D77" s="13" t="str">
        <f t="shared" ref="D77:F77" si="0">C75</f>
        <v>mm</v>
      </c>
      <c r="E77" s="13">
        <f t="shared" si="0"/>
        <v>24.409448818897641</v>
      </c>
      <c r="F77" s="13" t="str">
        <f t="shared" si="0"/>
        <v>inch</v>
      </c>
    </row>
    <row r="78" spans="1:7">
      <c r="A78" s="35" t="s">
        <v>85</v>
      </c>
      <c r="B78" s="35"/>
      <c r="C78" s="13">
        <v>250</v>
      </c>
      <c r="D78" s="13" t="s">
        <v>14</v>
      </c>
      <c r="E78" s="13">
        <f>C78/25.4</f>
        <v>9.8425196850393704</v>
      </c>
      <c r="F78" s="13" t="s">
        <v>83</v>
      </c>
    </row>
    <row r="79" spans="1:7">
      <c r="A79" s="35" t="s">
        <v>88</v>
      </c>
      <c r="B79" s="35"/>
      <c r="C79" s="13">
        <f>C77-B71</f>
        <v>572</v>
      </c>
      <c r="D79" s="13" t="s">
        <v>14</v>
      </c>
      <c r="E79" s="13">
        <f>C79/25.4</f>
        <v>22.519685039370081</v>
      </c>
      <c r="F79" s="13" t="s">
        <v>83</v>
      </c>
    </row>
    <row r="81" spans="1:9" ht="25">
      <c r="A81" s="26" t="s">
        <v>86</v>
      </c>
    </row>
    <row r="83" spans="1:9">
      <c r="A83" s="1" t="s">
        <v>87</v>
      </c>
      <c r="B83" s="29">
        <f>((4.6/C15)*(D41/(1000*C79^2)))</f>
        <v>0.17995990023962055</v>
      </c>
      <c r="H83" s="31">
        <v>8</v>
      </c>
      <c r="I83" s="1">
        <v>50</v>
      </c>
    </row>
    <row r="84" spans="1:9">
      <c r="A84" s="1" t="s">
        <v>90</v>
      </c>
      <c r="B84" s="30">
        <f>((((C15*1000*C79)/(2*C16))*(1-(1-B83)^0.5)))</f>
        <v>1301.6700091337793</v>
      </c>
      <c r="C84" s="1" t="s">
        <v>91</v>
      </c>
      <c r="H84" s="1">
        <f xml:space="preserve"> 10</f>
        <v>10</v>
      </c>
      <c r="I84" s="1">
        <f t="shared" ref="I84:I90" si="1">(3.14/4*H84^2)</f>
        <v>78.5</v>
      </c>
    </row>
    <row r="85" spans="1:9">
      <c r="C85" s="1" t="s">
        <v>92</v>
      </c>
      <c r="D85" s="1" t="s">
        <v>93</v>
      </c>
      <c r="H85" s="1">
        <f xml:space="preserve"> 12</f>
        <v>12</v>
      </c>
      <c r="I85" s="1">
        <v>113</v>
      </c>
    </row>
    <row r="86" spans="1:9">
      <c r="A86" s="13" t="s">
        <v>94</v>
      </c>
      <c r="B86" s="13" t="str">
        <f>"@6 inch c/c"</f>
        <v>@6 inch c/c</v>
      </c>
      <c r="C86" s="32">
        <f>B84/I86</f>
        <v>6.4759701946954191</v>
      </c>
      <c r="D86" s="13">
        <f>1000/6</f>
        <v>166.66666666666666</v>
      </c>
      <c r="E86" s="13" t="s">
        <v>14</v>
      </c>
      <c r="F86" s="1">
        <f>D86/25.4</f>
        <v>6.5616797900262469</v>
      </c>
      <c r="G86" s="1" t="s">
        <v>83</v>
      </c>
      <c r="H86" s="1">
        <f xml:space="preserve"> 16</f>
        <v>16</v>
      </c>
      <c r="I86" s="1">
        <v>201</v>
      </c>
    </row>
    <row r="87" spans="1:9">
      <c r="A87" s="13" t="s">
        <v>95</v>
      </c>
      <c r="B87" s="13" t="str">
        <f>"@13 inch c/c"</f>
        <v>@13 inch c/c</v>
      </c>
      <c r="C87" s="29">
        <f>B84/I87</f>
        <v>4.1454458889610803</v>
      </c>
      <c r="D87" s="13">
        <f>1000/3</f>
        <v>333.33333333333331</v>
      </c>
      <c r="E87" s="13" t="s">
        <v>14</v>
      </c>
      <c r="F87" s="1">
        <f>D87/25.4</f>
        <v>13.123359580052494</v>
      </c>
      <c r="G87" s="1" t="s">
        <v>83</v>
      </c>
      <c r="H87" s="1">
        <v>20</v>
      </c>
      <c r="I87" s="1">
        <f t="shared" si="1"/>
        <v>314</v>
      </c>
    </row>
    <row r="88" spans="1:9">
      <c r="H88" s="1">
        <v>25</v>
      </c>
      <c r="I88" s="1">
        <v>491</v>
      </c>
    </row>
    <row r="89" spans="1:9">
      <c r="H89" s="1">
        <v>32</v>
      </c>
      <c r="I89" s="1">
        <v>804</v>
      </c>
    </row>
    <row r="90" spans="1:9">
      <c r="A90" s="13" t="s">
        <v>98</v>
      </c>
      <c r="B90" s="13">
        <v>16</v>
      </c>
      <c r="C90" s="13" t="s">
        <v>14</v>
      </c>
      <c r="H90" s="1">
        <v>40</v>
      </c>
      <c r="I90" s="1">
        <f t="shared" si="1"/>
        <v>1256</v>
      </c>
    </row>
    <row r="91" spans="1:9">
      <c r="A91" s="13" t="str">
        <f>B86</f>
        <v>@6 inch c/c</v>
      </c>
    </row>
    <row r="94" spans="1:9">
      <c r="A94" s="33" t="s">
        <v>99</v>
      </c>
    </row>
    <row r="96" spans="1:9">
      <c r="A96" s="5" t="s">
        <v>100</v>
      </c>
      <c r="B96" s="1">
        <f>I36</f>
        <v>150.06250000000003</v>
      </c>
      <c r="C96" s="1" t="str">
        <f t="shared" ref="C96" si="2">J36</f>
        <v>kNm</v>
      </c>
      <c r="D96" s="1">
        <f>B96*10^6</f>
        <v>150062500.00000003</v>
      </c>
      <c r="E96" s="1" t="s">
        <v>89</v>
      </c>
    </row>
    <row r="97" spans="1:7">
      <c r="A97" s="5" t="s">
        <v>96</v>
      </c>
      <c r="B97" s="1">
        <f>C77-B69-B90-(B90/2)</f>
        <v>556</v>
      </c>
      <c r="C97" s="1" t="s">
        <v>14</v>
      </c>
    </row>
    <row r="98" spans="1:7">
      <c r="A98" s="5" t="s">
        <v>97</v>
      </c>
      <c r="B98" s="28">
        <f>((4.6/C15)*(D96/(1000*B97^2)))</f>
        <v>0.11164786695823198</v>
      </c>
    </row>
    <row r="99" spans="1:7">
      <c r="A99" s="5" t="s">
        <v>101</v>
      </c>
      <c r="B99" s="1">
        <f>(((C15*1000*B97)/(2*C16))*(1-(1-B98)^0.5))</f>
        <v>770.03533742217724</v>
      </c>
      <c r="C99" s="1" t="s">
        <v>91</v>
      </c>
    </row>
    <row r="100" spans="1:7">
      <c r="A100" s="5"/>
    </row>
    <row r="101" spans="1:7">
      <c r="A101" s="5" t="s">
        <v>102</v>
      </c>
      <c r="B101" s="1">
        <f>0.0012*1000*C77</f>
        <v>744</v>
      </c>
      <c r="C101" s="1" t="s">
        <v>91</v>
      </c>
      <c r="D101" s="1" t="str">
        <f>IF(B101&lt;B99,"&lt;","&gt;")</f>
        <v>&lt;</v>
      </c>
      <c r="E101" s="1" t="s">
        <v>103</v>
      </c>
    </row>
    <row r="103" spans="1:7">
      <c r="A103" s="9" t="str">
        <f>IF(D101="&lt;","Therefore provide reinforecement required as per the requirement other than the minimum % of reinforcement","Provide at least min. percentage of reinforcement")</f>
        <v>Therefore provide reinforecement required as per the requirement other than the minimum % of reinforcement</v>
      </c>
      <c r="B103" s="9"/>
      <c r="C103" s="9"/>
      <c r="D103" s="9"/>
      <c r="E103" s="9"/>
      <c r="F103" s="9">
        <f>IF(B99&lt;B101,B99,B101)</f>
        <v>744</v>
      </c>
      <c r="G103" s="9" t="s">
        <v>107</v>
      </c>
    </row>
    <row r="104" spans="1:7">
      <c r="C104" s="1" t="s">
        <v>92</v>
      </c>
      <c r="D104" s="1" t="s">
        <v>105</v>
      </c>
      <c r="E104" s="1" t="s">
        <v>106</v>
      </c>
    </row>
    <row r="105" spans="1:7">
      <c r="A105" s="27" t="s">
        <v>104</v>
      </c>
      <c r="B105" s="13" t="str">
        <f>"@ 5.5 inch c/c"</f>
        <v>@ 5.5 inch c/c</v>
      </c>
      <c r="C105" s="13">
        <f>B101/I85</f>
        <v>6.5840707964601766</v>
      </c>
      <c r="D105" s="36">
        <f>1000/6</f>
        <v>166.66666666666666</v>
      </c>
      <c r="E105" s="13">
        <f>D105/25.5</f>
        <v>6.5359477124183005</v>
      </c>
    </row>
    <row r="106" spans="1:7">
      <c r="A106" s="27" t="s">
        <v>108</v>
      </c>
      <c r="B106" s="36">
        <f>(5.5*25.4)</f>
        <v>139.69999999999999</v>
      </c>
      <c r="C106" s="13" t="s">
        <v>14</v>
      </c>
    </row>
    <row r="108" spans="1:7">
      <c r="A108" s="38"/>
      <c r="B108" s="38"/>
      <c r="C108" s="38"/>
      <c r="D108" s="38"/>
      <c r="E108" s="38"/>
      <c r="F108" s="38"/>
    </row>
    <row r="109" spans="1:7" ht="23">
      <c r="A109" s="39" t="s">
        <v>115</v>
      </c>
      <c r="B109" s="38"/>
      <c r="C109" s="38"/>
      <c r="D109" s="38"/>
      <c r="E109" s="38"/>
      <c r="F109" s="38"/>
    </row>
    <row r="110" spans="1:7">
      <c r="A110" s="38" t="s">
        <v>111</v>
      </c>
      <c r="B110" s="38" t="s">
        <v>114</v>
      </c>
      <c r="C110" s="38"/>
      <c r="D110" s="38"/>
      <c r="E110" s="38"/>
      <c r="F110" s="38"/>
    </row>
    <row r="111" spans="1:7">
      <c r="A111" s="1" t="s">
        <v>112</v>
      </c>
      <c r="B111" s="1" t="s">
        <v>113</v>
      </c>
    </row>
    <row r="112" spans="1:7">
      <c r="A112" s="1" t="s">
        <v>116</v>
      </c>
      <c r="B112" s="1">
        <f>C77</f>
        <v>620</v>
      </c>
      <c r="C112" s="1" t="s">
        <v>14</v>
      </c>
    </row>
    <row r="113" spans="1:4">
      <c r="A113" s="1" t="s">
        <v>117</v>
      </c>
      <c r="B113" s="1">
        <f>C78</f>
        <v>250</v>
      </c>
      <c r="C113" s="1" t="s">
        <v>14</v>
      </c>
    </row>
    <row r="114" spans="1:4">
      <c r="A114" s="1" t="s">
        <v>118</v>
      </c>
      <c r="B114" s="1" t="s">
        <v>119</v>
      </c>
    </row>
    <row r="115" spans="1:4">
      <c r="A115" s="1" t="s">
        <v>120</v>
      </c>
      <c r="B115" s="1" t="str">
        <f>B15</f>
        <v>M20</v>
      </c>
    </row>
    <row r="116" spans="1:4">
      <c r="A116" s="1" t="s">
        <v>121</v>
      </c>
      <c r="B116" s="1" t="str">
        <f>B16</f>
        <v>Fe415</v>
      </c>
    </row>
    <row r="117" spans="1:4">
      <c r="A117" s="1" t="s">
        <v>122</v>
      </c>
      <c r="B117" s="1" t="str">
        <f>B18</f>
        <v>0.1388 fckbd2</v>
      </c>
      <c r="C117" s="1" t="s">
        <v>14</v>
      </c>
    </row>
    <row r="119" spans="1:4" ht="20">
      <c r="A119" s="3" t="s">
        <v>109</v>
      </c>
    </row>
    <row r="120" spans="1:4">
      <c r="A120" s="37" t="s">
        <v>110</v>
      </c>
      <c r="B120" s="13"/>
      <c r="C120" s="13"/>
      <c r="D120" s="13"/>
    </row>
  </sheetData>
  <dataConsolidate/>
  <mergeCells count="5">
    <mergeCell ref="A35:G35"/>
    <mergeCell ref="A36:G36"/>
    <mergeCell ref="A77:B77"/>
    <mergeCell ref="A78:B78"/>
    <mergeCell ref="A79:B79"/>
  </mergeCells>
  <conditionalFormatting sqref="G65">
    <cfRule type="cellIs" dxfId="1" priority="2" operator="equal">
      <formula>"FAIL"</formula>
    </cfRule>
  </conditionalFormatting>
  <conditionalFormatting sqref="G66">
    <cfRule type="cellIs" dxfId="0" priority="1" operator="equal">
      <formula>"FAIL"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Guru Nanak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Nehmat Kaur</dc:creator>
  <cp:lastModifiedBy>Nehmat Kaur</cp:lastModifiedBy>
  <dcterms:created xsi:type="dcterms:W3CDTF">2025-01-14T04:40:07Z</dcterms:created>
  <dcterms:modified xsi:type="dcterms:W3CDTF">2025-01-21T10:38:32Z</dcterms:modified>
</cp:coreProperties>
</file>