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3.10\"/>
    </mc:Choice>
  </mc:AlternateContent>
  <xr:revisionPtr revIDLastSave="0" documentId="8_{007D6577-BA0C-47B7-9557-38240EC4B92B}" xr6:coauthVersionLast="47" xr6:coauthVersionMax="47" xr10:uidLastSave="{00000000-0000-0000-0000-000000000000}"/>
  <bookViews>
    <workbookView xWindow="8904" yWindow="3552" windowWidth="15240" windowHeight="8448" xr2:uid="{B5A0C156-09DC-4007-BB72-E982206AEA2F}"/>
  </bookViews>
  <sheets>
    <sheet name="工作表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U101" i="1" l="1" a="1"/>
  <c r="U101" i="1" s="1"/>
  <c r="K101" i="1" a="1"/>
  <c r="K101" i="1" s="1"/>
  <c r="A101" i="1" a="1"/>
  <c r="A101" i="1" s="1"/>
  <c r="U100" i="1" a="1"/>
  <c r="U100" i="1" s="1"/>
  <c r="K100" i="1" a="1"/>
  <c r="K100" i="1" s="1"/>
  <c r="R100" i="1"/>
  <c r="S100" i="1"/>
  <c r="T100" i="1"/>
  <c r="A100" i="1" a="1"/>
  <c r="A100" i="1" s="1"/>
  <c r="U99" i="1" a="1"/>
  <c r="U99" i="1" s="1"/>
  <c r="K99" i="1" a="1"/>
  <c r="K99" i="1" s="1"/>
  <c r="T99" i="1"/>
  <c r="A99" i="1" a="1"/>
  <c r="A99" i="1" s="1"/>
  <c r="U98" i="1" a="1"/>
  <c r="U98" i="1" s="1"/>
  <c r="K98" i="1" a="1"/>
  <c r="K98" i="1" s="1"/>
  <c r="O98" i="1"/>
  <c r="A98" i="1" a="1"/>
  <c r="A98" i="1" s="1"/>
  <c r="U97" i="1" a="1"/>
  <c r="U97" i="1" s="1"/>
  <c r="K97" i="1" a="1"/>
  <c r="K97" i="1" s="1"/>
  <c r="R97" i="1"/>
  <c r="A97" i="1" a="1"/>
  <c r="A97" i="1" s="1"/>
  <c r="U96" i="1" a="1"/>
  <c r="U96" i="1" s="1"/>
  <c r="K96" i="1" a="1"/>
  <c r="K96" i="1" s="1"/>
  <c r="S96" i="1"/>
  <c r="A96" i="1" a="1"/>
  <c r="A96" i="1" s="1"/>
  <c r="D96" i="1"/>
  <c r="J96" i="1"/>
  <c r="U95" i="1" a="1"/>
  <c r="U95" i="1" s="1"/>
  <c r="X95" i="1"/>
  <c r="Y95" i="1"/>
  <c r="Z95" i="1"/>
  <c r="K95" i="1" a="1"/>
  <c r="K95" i="1" s="1"/>
  <c r="O95" i="1"/>
  <c r="P95" i="1"/>
  <c r="Q95" i="1"/>
  <c r="A95" i="1" a="1"/>
  <c r="A95" i="1" s="1"/>
  <c r="E95" i="1"/>
  <c r="G95" i="1"/>
  <c r="H95" i="1"/>
  <c r="J95" i="1"/>
  <c r="U94" i="1" a="1"/>
  <c r="U94" i="1" s="1"/>
  <c r="K94" i="1" a="1"/>
  <c r="K94" i="1" s="1"/>
  <c r="A94" i="1" a="1"/>
  <c r="A94" i="1" s="1"/>
  <c r="J94" i="1"/>
  <c r="U93" i="1" a="1"/>
  <c r="U93" i="1" s="1"/>
  <c r="K93" i="1" a="1"/>
  <c r="K93" i="1" s="1"/>
  <c r="A93" i="1" a="1"/>
  <c r="A93" i="1" s="1"/>
  <c r="U92" i="1" a="1"/>
  <c r="U92" i="1" s="1"/>
  <c r="K92" i="1" a="1"/>
  <c r="K92" i="1" s="1"/>
  <c r="A92" i="1" a="1"/>
  <c r="A92" i="1" s="1"/>
  <c r="J92" i="1"/>
  <c r="U91" i="1" a="1"/>
  <c r="U91" i="1" s="1"/>
  <c r="Z91" i="1"/>
  <c r="K91" i="1" a="1"/>
  <c r="K91" i="1" s="1"/>
  <c r="R91" i="1"/>
  <c r="T91" i="1"/>
  <c r="A91" i="1" a="1"/>
  <c r="A91" i="1" s="1"/>
  <c r="J91" i="1"/>
  <c r="U90" i="1" a="1"/>
  <c r="U90" i="1" s="1"/>
  <c r="K90" i="1" a="1"/>
  <c r="K90" i="1" s="1"/>
  <c r="A90" i="1" a="1"/>
  <c r="A90" i="1" s="1"/>
  <c r="U89" i="1" a="1"/>
  <c r="U89" i="1" s="1"/>
  <c r="K89" i="1" a="1"/>
  <c r="K89" i="1" s="1"/>
  <c r="A89" i="1" a="1"/>
  <c r="A89" i="1" s="1"/>
  <c r="D89" i="1"/>
  <c r="E89" i="1"/>
  <c r="F89" i="1"/>
  <c r="U88" i="1" a="1"/>
  <c r="U88" i="1" s="1"/>
  <c r="K88" i="1" a="1"/>
  <c r="K88" i="1" s="1"/>
  <c r="N88" i="1"/>
  <c r="T88" i="1"/>
  <c r="A88" i="1" a="1"/>
  <c r="A88" i="1" s="1"/>
  <c r="G88" i="1"/>
  <c r="H88" i="1"/>
  <c r="I88" i="1"/>
  <c r="J88" i="1"/>
  <c r="U87" i="1" a="1"/>
  <c r="U87" i="1" s="1"/>
  <c r="K87" i="1" a="1"/>
  <c r="K87" i="1" s="1"/>
  <c r="N87" i="1"/>
  <c r="O87" i="1"/>
  <c r="P87" i="1"/>
  <c r="A87" i="1" a="1"/>
  <c r="A87" i="1" s="1"/>
  <c r="E87" i="1"/>
  <c r="F87" i="1"/>
  <c r="G87" i="1"/>
  <c r="I87" i="1"/>
  <c r="J87" i="1"/>
  <c r="U86" i="1" a="1"/>
  <c r="U86" i="1" s="1"/>
  <c r="Y86" i="1"/>
  <c r="Z86" i="1"/>
  <c r="K86" i="1" a="1"/>
  <c r="K86" i="1" s="1"/>
  <c r="A86" i="1" a="1"/>
  <c r="A86" i="1" s="1"/>
  <c r="H86" i="1"/>
  <c r="I86" i="1"/>
  <c r="U85" i="1" a="1"/>
  <c r="U85" i="1" s="1"/>
  <c r="Y85" i="1"/>
  <c r="Z85" i="1"/>
  <c r="K85" i="1" a="1"/>
  <c r="K85" i="1" s="1"/>
  <c r="P85" i="1"/>
  <c r="R85" i="1"/>
  <c r="A85" i="1" a="1"/>
  <c r="A85" i="1" s="1"/>
  <c r="G85" i="1"/>
  <c r="H85" i="1"/>
  <c r="I85" i="1"/>
  <c r="J85" i="1"/>
  <c r="U84" i="1" a="1"/>
  <c r="U84" i="1" s="1"/>
  <c r="K84" i="1" a="1"/>
  <c r="K84" i="1" s="1"/>
  <c r="O84" i="1"/>
  <c r="P84" i="1"/>
  <c r="R84" i="1"/>
  <c r="S84" i="1"/>
  <c r="T84" i="1"/>
  <c r="A84" i="1" a="1"/>
  <c r="A84" i="1" s="1"/>
  <c r="F84" i="1"/>
  <c r="H84" i="1"/>
  <c r="U83" i="1" a="1"/>
  <c r="U83" i="1" s="1"/>
  <c r="X83" i="1"/>
  <c r="Y83" i="1"/>
  <c r="Z83" i="1"/>
  <c r="K83" i="1" a="1"/>
  <c r="K83" i="1" s="1"/>
  <c r="A83" i="1" a="1"/>
  <c r="A83" i="1" s="1"/>
  <c r="G83" i="1"/>
  <c r="H83" i="1"/>
  <c r="I83" i="1"/>
  <c r="J83" i="1"/>
  <c r="U82" i="1" a="1"/>
  <c r="U82" i="1" s="1"/>
  <c r="X82" i="1"/>
  <c r="K82" i="1" a="1"/>
  <c r="K82" i="1" s="1"/>
  <c r="O82" i="1"/>
  <c r="P82" i="1"/>
  <c r="Q82" i="1"/>
  <c r="R82" i="1"/>
  <c r="S82" i="1"/>
  <c r="A82" i="1" a="1"/>
  <c r="A82" i="1" s="1"/>
  <c r="H82" i="1"/>
  <c r="I82" i="1"/>
  <c r="U81" i="1" a="1"/>
  <c r="U81" i="1" s="1"/>
  <c r="Y81" i="1"/>
  <c r="Z81" i="1"/>
  <c r="K81" i="1" a="1"/>
  <c r="K81" i="1" s="1"/>
  <c r="O81" i="1"/>
  <c r="P81" i="1"/>
  <c r="Q81" i="1"/>
  <c r="A81" i="1" a="1"/>
  <c r="A81" i="1" s="1"/>
  <c r="E81" i="1"/>
  <c r="G81" i="1"/>
  <c r="H81" i="1"/>
  <c r="U80" i="1" a="1"/>
  <c r="U80" i="1" s="1"/>
  <c r="Y80" i="1"/>
  <c r="Z80" i="1"/>
  <c r="K80" i="1" a="1"/>
  <c r="K80" i="1" s="1"/>
  <c r="T80" i="1"/>
  <c r="A80" i="1" a="1"/>
  <c r="A80" i="1" s="1"/>
  <c r="I80" i="1"/>
  <c r="U79" i="1" a="1"/>
  <c r="U79" i="1" s="1"/>
  <c r="K79" i="1" a="1"/>
  <c r="K79" i="1" s="1"/>
  <c r="A79" i="1" a="1"/>
  <c r="A79" i="1" s="1"/>
  <c r="U78" i="1" a="1"/>
  <c r="U78" i="1" s="1"/>
  <c r="Z78" i="1"/>
  <c r="K78" i="1" a="1"/>
  <c r="K78" i="1" s="1"/>
  <c r="Q78" i="1"/>
  <c r="S78" i="1"/>
  <c r="A78" i="1" a="1"/>
  <c r="A78" i="1" s="1"/>
  <c r="G78" i="1"/>
  <c r="H78" i="1"/>
  <c r="I78" i="1"/>
  <c r="J78" i="1"/>
  <c r="U77" i="1" a="1"/>
  <c r="U77" i="1" s="1"/>
  <c r="K77" i="1" a="1"/>
  <c r="K77" i="1" s="1"/>
  <c r="R77" i="1"/>
  <c r="A77" i="1" a="1"/>
  <c r="A77" i="1" s="1"/>
  <c r="U76" i="1" a="1"/>
  <c r="U76" i="1" s="1"/>
  <c r="K76" i="1" a="1"/>
  <c r="K76" i="1" s="1"/>
  <c r="N76" i="1"/>
  <c r="Q76" i="1"/>
  <c r="S76" i="1"/>
  <c r="A76" i="1" a="1"/>
  <c r="A76" i="1" s="1"/>
  <c r="G76" i="1"/>
  <c r="H76" i="1"/>
  <c r="I76" i="1"/>
  <c r="J76" i="1"/>
  <c r="U75" i="1" a="1"/>
  <c r="U75" i="1" s="1"/>
  <c r="K75" i="1" a="1"/>
  <c r="K75" i="1" s="1"/>
  <c r="N75" i="1"/>
  <c r="O75" i="1"/>
  <c r="Q75" i="1"/>
  <c r="R75" i="1"/>
  <c r="S75" i="1"/>
  <c r="T75" i="1"/>
  <c r="A75" i="1" a="1"/>
  <c r="A75" i="1" s="1"/>
  <c r="F75" i="1"/>
  <c r="H75" i="1"/>
  <c r="U74" i="1" a="1"/>
  <c r="U74" i="1" s="1"/>
  <c r="W74" i="1"/>
  <c r="X74" i="1"/>
  <c r="Y74" i="1"/>
  <c r="Z74" i="1"/>
  <c r="K74" i="1" a="1"/>
  <c r="K74" i="1" s="1"/>
  <c r="A74" i="1" a="1"/>
  <c r="A74" i="1" s="1"/>
  <c r="F74" i="1"/>
  <c r="G74" i="1"/>
  <c r="J74" i="1"/>
  <c r="U73" i="1" a="1"/>
  <c r="U73" i="1" s="1"/>
  <c r="Y73" i="1"/>
  <c r="K73" i="1" a="1"/>
  <c r="K73" i="1" s="1"/>
  <c r="S73" i="1"/>
  <c r="T73" i="1"/>
  <c r="A73" i="1" a="1"/>
  <c r="A73" i="1" s="1"/>
  <c r="G73" i="1"/>
  <c r="H73" i="1"/>
  <c r="U72" i="1" a="1"/>
  <c r="U72" i="1" s="1"/>
  <c r="X72" i="1"/>
  <c r="Y72" i="1"/>
  <c r="K72" i="1" a="1"/>
  <c r="K72" i="1" s="1"/>
  <c r="O72" i="1"/>
  <c r="Q72" i="1"/>
  <c r="R72" i="1"/>
  <c r="S72" i="1"/>
  <c r="A72" i="1" a="1"/>
  <c r="A72" i="1" s="1"/>
  <c r="H72" i="1"/>
  <c r="U71" i="1" a="1"/>
  <c r="U71" i="1" s="1"/>
  <c r="K71" i="1" a="1"/>
  <c r="K71" i="1" s="1"/>
  <c r="A71" i="1" a="1"/>
  <c r="A71" i="1" s="1"/>
  <c r="J71" i="1"/>
  <c r="U70" i="1" a="1"/>
  <c r="U70" i="1" s="1"/>
  <c r="K70" i="1" a="1"/>
  <c r="K70" i="1" s="1"/>
  <c r="O70" i="1"/>
  <c r="P70" i="1"/>
  <c r="R70" i="1"/>
  <c r="S70" i="1"/>
  <c r="T70" i="1"/>
  <c r="A70" i="1" a="1"/>
  <c r="A70" i="1" s="1"/>
  <c r="J70" i="1"/>
  <c r="U69" i="1" a="1"/>
  <c r="U69" i="1" s="1"/>
  <c r="K69" i="1" a="1"/>
  <c r="K69" i="1" s="1"/>
  <c r="A69" i="1" a="1"/>
  <c r="A69" i="1" s="1"/>
  <c r="I69" i="1"/>
  <c r="J69" i="1"/>
  <c r="U68" i="1" a="1"/>
  <c r="U68" i="1" s="1"/>
  <c r="Y68" i="1"/>
  <c r="Z68" i="1"/>
  <c r="K68" i="1" a="1"/>
  <c r="K68" i="1" s="1"/>
  <c r="M68" i="1"/>
  <c r="P68" i="1"/>
  <c r="R68" i="1"/>
  <c r="A68" i="1" a="1"/>
  <c r="A68" i="1" s="1"/>
  <c r="E68" i="1"/>
  <c r="F68" i="1"/>
  <c r="G68" i="1"/>
  <c r="H68" i="1"/>
  <c r="I68" i="1"/>
  <c r="J68" i="1"/>
  <c r="U67" i="1" a="1"/>
  <c r="U67" i="1" s="1"/>
  <c r="Z67" i="1"/>
  <c r="K67" i="1" a="1"/>
  <c r="K67" i="1" s="1"/>
  <c r="P67" i="1"/>
  <c r="R67" i="1"/>
  <c r="S67" i="1"/>
  <c r="T67" i="1"/>
  <c r="A67" i="1" a="1"/>
  <c r="A67" i="1" s="1"/>
  <c r="E67" i="1"/>
  <c r="F67" i="1"/>
  <c r="G67" i="1"/>
  <c r="U66" i="1" a="1"/>
  <c r="U66" i="1" s="1"/>
  <c r="Y66" i="1"/>
  <c r="K66" i="1" a="1"/>
  <c r="K66" i="1" s="1"/>
  <c r="A66" i="1" a="1"/>
  <c r="A66" i="1" s="1"/>
  <c r="U65" i="1" a="1"/>
  <c r="U65" i="1" s="1"/>
  <c r="Z65" i="1"/>
  <c r="K65" i="1" a="1"/>
  <c r="K65" i="1" s="1"/>
  <c r="Q65" i="1"/>
  <c r="R65" i="1"/>
  <c r="A65" i="1" a="1"/>
  <c r="A65" i="1" s="1"/>
  <c r="D65" i="1"/>
  <c r="U64" i="1" a="1"/>
  <c r="U64" i="1" s="1"/>
  <c r="X64" i="1"/>
  <c r="K64" i="1" a="1"/>
  <c r="K64" i="1" s="1"/>
  <c r="O64" i="1"/>
  <c r="P64" i="1"/>
  <c r="R64" i="1"/>
  <c r="S64" i="1"/>
  <c r="T64" i="1"/>
  <c r="A64" i="1" a="1"/>
  <c r="A64" i="1" s="1"/>
  <c r="I64" i="1"/>
  <c r="U63" i="1" a="1"/>
  <c r="U63" i="1" s="1"/>
  <c r="K63" i="1" a="1"/>
  <c r="K63" i="1" s="1"/>
  <c r="R63" i="1"/>
  <c r="A63" i="1" a="1"/>
  <c r="A63" i="1" s="1"/>
  <c r="G63" i="1"/>
  <c r="H63" i="1"/>
  <c r="J63" i="1"/>
  <c r="U62" i="1" a="1"/>
  <c r="U62" i="1" s="1"/>
  <c r="X62" i="1"/>
  <c r="Y62" i="1"/>
  <c r="Z62" i="1"/>
  <c r="K62" i="1" a="1"/>
  <c r="K62" i="1" s="1"/>
  <c r="M62" i="1"/>
  <c r="N62" i="1"/>
  <c r="O62" i="1"/>
  <c r="T62" i="1"/>
  <c r="A62" i="1" a="1"/>
  <c r="A62" i="1" s="1"/>
  <c r="F62" i="1"/>
  <c r="G62" i="1"/>
  <c r="U61" i="1" a="1"/>
  <c r="U61" i="1" s="1"/>
  <c r="K61" i="1" a="1"/>
  <c r="K61" i="1" s="1"/>
  <c r="O61" i="1"/>
  <c r="Q61" i="1"/>
  <c r="S61" i="1"/>
  <c r="T61" i="1"/>
  <c r="A61" i="1" a="1"/>
  <c r="A61" i="1" s="1"/>
  <c r="F61" i="1"/>
  <c r="H61" i="1"/>
  <c r="U60" i="1" a="1"/>
  <c r="U60" i="1" s="1"/>
  <c r="Z60" i="1"/>
  <c r="K60" i="1" a="1"/>
  <c r="K60" i="1" s="1"/>
  <c r="A60" i="1" a="1"/>
  <c r="A60" i="1" s="1"/>
  <c r="D60" i="1"/>
  <c r="E60" i="1"/>
  <c r="G60" i="1"/>
  <c r="H60" i="1"/>
  <c r="I60" i="1"/>
  <c r="J60" i="1"/>
  <c r="U59" i="1" a="1"/>
  <c r="U59" i="1" s="1"/>
  <c r="K59" i="1" a="1"/>
  <c r="K59" i="1" s="1"/>
  <c r="P59" i="1"/>
  <c r="R59" i="1"/>
  <c r="A59" i="1" a="1"/>
  <c r="A59" i="1" s="1"/>
  <c r="E59" i="1"/>
  <c r="F59" i="1"/>
  <c r="G59" i="1"/>
  <c r="H59" i="1"/>
  <c r="I59" i="1"/>
  <c r="J59" i="1"/>
  <c r="U58" i="1" a="1"/>
  <c r="U58" i="1" s="1"/>
  <c r="Y58" i="1"/>
  <c r="Z58" i="1"/>
  <c r="K58" i="1" a="1"/>
  <c r="K58" i="1" s="1"/>
  <c r="O58" i="1"/>
  <c r="P58" i="1"/>
  <c r="Q58" i="1"/>
  <c r="R58" i="1"/>
  <c r="S58" i="1"/>
  <c r="T58" i="1"/>
  <c r="A58" i="1" a="1"/>
  <c r="A58" i="1" s="1"/>
  <c r="F58" i="1"/>
  <c r="U57" i="1" a="1"/>
  <c r="U57" i="1" s="1"/>
  <c r="K57" i="1" a="1"/>
  <c r="K57" i="1" s="1"/>
  <c r="T57" i="1"/>
  <c r="A57" i="1" a="1"/>
  <c r="A57" i="1" s="1"/>
  <c r="E57" i="1"/>
  <c r="F57" i="1"/>
  <c r="G57" i="1"/>
  <c r="H57" i="1"/>
  <c r="I57" i="1"/>
  <c r="J57" i="1"/>
  <c r="U56" i="1" a="1"/>
  <c r="U56" i="1" s="1"/>
  <c r="Y56" i="1"/>
  <c r="K56" i="1" a="1"/>
  <c r="K56" i="1" s="1"/>
  <c r="S56" i="1"/>
  <c r="T56" i="1"/>
  <c r="A56" i="1" a="1"/>
  <c r="A56" i="1" s="1"/>
  <c r="U55" i="1" a="1"/>
  <c r="U55" i="1" s="1"/>
  <c r="K55" i="1" a="1"/>
  <c r="K55" i="1" s="1"/>
  <c r="A55" i="1" a="1"/>
  <c r="A55" i="1" s="1"/>
  <c r="G55" i="1"/>
  <c r="U54" i="1" a="1"/>
  <c r="U54" i="1" s="1"/>
  <c r="W54" i="1"/>
  <c r="K54" i="1" a="1"/>
  <c r="K54" i="1" s="1"/>
  <c r="N54" i="1"/>
  <c r="P54" i="1"/>
  <c r="A54" i="1" a="1"/>
  <c r="A54" i="1" s="1"/>
  <c r="U53" i="1" a="1"/>
  <c r="U53" i="1" s="1"/>
  <c r="K53" i="1" a="1"/>
  <c r="K53" i="1" s="1"/>
  <c r="N53" i="1"/>
  <c r="P53" i="1"/>
  <c r="Q53" i="1"/>
  <c r="R53" i="1"/>
  <c r="S53" i="1"/>
  <c r="T53" i="1"/>
  <c r="A53" i="1" a="1"/>
  <c r="A53" i="1" s="1"/>
  <c r="F53" i="1"/>
  <c r="U52" i="1" a="1"/>
  <c r="U52" i="1" s="1"/>
  <c r="K52" i="1" a="1"/>
  <c r="K52" i="1" s="1"/>
  <c r="T52" i="1"/>
  <c r="A52" i="1" a="1"/>
  <c r="A52" i="1" s="1"/>
  <c r="H52" i="1"/>
  <c r="I52" i="1"/>
  <c r="U51" i="1" a="1"/>
  <c r="U51" i="1" s="1"/>
  <c r="Y51" i="1"/>
  <c r="K51" i="1" a="1"/>
  <c r="K51" i="1" s="1"/>
  <c r="A51" i="1" a="1"/>
  <c r="A51" i="1" s="1"/>
  <c r="G51" i="1"/>
  <c r="U50" i="1" a="1"/>
  <c r="U50" i="1" s="1"/>
  <c r="X50" i="1"/>
  <c r="Y50" i="1"/>
  <c r="Z50" i="1"/>
  <c r="K50" i="1" a="1"/>
  <c r="K50" i="1" s="1"/>
  <c r="P50" i="1"/>
  <c r="Q50" i="1"/>
  <c r="R50" i="1"/>
  <c r="S50" i="1"/>
  <c r="T50" i="1"/>
  <c r="A50" i="1" a="1"/>
  <c r="A50" i="1" s="1"/>
  <c r="G50" i="1"/>
  <c r="U49" i="1" a="1"/>
  <c r="U49" i="1" s="1"/>
  <c r="K49" i="1" a="1"/>
  <c r="K49" i="1" s="1"/>
  <c r="A49" i="1" a="1"/>
  <c r="A49" i="1" s="1"/>
  <c r="D49" i="1"/>
  <c r="E49" i="1"/>
  <c r="G49" i="1"/>
  <c r="I49" i="1"/>
  <c r="J49" i="1"/>
  <c r="U48" i="1" a="1"/>
  <c r="U48" i="1" s="1"/>
  <c r="K48" i="1" a="1"/>
  <c r="K48" i="1" s="1"/>
  <c r="O48" i="1"/>
  <c r="Q48" i="1"/>
  <c r="A48" i="1" a="1"/>
  <c r="A48" i="1" s="1"/>
  <c r="D48" i="1"/>
  <c r="E48" i="1"/>
  <c r="F48" i="1"/>
  <c r="G48" i="1"/>
  <c r="H48" i="1"/>
  <c r="U47" i="1" a="1"/>
  <c r="U47" i="1" s="1"/>
  <c r="X47" i="1"/>
  <c r="Y47" i="1"/>
  <c r="K47" i="1" a="1"/>
  <c r="K47" i="1" s="1"/>
  <c r="P47" i="1"/>
  <c r="Q47" i="1"/>
  <c r="S47" i="1"/>
  <c r="T47" i="1"/>
  <c r="A47" i="1" a="1"/>
  <c r="A47" i="1" s="1"/>
  <c r="E47" i="1"/>
  <c r="J47" i="1"/>
  <c r="U46" i="1" a="1"/>
  <c r="U46" i="1" s="1"/>
  <c r="K46" i="1" a="1"/>
  <c r="K46" i="1" s="1"/>
  <c r="A46" i="1" a="1"/>
  <c r="A46" i="1" s="1"/>
  <c r="E46" i="1"/>
  <c r="G46" i="1"/>
  <c r="H46" i="1"/>
  <c r="I46" i="1"/>
  <c r="J46" i="1"/>
  <c r="U45" i="1" a="1"/>
  <c r="U45" i="1" s="1"/>
  <c r="K45" i="1" a="1"/>
  <c r="K45" i="1" s="1"/>
  <c r="N45" i="1"/>
  <c r="S45" i="1"/>
  <c r="A45" i="1" a="1"/>
  <c r="A45" i="1" s="1"/>
  <c r="H45" i="1"/>
  <c r="U44" i="1" a="1"/>
  <c r="U44" i="1" s="1"/>
  <c r="W44" i="1"/>
  <c r="X44" i="1"/>
  <c r="Y44" i="1"/>
  <c r="Z44" i="1"/>
  <c r="K44" i="1" a="1"/>
  <c r="K44" i="1" s="1"/>
  <c r="S44" i="1"/>
  <c r="T44" i="1"/>
  <c r="A44" i="1" a="1"/>
  <c r="A44" i="1" s="1"/>
  <c r="G44" i="1"/>
  <c r="H44" i="1"/>
  <c r="I44" i="1"/>
  <c r="J44" i="1"/>
  <c r="U43" i="1" a="1"/>
  <c r="U43" i="1" s="1"/>
  <c r="K43" i="1" a="1"/>
  <c r="K43" i="1" s="1"/>
  <c r="R43" i="1"/>
  <c r="S43" i="1"/>
  <c r="T43" i="1"/>
  <c r="A43" i="1" a="1"/>
  <c r="A43" i="1" s="1"/>
  <c r="U42" i="1" a="1"/>
  <c r="U42" i="1" s="1"/>
  <c r="X42" i="1"/>
  <c r="Z42" i="1"/>
  <c r="K42" i="1" a="1"/>
  <c r="K42" i="1" s="1"/>
  <c r="O42" i="1"/>
  <c r="Q42" i="1"/>
  <c r="A42" i="1" a="1"/>
  <c r="A42" i="1" s="1"/>
  <c r="C42" i="1"/>
  <c r="E42" i="1"/>
  <c r="F42" i="1"/>
  <c r="G42" i="1"/>
  <c r="H42" i="1"/>
  <c r="U41" i="1" a="1"/>
  <c r="U41" i="1" s="1"/>
  <c r="W41" i="1"/>
  <c r="X41" i="1"/>
  <c r="Z41" i="1"/>
  <c r="K41" i="1" a="1"/>
  <c r="K41" i="1" s="1"/>
  <c r="M41" i="1"/>
  <c r="N41" i="1"/>
  <c r="O41" i="1"/>
  <c r="P41" i="1"/>
  <c r="Q41" i="1"/>
  <c r="R41" i="1"/>
  <c r="S41" i="1"/>
  <c r="A41" i="1" a="1"/>
  <c r="A41" i="1" s="1"/>
  <c r="F41" i="1"/>
  <c r="G41" i="1"/>
  <c r="H41" i="1"/>
  <c r="I41" i="1"/>
  <c r="J41" i="1"/>
  <c r="U40" i="1" a="1"/>
  <c r="U40" i="1" s="1"/>
  <c r="Z40" i="1"/>
  <c r="K40" i="1" a="1"/>
  <c r="K40" i="1" s="1"/>
  <c r="Q40" i="1"/>
  <c r="S40" i="1"/>
  <c r="T40" i="1"/>
  <c r="A40" i="1" a="1"/>
  <c r="A40" i="1" s="1"/>
  <c r="E40" i="1"/>
  <c r="F40" i="1"/>
  <c r="G40" i="1"/>
  <c r="U39" i="1" a="1"/>
  <c r="Z39" i="1" s="1"/>
  <c r="U39" i="1"/>
  <c r="V39" i="1"/>
  <c r="W39" i="1"/>
  <c r="X39" i="1"/>
  <c r="Y39" i="1"/>
  <c r="K39" i="1" a="1"/>
  <c r="K39" i="1" s="1"/>
  <c r="M39" i="1"/>
  <c r="N39" i="1"/>
  <c r="O39" i="1"/>
  <c r="P39" i="1"/>
  <c r="Q39" i="1"/>
  <c r="R39" i="1"/>
  <c r="S39" i="1"/>
  <c r="T39" i="1"/>
  <c r="A39" i="1" a="1"/>
  <c r="A39" i="1" s="1"/>
  <c r="F39" i="1"/>
  <c r="H39" i="1"/>
  <c r="U38" i="1" a="1"/>
  <c r="U38" i="1" s="1"/>
  <c r="X38" i="1"/>
  <c r="Y38" i="1"/>
  <c r="Z38" i="1"/>
  <c r="K38" i="1" a="1"/>
  <c r="K38" i="1" s="1"/>
  <c r="M38" i="1"/>
  <c r="A38" i="1" a="1"/>
  <c r="A38" i="1" s="1"/>
  <c r="H38" i="1"/>
  <c r="I38" i="1"/>
  <c r="U37" i="1" a="1"/>
  <c r="U37" i="1" s="1"/>
  <c r="Z37" i="1"/>
  <c r="K37" i="1" a="1"/>
  <c r="K37" i="1" s="1"/>
  <c r="R37" i="1"/>
  <c r="S37" i="1"/>
  <c r="T37" i="1"/>
  <c r="A37" i="1" a="1"/>
  <c r="A37" i="1" s="1"/>
  <c r="U36" i="1" a="1"/>
  <c r="U36" i="1" s="1"/>
  <c r="K36" i="1" a="1"/>
  <c r="K36" i="1" s="1"/>
  <c r="A36" i="1" a="1"/>
  <c r="A36" i="1" s="1"/>
  <c r="U35" i="1" a="1"/>
  <c r="U35" i="1" s="1"/>
  <c r="K35" i="1" a="1"/>
  <c r="K35" i="1" s="1"/>
  <c r="Q35" i="1"/>
  <c r="S35" i="1"/>
  <c r="T35" i="1"/>
  <c r="A35" i="1" a="1"/>
  <c r="A35" i="1" s="1"/>
  <c r="U34" i="1" a="1"/>
  <c r="U34" i="1" s="1"/>
  <c r="V34" i="1"/>
  <c r="K34" i="1" a="1"/>
  <c r="K34" i="1" s="1"/>
  <c r="A34" i="1" a="1"/>
  <c r="A34" i="1" s="1"/>
  <c r="G34" i="1"/>
  <c r="I34" i="1"/>
  <c r="J34" i="1"/>
  <c r="U33" i="1" a="1"/>
  <c r="U33" i="1" s="1"/>
  <c r="K33" i="1" a="1"/>
  <c r="K33" i="1" s="1"/>
  <c r="R33" i="1"/>
  <c r="S33" i="1"/>
  <c r="A33" i="1" a="1"/>
  <c r="A33" i="1" s="1"/>
  <c r="U32" i="1" a="1"/>
  <c r="U32" i="1" s="1"/>
  <c r="K32" i="1" a="1"/>
  <c r="K32" i="1" s="1"/>
  <c r="A32" i="1" a="1"/>
  <c r="A32" i="1" s="1"/>
  <c r="F32" i="1"/>
  <c r="G32" i="1"/>
  <c r="H32" i="1"/>
  <c r="U31" i="1" a="1"/>
  <c r="U31" i="1" s="1"/>
  <c r="K31" i="1" a="1"/>
  <c r="K31" i="1" s="1"/>
  <c r="Q31" i="1"/>
  <c r="R31" i="1"/>
  <c r="S31" i="1"/>
  <c r="A31" i="1" a="1"/>
  <c r="A31" i="1" s="1"/>
  <c r="H31" i="1"/>
  <c r="I31" i="1"/>
  <c r="J31" i="1"/>
  <c r="U30" i="1" a="1"/>
  <c r="U30" i="1" s="1"/>
  <c r="K30" i="1" a="1"/>
  <c r="K30" i="1" s="1"/>
  <c r="A30" i="1" a="1"/>
  <c r="A30" i="1" s="1"/>
  <c r="U29" i="1" a="1"/>
  <c r="U29" i="1" s="1"/>
  <c r="K29" i="1" a="1"/>
  <c r="K29" i="1" s="1"/>
  <c r="P29" i="1"/>
  <c r="A29" i="1" a="1"/>
  <c r="A29" i="1" s="1"/>
  <c r="U28" i="1" a="1"/>
  <c r="U28" i="1" s="1"/>
  <c r="K28" i="1" a="1"/>
  <c r="K28" i="1" s="1"/>
  <c r="O28" i="1"/>
  <c r="A28" i="1" a="1"/>
  <c r="A28" i="1" s="1"/>
  <c r="E28" i="1"/>
  <c r="F28" i="1"/>
  <c r="G28" i="1"/>
  <c r="H28" i="1"/>
  <c r="I28" i="1"/>
  <c r="J28" i="1"/>
  <c r="U27" i="1" a="1"/>
  <c r="U27" i="1" s="1"/>
  <c r="V27" i="1"/>
  <c r="W27" i="1"/>
  <c r="K27" i="1" a="1"/>
  <c r="K27" i="1" s="1"/>
  <c r="T27" i="1"/>
  <c r="A27" i="1" a="1"/>
  <c r="A27" i="1" s="1"/>
  <c r="G27" i="1"/>
  <c r="U26" i="1" a="1"/>
  <c r="U26" i="1" s="1"/>
  <c r="Z26" i="1"/>
  <c r="K26" i="1" a="1"/>
  <c r="K26" i="1" s="1"/>
  <c r="N26" i="1"/>
  <c r="O26" i="1"/>
  <c r="A26" i="1" a="1"/>
  <c r="A26" i="1" s="1"/>
  <c r="I26" i="1"/>
  <c r="J26" i="1"/>
  <c r="U25" i="1" a="1"/>
  <c r="U25" i="1" s="1"/>
  <c r="K25" i="1" a="1"/>
  <c r="K25" i="1" s="1"/>
  <c r="Q25" i="1"/>
  <c r="R25" i="1"/>
  <c r="T25" i="1"/>
  <c r="A25" i="1" a="1"/>
  <c r="A25" i="1" s="1"/>
  <c r="U24" i="1" a="1"/>
  <c r="U24" i="1" s="1"/>
  <c r="K24" i="1" a="1"/>
  <c r="K24" i="1" s="1"/>
  <c r="M24" i="1"/>
  <c r="N24" i="1"/>
  <c r="O24" i="1"/>
  <c r="P24" i="1"/>
  <c r="Q24" i="1"/>
  <c r="R24" i="1"/>
  <c r="S24" i="1"/>
  <c r="T24" i="1"/>
  <c r="A24" i="1" a="1"/>
  <c r="A24" i="1" s="1"/>
  <c r="U23" i="1" a="1"/>
  <c r="U23" i="1" s="1"/>
  <c r="K23" i="1" a="1"/>
  <c r="K23" i="1" s="1"/>
  <c r="Q23" i="1"/>
  <c r="A23" i="1" a="1"/>
  <c r="A23" i="1" s="1"/>
  <c r="D23" i="1"/>
  <c r="U22" i="1" a="1"/>
  <c r="U22" i="1" s="1"/>
  <c r="K22" i="1" a="1"/>
  <c r="K22" i="1" s="1"/>
  <c r="N22" i="1"/>
  <c r="A22" i="1" a="1"/>
  <c r="A22" i="1" s="1"/>
  <c r="U21" i="1" a="1"/>
  <c r="U21" i="1" s="1"/>
  <c r="K21" i="1" a="1"/>
  <c r="K21" i="1" s="1"/>
  <c r="T21" i="1"/>
  <c r="A21" i="1" a="1"/>
  <c r="A21" i="1" s="1"/>
  <c r="U20" i="1" a="1"/>
  <c r="U20" i="1" s="1"/>
  <c r="K20" i="1" a="1"/>
  <c r="K20" i="1" s="1"/>
  <c r="O20" i="1"/>
  <c r="R20" i="1"/>
  <c r="S20" i="1"/>
  <c r="A20" i="1" a="1"/>
  <c r="A20" i="1" s="1"/>
  <c r="F20" i="1"/>
  <c r="H20" i="1"/>
  <c r="I20" i="1"/>
  <c r="J20" i="1"/>
  <c r="U19" i="1" a="1"/>
  <c r="U19" i="1" s="1"/>
  <c r="K19" i="1" a="1"/>
  <c r="K19" i="1" s="1"/>
  <c r="R19" i="1"/>
  <c r="S19" i="1"/>
  <c r="T19" i="1"/>
  <c r="A19" i="1" a="1"/>
  <c r="A19" i="1" s="1"/>
  <c r="G19" i="1"/>
  <c r="H19" i="1"/>
  <c r="J19" i="1"/>
  <c r="U18" i="1" a="1"/>
  <c r="U18" i="1" s="1"/>
  <c r="V18" i="1"/>
  <c r="W18" i="1"/>
  <c r="X18" i="1"/>
  <c r="Y18" i="1"/>
  <c r="Z18" i="1"/>
  <c r="K18" i="1" a="1"/>
  <c r="K18" i="1" s="1"/>
  <c r="A18" i="1" a="1"/>
  <c r="A18" i="1" s="1"/>
  <c r="U17" i="1" a="1"/>
  <c r="V17" i="1" s="1"/>
  <c r="U17" i="1"/>
  <c r="X17" i="1"/>
  <c r="Y17" i="1"/>
  <c r="K17" i="1" a="1"/>
  <c r="K17" i="1" s="1"/>
  <c r="A17" i="1" a="1"/>
  <c r="A17" i="1" s="1"/>
  <c r="U16" i="1" a="1"/>
  <c r="U16" i="1" s="1"/>
  <c r="K16" i="1" a="1"/>
  <c r="K16" i="1" s="1"/>
  <c r="T16" i="1"/>
  <c r="A16" i="1" a="1"/>
  <c r="A16" i="1" s="1"/>
  <c r="D16" i="1"/>
  <c r="E16" i="1"/>
  <c r="F16" i="1"/>
  <c r="H16" i="1"/>
  <c r="U15" i="1" a="1"/>
  <c r="U15" i="1" s="1"/>
  <c r="K15" i="1" a="1"/>
  <c r="L15" i="1" s="1"/>
  <c r="K15" i="1"/>
  <c r="M15" i="1"/>
  <c r="O15" i="1"/>
  <c r="P15" i="1"/>
  <c r="Q15" i="1"/>
  <c r="S15" i="1"/>
  <c r="T15" i="1"/>
  <c r="A15" i="1" a="1"/>
  <c r="A15" i="1" s="1"/>
  <c r="U14" i="1" a="1"/>
  <c r="U14" i="1" s="1"/>
  <c r="K14" i="1" a="1"/>
  <c r="K14" i="1" s="1"/>
  <c r="A14" i="1" a="1"/>
  <c r="A14" i="1" s="1"/>
  <c r="U13" i="1" a="1"/>
  <c r="U13" i="1" s="1"/>
  <c r="K13" i="1" a="1"/>
  <c r="K13" i="1" s="1"/>
  <c r="A13" i="1" a="1"/>
  <c r="A13" i="1" s="1"/>
  <c r="U12" i="1" a="1"/>
  <c r="U12" i="1" s="1"/>
  <c r="Z12" i="1"/>
  <c r="K12" i="1" a="1"/>
  <c r="K12" i="1" s="1"/>
  <c r="A12" i="1" a="1"/>
  <c r="A12" i="1" s="1"/>
  <c r="U11" i="1" a="1"/>
  <c r="U11" i="1" s="1"/>
  <c r="K11" i="1" a="1"/>
  <c r="K11" i="1" s="1"/>
  <c r="A11" i="1" a="1"/>
  <c r="A11" i="1" s="1"/>
  <c r="U10" i="1" a="1"/>
  <c r="U10" i="1" s="1"/>
  <c r="W10" i="1"/>
  <c r="K10" i="1" a="1"/>
  <c r="K10" i="1" s="1"/>
  <c r="A10" i="1" a="1"/>
  <c r="A10" i="1" s="1"/>
  <c r="U9" i="1" a="1"/>
  <c r="U9" i="1" s="1"/>
  <c r="K9" i="1" a="1"/>
  <c r="K9" i="1" s="1"/>
  <c r="O9" i="1"/>
  <c r="R9" i="1"/>
  <c r="S9" i="1"/>
  <c r="A9" i="1" a="1"/>
  <c r="A9" i="1" s="1"/>
  <c r="U8" i="1" a="1"/>
  <c r="U8" i="1" s="1"/>
  <c r="K8" i="1" a="1"/>
  <c r="K8" i="1" s="1"/>
  <c r="A8" i="1" a="1"/>
  <c r="A8" i="1" s="1"/>
  <c r="U7" i="1" a="1"/>
  <c r="U7" i="1" s="1"/>
  <c r="K7" i="1" a="1"/>
  <c r="K7" i="1" s="1"/>
  <c r="A7" i="1" a="1"/>
  <c r="A7" i="1" s="1"/>
  <c r="U6" i="1" a="1"/>
  <c r="U6" i="1" s="1"/>
  <c r="K6" i="1" a="1"/>
  <c r="K6" i="1" s="1"/>
  <c r="A6" i="1" a="1"/>
  <c r="A6" i="1" s="1"/>
  <c r="U5" i="1" a="1"/>
  <c r="U5" i="1" s="1"/>
  <c r="K5" i="1" a="1"/>
  <c r="K5" i="1" s="1"/>
  <c r="A5" i="1" a="1"/>
  <c r="A5" i="1" s="1"/>
  <c r="U4" i="1" a="1"/>
  <c r="U4" i="1" s="1"/>
  <c r="K4" i="1" a="1"/>
  <c r="K4" i="1" s="1"/>
  <c r="A4" i="1" a="1"/>
  <c r="A4" i="1" s="1"/>
  <c r="U3" i="1" a="1"/>
  <c r="U3" i="1" s="1"/>
  <c r="K3" i="1" a="1"/>
  <c r="K3" i="1" s="1"/>
  <c r="A3" i="1" a="1"/>
  <c r="A3" i="1" s="1"/>
  <c r="U2" i="1" a="1"/>
  <c r="U2" i="1" s="1"/>
  <c r="K2" i="1" a="1"/>
  <c r="K2" i="1" s="1"/>
  <c r="A2" i="1" a="1"/>
  <c r="A2" i="1" s="1"/>
  <c r="Y37" i="1" l="1"/>
  <c r="G39" i="1"/>
  <c r="P42" i="1"/>
  <c r="P48" i="1"/>
  <c r="Z51" i="1"/>
  <c r="O54" i="1"/>
  <c r="X56" i="1"/>
  <c r="E58" i="1"/>
  <c r="Q59" i="1"/>
  <c r="G61" i="1"/>
  <c r="J64" i="1"/>
  <c r="C65" i="1"/>
  <c r="Q68" i="1"/>
  <c r="G72" i="1"/>
  <c r="G75" i="1"/>
  <c r="R76" i="1"/>
  <c r="R78" i="1"/>
  <c r="J80" i="1"/>
  <c r="W82" i="1"/>
  <c r="G84" i="1"/>
  <c r="Q85" i="1"/>
  <c r="V87" i="1"/>
  <c r="S91" i="1"/>
  <c r="J97" i="1"/>
  <c r="J38" i="1"/>
  <c r="E39" i="1"/>
  <c r="D40" i="1"/>
  <c r="N42" i="1"/>
  <c r="E61" i="1"/>
  <c r="H64" i="1"/>
  <c r="T65" i="1"/>
  <c r="O68" i="1"/>
  <c r="I70" i="1"/>
  <c r="T72" i="1"/>
  <c r="I74" i="1"/>
  <c r="E75" i="1"/>
  <c r="P76" i="1"/>
  <c r="P78" i="1"/>
  <c r="H80" i="1"/>
  <c r="N81" i="1"/>
  <c r="E84" i="1"/>
  <c r="O85" i="1"/>
  <c r="X86" i="1"/>
  <c r="Q91" i="1"/>
  <c r="I94" i="1"/>
  <c r="N95" i="1"/>
  <c r="T97" i="1"/>
  <c r="J100" i="1"/>
  <c r="W87" i="1"/>
  <c r="M42" i="1"/>
  <c r="R47" i="1"/>
  <c r="J52" i="1"/>
  <c r="Y54" i="1"/>
  <c r="G64" i="1"/>
  <c r="S65" i="1"/>
  <c r="N68" i="1"/>
  <c r="H70" i="1"/>
  <c r="H74" i="1"/>
  <c r="O76" i="1"/>
  <c r="O78" i="1"/>
  <c r="G80" i="1"/>
  <c r="D84" i="1"/>
  <c r="N85" i="1"/>
  <c r="W86" i="1"/>
  <c r="T89" i="1"/>
  <c r="P91" i="1"/>
  <c r="H94" i="1"/>
  <c r="S97" i="1"/>
  <c r="I100" i="1"/>
  <c r="S89" i="1"/>
  <c r="O91" i="1"/>
  <c r="G94" i="1"/>
  <c r="G38" i="1"/>
  <c r="F38" i="1"/>
  <c r="R40" i="1"/>
  <c r="Y42" i="1"/>
  <c r="R44" i="1"/>
  <c r="F46" i="1"/>
  <c r="O47" i="1"/>
  <c r="H49" i="1"/>
  <c r="O50" i="1"/>
  <c r="G52" i="1"/>
  <c r="O53" i="1"/>
  <c r="J55" i="1"/>
  <c r="R61" i="1"/>
  <c r="P65" i="1"/>
  <c r="Q67" i="1"/>
  <c r="P72" i="1"/>
  <c r="E74" i="1"/>
  <c r="Y78" i="1"/>
  <c r="S80" i="1"/>
  <c r="X81" i="1"/>
  <c r="F83" i="1"/>
  <c r="F88" i="1"/>
  <c r="T94" i="1"/>
  <c r="F52" i="1"/>
  <c r="I55" i="1"/>
  <c r="O65" i="1"/>
  <c r="R80" i="1"/>
  <c r="H87" i="1"/>
  <c r="E88" i="1"/>
  <c r="J90" i="1"/>
  <c r="Y91" i="1"/>
  <c r="S94" i="1"/>
  <c r="W95" i="1"/>
  <c r="J98" i="1"/>
  <c r="J37" i="1"/>
  <c r="T38" i="1"/>
  <c r="P40" i="1"/>
  <c r="Y41" i="1"/>
  <c r="Z47" i="1"/>
  <c r="F49" i="1"/>
  <c r="E52" i="1"/>
  <c r="H55" i="1"/>
  <c r="F60" i="1"/>
  <c r="P61" i="1"/>
  <c r="I63" i="1"/>
  <c r="Q64" i="1"/>
  <c r="N65" i="1"/>
  <c r="O67" i="1"/>
  <c r="Q70" i="1"/>
  <c r="N72" i="1"/>
  <c r="T74" i="1"/>
  <c r="P75" i="1"/>
  <c r="T77" i="1"/>
  <c r="J79" i="1"/>
  <c r="Q80" i="1"/>
  <c r="J82" i="1"/>
  <c r="T83" i="1"/>
  <c r="Q84" i="1"/>
  <c r="J86" i="1"/>
  <c r="D88" i="1"/>
  <c r="I90" i="1"/>
  <c r="R94" i="1"/>
  <c r="I98" i="1"/>
  <c r="Q100" i="1"/>
  <c r="I37" i="1"/>
  <c r="S38" i="1"/>
  <c r="O40" i="1"/>
  <c r="J43" i="1"/>
  <c r="T46" i="1"/>
  <c r="Z53" i="1"/>
  <c r="S74" i="1"/>
  <c r="S77" i="1"/>
  <c r="I79" i="1"/>
  <c r="S83" i="1"/>
  <c r="H90" i="1"/>
  <c r="P100" i="1"/>
  <c r="H37" i="1"/>
  <c r="R38" i="1"/>
  <c r="I43" i="1"/>
  <c r="S46" i="1"/>
  <c r="S57" i="1"/>
  <c r="R74" i="1"/>
  <c r="R83" i="1"/>
  <c r="I92" i="1"/>
  <c r="Z94" i="1"/>
  <c r="I96" i="1"/>
  <c r="T98" i="1"/>
  <c r="O100" i="1"/>
  <c r="G37" i="1"/>
  <c r="Q38" i="1"/>
  <c r="H43" i="1"/>
  <c r="R46" i="1"/>
  <c r="S52" i="1"/>
  <c r="J54" i="1"/>
  <c r="T55" i="1"/>
  <c r="R57" i="1"/>
  <c r="X58" i="1"/>
  <c r="F63" i="1"/>
  <c r="N64" i="1"/>
  <c r="Y65" i="1"/>
  <c r="Y67" i="1"/>
  <c r="H69" i="1"/>
  <c r="N70" i="1"/>
  <c r="Q74" i="1"/>
  <c r="Q77" i="1"/>
  <c r="T79" i="1"/>
  <c r="G82" i="1"/>
  <c r="Q83" i="1"/>
  <c r="G86" i="1"/>
  <c r="S88" i="1"/>
  <c r="T90" i="1"/>
  <c r="H92" i="1"/>
  <c r="Y94" i="1"/>
  <c r="H96" i="1"/>
  <c r="S98" i="1"/>
  <c r="N100" i="1"/>
  <c r="F37" i="1"/>
  <c r="P38" i="1"/>
  <c r="Y40" i="1"/>
  <c r="J42" i="1"/>
  <c r="G43" i="1"/>
  <c r="Q46" i="1"/>
  <c r="J48" i="1"/>
  <c r="T49" i="1"/>
  <c r="J51" i="1"/>
  <c r="R52" i="1"/>
  <c r="I54" i="1"/>
  <c r="S55" i="1"/>
  <c r="Q57" i="1"/>
  <c r="W58" i="1"/>
  <c r="T60" i="1"/>
  <c r="J62" i="1"/>
  <c r="X65" i="1"/>
  <c r="X67" i="1"/>
  <c r="G69" i="1"/>
  <c r="M70" i="1"/>
  <c r="P74" i="1"/>
  <c r="Z75" i="1"/>
  <c r="P77" i="1"/>
  <c r="S79" i="1"/>
  <c r="F82" i="1"/>
  <c r="P83" i="1"/>
  <c r="Z84" i="1"/>
  <c r="F86" i="1"/>
  <c r="T87" i="1"/>
  <c r="R88" i="1"/>
  <c r="S90" i="1"/>
  <c r="G92" i="1"/>
  <c r="G96" i="1"/>
  <c r="R98" i="1"/>
  <c r="E37" i="1"/>
  <c r="O38" i="1"/>
  <c r="I42" i="1"/>
  <c r="F43" i="1"/>
  <c r="J45" i="1"/>
  <c r="P46" i="1"/>
  <c r="I48" i="1"/>
  <c r="S49" i="1"/>
  <c r="I51" i="1"/>
  <c r="Q52" i="1"/>
  <c r="H54" i="1"/>
  <c r="R55" i="1"/>
  <c r="P57" i="1"/>
  <c r="S60" i="1"/>
  <c r="I62" i="1"/>
  <c r="T63" i="1"/>
  <c r="Z64" i="1"/>
  <c r="F69" i="1"/>
  <c r="J73" i="1"/>
  <c r="O74" i="1"/>
  <c r="Y75" i="1"/>
  <c r="O77" i="1"/>
  <c r="R79" i="1"/>
  <c r="J81" i="1"/>
  <c r="O83" i="1"/>
  <c r="Y84" i="1"/>
  <c r="E86" i="1"/>
  <c r="S87" i="1"/>
  <c r="Q88" i="1"/>
  <c r="R90" i="1"/>
  <c r="F96" i="1"/>
  <c r="Q98" i="1"/>
  <c r="D37" i="1"/>
  <c r="N38" i="1"/>
  <c r="E43" i="1"/>
  <c r="I45" i="1"/>
  <c r="O46" i="1"/>
  <c r="R49" i="1"/>
  <c r="H51" i="1"/>
  <c r="G54" i="1"/>
  <c r="Q55" i="1"/>
  <c r="R60" i="1"/>
  <c r="H62" i="1"/>
  <c r="S63" i="1"/>
  <c r="Y64" i="1"/>
  <c r="F66" i="1"/>
  <c r="I73" i="1"/>
  <c r="N74" i="1"/>
  <c r="X75" i="1"/>
  <c r="N77" i="1"/>
  <c r="Q79" i="1"/>
  <c r="I81" i="1"/>
  <c r="T82" i="1"/>
  <c r="N83" i="1"/>
  <c r="X84" i="1"/>
  <c r="D86" i="1"/>
  <c r="R87" i="1"/>
  <c r="P88" i="1"/>
  <c r="Q90" i="1"/>
  <c r="T92" i="1"/>
  <c r="I95" i="1"/>
  <c r="E96" i="1"/>
  <c r="P98" i="1"/>
  <c r="J101" i="1"/>
  <c r="Q49" i="1"/>
  <c r="Z52" i="1"/>
  <c r="F54" i="1"/>
  <c r="Z57" i="1"/>
  <c r="Q60" i="1"/>
  <c r="T69" i="1"/>
  <c r="P79" i="1"/>
  <c r="M83" i="1"/>
  <c r="Q87" i="1"/>
  <c r="O88" i="1"/>
  <c r="P90" i="1"/>
  <c r="S92" i="1"/>
  <c r="Y46" i="1"/>
  <c r="P49" i="1"/>
  <c r="F51" i="1"/>
  <c r="Y52" i="1"/>
  <c r="E54" i="1"/>
  <c r="Y57" i="1"/>
  <c r="P60" i="1"/>
  <c r="Q63" i="1"/>
  <c r="S69" i="1"/>
  <c r="I71" i="1"/>
  <c r="O79" i="1"/>
  <c r="T86" i="1"/>
  <c r="R92" i="1"/>
  <c r="N98" i="1"/>
  <c r="T101" i="1"/>
  <c r="T45" i="1"/>
  <c r="O49" i="1"/>
  <c r="X52" i="1"/>
  <c r="D54" i="1"/>
  <c r="X57" i="1"/>
  <c r="O60" i="1"/>
  <c r="P63" i="1"/>
  <c r="J65" i="1"/>
  <c r="Z66" i="1"/>
  <c r="R69" i="1"/>
  <c r="H71" i="1"/>
  <c r="N79" i="1"/>
  <c r="F81" i="1"/>
  <c r="S86" i="1"/>
  <c r="Q92" i="1"/>
  <c r="F95" i="1"/>
  <c r="T96" i="1"/>
  <c r="M98" i="1"/>
  <c r="S101" i="1"/>
  <c r="I65" i="1"/>
  <c r="Q69" i="1"/>
  <c r="R86" i="1"/>
  <c r="R101" i="1"/>
  <c r="T51" i="1"/>
  <c r="Q37" i="1"/>
  <c r="E41" i="1"/>
  <c r="Q43" i="1"/>
  <c r="R45" i="1"/>
  <c r="I47" i="1"/>
  <c r="S51" i="1"/>
  <c r="J53" i="1"/>
  <c r="T54" i="1"/>
  <c r="J58" i="1"/>
  <c r="S62" i="1"/>
  <c r="Z63" i="1"/>
  <c r="H65" i="1"/>
  <c r="P69" i="1"/>
  <c r="Z79" i="1"/>
  <c r="Q86" i="1"/>
  <c r="J89" i="1"/>
  <c r="I91" i="1"/>
  <c r="R96" i="1"/>
  <c r="P37" i="1"/>
  <c r="J40" i="1"/>
  <c r="D41" i="1"/>
  <c r="T42" i="1"/>
  <c r="P43" i="1"/>
  <c r="Q45" i="1"/>
  <c r="H47" i="1"/>
  <c r="T48" i="1"/>
  <c r="J50" i="1"/>
  <c r="R51" i="1"/>
  <c r="I53" i="1"/>
  <c r="S54" i="1"/>
  <c r="R56" i="1"/>
  <c r="I58" i="1"/>
  <c r="R62" i="1"/>
  <c r="Y63" i="1"/>
  <c r="G65" i="1"/>
  <c r="J67" i="1"/>
  <c r="O69" i="1"/>
  <c r="R73" i="1"/>
  <c r="F76" i="1"/>
  <c r="Y79" i="1"/>
  <c r="T81" i="1"/>
  <c r="P86" i="1"/>
  <c r="Z87" i="1"/>
  <c r="I89" i="1"/>
  <c r="H91" i="1"/>
  <c r="T95" i="1"/>
  <c r="Q96" i="1"/>
  <c r="J99" i="1"/>
  <c r="Z101" i="1"/>
  <c r="O37" i="1"/>
  <c r="J39" i="1"/>
  <c r="I40" i="1"/>
  <c r="S42" i="1"/>
  <c r="P45" i="1"/>
  <c r="G47" i="1"/>
  <c r="S48" i="1"/>
  <c r="I50" i="1"/>
  <c r="Q51" i="1"/>
  <c r="H53" i="1"/>
  <c r="R54" i="1"/>
  <c r="H58" i="1"/>
  <c r="T59" i="1"/>
  <c r="J61" i="1"/>
  <c r="Q62" i="1"/>
  <c r="X63" i="1"/>
  <c r="F65" i="1"/>
  <c r="I67" i="1"/>
  <c r="T68" i="1"/>
  <c r="N69" i="1"/>
  <c r="J72" i="1"/>
  <c r="J75" i="1"/>
  <c r="X79" i="1"/>
  <c r="S81" i="1"/>
  <c r="Z82" i="1"/>
  <c r="J84" i="1"/>
  <c r="T85" i="1"/>
  <c r="O86" i="1"/>
  <c r="Y87" i="1"/>
  <c r="H89" i="1"/>
  <c r="G91" i="1"/>
  <c r="T93" i="1"/>
  <c r="S95" i="1"/>
  <c r="P96" i="1"/>
  <c r="I99" i="1"/>
  <c r="Y101" i="1"/>
  <c r="I39" i="1"/>
  <c r="H40" i="1"/>
  <c r="T41" i="1"/>
  <c r="R42" i="1"/>
  <c r="O45" i="1"/>
  <c r="F47" i="1"/>
  <c r="R48" i="1"/>
  <c r="H50" i="1"/>
  <c r="P51" i="1"/>
  <c r="G53" i="1"/>
  <c r="Q54" i="1"/>
  <c r="Z56" i="1"/>
  <c r="G58" i="1"/>
  <c r="S59" i="1"/>
  <c r="I61" i="1"/>
  <c r="P62" i="1"/>
  <c r="W63" i="1"/>
  <c r="E65" i="1"/>
  <c r="H67" i="1"/>
  <c r="S68" i="1"/>
  <c r="M69" i="1"/>
  <c r="I72" i="1"/>
  <c r="Z73" i="1"/>
  <c r="I75" i="1"/>
  <c r="T76" i="1"/>
  <c r="T78" i="1"/>
  <c r="W79" i="1"/>
  <c r="R81" i="1"/>
  <c r="Y82" i="1"/>
  <c r="I84" i="1"/>
  <c r="S85" i="1"/>
  <c r="M86" i="1"/>
  <c r="X87" i="1"/>
  <c r="G89" i="1"/>
  <c r="S93" i="1"/>
  <c r="R95" i="1"/>
  <c r="Y9" i="1"/>
  <c r="T20" i="1"/>
  <c r="H22" i="1"/>
  <c r="S23" i="1"/>
  <c r="H25" i="1"/>
  <c r="P26" i="1"/>
  <c r="R29" i="1"/>
  <c r="Y30" i="1"/>
  <c r="X33" i="1"/>
  <c r="E35" i="1"/>
  <c r="N36" i="1"/>
  <c r="O66" i="1"/>
  <c r="G30" i="1"/>
  <c r="X9" i="1"/>
  <c r="J17" i="1"/>
  <c r="G22" i="1"/>
  <c r="R23" i="1"/>
  <c r="Q29" i="1"/>
  <c r="X30" i="1"/>
  <c r="M36" i="1"/>
  <c r="N66" i="1"/>
  <c r="F22" i="1"/>
  <c r="N15" i="1"/>
  <c r="H17" i="1"/>
  <c r="Q20" i="1"/>
  <c r="E22" i="1"/>
  <c r="P23" i="1"/>
  <c r="S25" i="1"/>
  <c r="M26" i="1"/>
  <c r="O29" i="1"/>
  <c r="E32" i="1"/>
  <c r="Z36" i="1"/>
  <c r="G17" i="1"/>
  <c r="P20" i="1"/>
  <c r="D22" i="1"/>
  <c r="O23" i="1"/>
  <c r="N29" i="1"/>
  <c r="H34" i="1"/>
  <c r="R35" i="1"/>
  <c r="Y36" i="1"/>
  <c r="X66" i="1"/>
  <c r="G71" i="1"/>
  <c r="I17" i="1"/>
  <c r="T17" i="1"/>
  <c r="N20" i="1"/>
  <c r="T22" i="1"/>
  <c r="P25" i="1"/>
  <c r="Y26" i="1"/>
  <c r="Z29" i="1"/>
  <c r="G31" i="1"/>
  <c r="S32" i="1"/>
  <c r="P35" i="1"/>
  <c r="F71" i="1"/>
  <c r="S17" i="1"/>
  <c r="S22" i="1"/>
  <c r="O25" i="1"/>
  <c r="X26" i="1"/>
  <c r="T28" i="1"/>
  <c r="Y29" i="1"/>
  <c r="F31" i="1"/>
  <c r="R32" i="1"/>
  <c r="T34" i="1"/>
  <c r="O35" i="1"/>
  <c r="E71" i="1"/>
  <c r="T32" i="1"/>
  <c r="J16" i="1"/>
  <c r="R17" i="1"/>
  <c r="I19" i="1"/>
  <c r="Z20" i="1"/>
  <c r="R22" i="1"/>
  <c r="N25" i="1"/>
  <c r="S28" i="1"/>
  <c r="Q32" i="1"/>
  <c r="S34" i="1"/>
  <c r="I16" i="1"/>
  <c r="Q17" i="1"/>
  <c r="Y20" i="1"/>
  <c r="Q22" i="1"/>
  <c r="J27" i="1"/>
  <c r="R28" i="1"/>
  <c r="J30" i="1"/>
  <c r="T31" i="1"/>
  <c r="P32" i="1"/>
  <c r="R34" i="1"/>
  <c r="Z35" i="1"/>
  <c r="T71" i="1"/>
  <c r="Q34" i="1"/>
  <c r="Y35" i="1"/>
  <c r="S71" i="1"/>
  <c r="X20" i="1"/>
  <c r="P22" i="1"/>
  <c r="Z25" i="1"/>
  <c r="I27" i="1"/>
  <c r="Q28" i="1"/>
  <c r="I30" i="1"/>
  <c r="G16" i="1"/>
  <c r="Z17" i="1"/>
  <c r="V20" i="1"/>
  <c r="O22" i="1"/>
  <c r="Y25" i="1"/>
  <c r="H27" i="1"/>
  <c r="P28" i="1"/>
  <c r="H30" i="1"/>
  <c r="Z32" i="1"/>
  <c r="P34" i="1"/>
  <c r="R71" i="1"/>
  <c r="J36" i="1"/>
  <c r="J66" i="1"/>
  <c r="Q71" i="1"/>
  <c r="P31" i="1"/>
  <c r="J33" i="1"/>
  <c r="Z34" i="1"/>
  <c r="I36" i="1"/>
  <c r="I66" i="1"/>
  <c r="P71" i="1"/>
  <c r="T30" i="1"/>
  <c r="O31" i="1"/>
  <c r="I33" i="1"/>
  <c r="Y34" i="1"/>
  <c r="H36" i="1"/>
  <c r="H66" i="1"/>
  <c r="O71" i="1"/>
  <c r="T9" i="1"/>
  <c r="C16" i="1"/>
  <c r="Q19" i="1"/>
  <c r="S21" i="1"/>
  <c r="J23" i="1"/>
  <c r="H26" i="1"/>
  <c r="S27" i="1"/>
  <c r="J29" i="1"/>
  <c r="S30" i="1"/>
  <c r="N31" i="1"/>
  <c r="X34" i="1"/>
  <c r="G36" i="1"/>
  <c r="G66" i="1"/>
  <c r="N71" i="1"/>
  <c r="P19" i="1"/>
  <c r="R21" i="1"/>
  <c r="I23" i="1"/>
  <c r="G26" i="1"/>
  <c r="R27" i="1"/>
  <c r="I29" i="1"/>
  <c r="R30" i="1"/>
  <c r="M31" i="1"/>
  <c r="T33" i="1"/>
  <c r="W34" i="1"/>
  <c r="F36" i="1"/>
  <c r="T18" i="1"/>
  <c r="Q21" i="1"/>
  <c r="H23" i="1"/>
  <c r="Z24" i="1"/>
  <c r="F26" i="1"/>
  <c r="H29" i="1"/>
  <c r="Q30" i="1"/>
  <c r="E66" i="1"/>
  <c r="Z71" i="1"/>
  <c r="Q9" i="1"/>
  <c r="S16" i="1"/>
  <c r="S18" i="1"/>
  <c r="P21" i="1"/>
  <c r="G23" i="1"/>
  <c r="Y24" i="1"/>
  <c r="E26" i="1"/>
  <c r="Z27" i="1"/>
  <c r="G29" i="1"/>
  <c r="P30" i="1"/>
  <c r="Z31" i="1"/>
  <c r="T36" i="1"/>
  <c r="Y71" i="1"/>
  <c r="P9" i="1"/>
  <c r="R16" i="1"/>
  <c r="R18" i="1"/>
  <c r="N21" i="1"/>
  <c r="F23" i="1"/>
  <c r="X24" i="1"/>
  <c r="Y27" i="1"/>
  <c r="F29" i="1"/>
  <c r="O30" i="1"/>
  <c r="Y31" i="1"/>
  <c r="Q33" i="1"/>
  <c r="J35" i="1"/>
  <c r="S36" i="1"/>
  <c r="T66" i="1"/>
  <c r="X71" i="1"/>
  <c r="Q16" i="1"/>
  <c r="Q18" i="1"/>
  <c r="E23" i="1"/>
  <c r="W24" i="1"/>
  <c r="T26" i="1"/>
  <c r="X27" i="1"/>
  <c r="E29" i="1"/>
  <c r="N30" i="1"/>
  <c r="X31" i="1"/>
  <c r="P33" i="1"/>
  <c r="I35" i="1"/>
  <c r="R36" i="1"/>
  <c r="S66" i="1"/>
  <c r="V71" i="1"/>
  <c r="N9" i="1"/>
  <c r="P16" i="1"/>
  <c r="P18" i="1"/>
  <c r="S26" i="1"/>
  <c r="M30" i="1"/>
  <c r="H35" i="1"/>
  <c r="Q36" i="1"/>
  <c r="R66" i="1"/>
  <c r="O18" i="1"/>
  <c r="J22" i="1"/>
  <c r="J25" i="1"/>
  <c r="R26" i="1"/>
  <c r="T29" i="1"/>
  <c r="J32" i="1"/>
  <c r="Z33" i="1"/>
  <c r="G35" i="1"/>
  <c r="P36" i="1"/>
  <c r="Q66" i="1"/>
  <c r="Z9" i="1"/>
  <c r="R15" i="1"/>
  <c r="Y16" i="1"/>
  <c r="N18" i="1"/>
  <c r="I22" i="1"/>
  <c r="T23" i="1"/>
  <c r="I25" i="1"/>
  <c r="Q26" i="1"/>
  <c r="S29" i="1"/>
  <c r="Z30" i="1"/>
  <c r="I32" i="1"/>
  <c r="Y33" i="1"/>
  <c r="F35" i="1"/>
  <c r="O36" i="1"/>
  <c r="P66" i="1"/>
  <c r="X101" i="1"/>
  <c r="W101" i="1"/>
  <c r="V101" i="1"/>
  <c r="Q101" i="1"/>
  <c r="P101" i="1"/>
  <c r="O101" i="1"/>
  <c r="N101" i="1"/>
  <c r="M101" i="1"/>
  <c r="L101" i="1"/>
  <c r="I101" i="1"/>
  <c r="H101" i="1"/>
  <c r="G101" i="1"/>
  <c r="F101" i="1"/>
  <c r="E101" i="1"/>
  <c r="D101" i="1"/>
  <c r="C101" i="1"/>
  <c r="B101" i="1"/>
  <c r="Z100" i="1"/>
  <c r="Y100" i="1"/>
  <c r="X100" i="1"/>
  <c r="W100" i="1"/>
  <c r="V100" i="1"/>
  <c r="M100" i="1"/>
  <c r="L100" i="1"/>
  <c r="H100" i="1"/>
  <c r="G100" i="1"/>
  <c r="F100" i="1"/>
  <c r="E100" i="1"/>
  <c r="D100" i="1"/>
  <c r="C100" i="1"/>
  <c r="B100" i="1"/>
  <c r="Z99" i="1"/>
  <c r="Y99" i="1"/>
  <c r="X99" i="1"/>
  <c r="W99" i="1"/>
  <c r="V99" i="1"/>
  <c r="S99" i="1"/>
  <c r="R99" i="1"/>
  <c r="Q99" i="1"/>
  <c r="P99" i="1"/>
  <c r="O99" i="1"/>
  <c r="N99" i="1"/>
  <c r="M99" i="1"/>
  <c r="L99" i="1"/>
  <c r="H99" i="1"/>
  <c r="G99" i="1"/>
  <c r="F99" i="1"/>
  <c r="E99" i="1"/>
  <c r="D99" i="1"/>
  <c r="C99" i="1"/>
  <c r="B99" i="1"/>
  <c r="Z98" i="1"/>
  <c r="Y98" i="1"/>
  <c r="X98" i="1"/>
  <c r="W98" i="1"/>
  <c r="V98" i="1"/>
  <c r="L98" i="1"/>
  <c r="H98" i="1"/>
  <c r="G98" i="1"/>
  <c r="F98" i="1"/>
  <c r="E98" i="1"/>
  <c r="D98" i="1"/>
  <c r="C98" i="1"/>
  <c r="B98" i="1"/>
  <c r="Z97" i="1"/>
  <c r="Y97" i="1"/>
  <c r="X97" i="1"/>
  <c r="W97" i="1"/>
  <c r="V97" i="1"/>
  <c r="Q97" i="1"/>
  <c r="P97" i="1"/>
  <c r="O97" i="1"/>
  <c r="N97" i="1"/>
  <c r="M97" i="1"/>
  <c r="L97" i="1"/>
  <c r="I97" i="1"/>
  <c r="H97" i="1"/>
  <c r="G97" i="1"/>
  <c r="F97" i="1"/>
  <c r="E97" i="1"/>
  <c r="D97" i="1"/>
  <c r="C97" i="1"/>
  <c r="B97" i="1"/>
  <c r="Z96" i="1"/>
  <c r="Y96" i="1"/>
  <c r="X96" i="1"/>
  <c r="W96" i="1"/>
  <c r="V96" i="1"/>
  <c r="O96" i="1"/>
  <c r="N96" i="1"/>
  <c r="M96" i="1"/>
  <c r="L96" i="1"/>
  <c r="C96" i="1"/>
  <c r="B96" i="1"/>
  <c r="V95" i="1"/>
  <c r="M95" i="1"/>
  <c r="L95" i="1"/>
  <c r="D95" i="1"/>
  <c r="C95" i="1"/>
  <c r="B95" i="1"/>
  <c r="X94" i="1"/>
  <c r="W94" i="1"/>
  <c r="V94" i="1"/>
  <c r="Q94" i="1"/>
  <c r="P94" i="1"/>
  <c r="O94" i="1"/>
  <c r="N94" i="1"/>
  <c r="M94" i="1"/>
  <c r="L94" i="1"/>
  <c r="F94" i="1"/>
  <c r="E94" i="1"/>
  <c r="D94" i="1"/>
  <c r="C94" i="1"/>
  <c r="B94" i="1"/>
  <c r="Z93" i="1"/>
  <c r="Y93" i="1"/>
  <c r="X93" i="1"/>
  <c r="W93" i="1"/>
  <c r="V93" i="1"/>
  <c r="R93" i="1"/>
  <c r="Q93" i="1"/>
  <c r="P93" i="1"/>
  <c r="O93" i="1"/>
  <c r="N93" i="1"/>
  <c r="M93" i="1"/>
  <c r="L93" i="1"/>
  <c r="J93" i="1"/>
  <c r="I93" i="1"/>
  <c r="H93" i="1"/>
  <c r="G93" i="1"/>
  <c r="F93" i="1"/>
  <c r="E93" i="1"/>
  <c r="D93" i="1"/>
  <c r="C93" i="1"/>
  <c r="B93" i="1"/>
  <c r="Z92" i="1"/>
  <c r="Y92" i="1"/>
  <c r="X92" i="1"/>
  <c r="W92" i="1"/>
  <c r="V92" i="1"/>
  <c r="P92" i="1"/>
  <c r="O92" i="1"/>
  <c r="N92" i="1"/>
  <c r="M92" i="1"/>
  <c r="L92" i="1"/>
  <c r="F92" i="1"/>
  <c r="E92" i="1"/>
  <c r="D92" i="1"/>
  <c r="C92" i="1"/>
  <c r="B92" i="1"/>
  <c r="X91" i="1"/>
  <c r="W91" i="1"/>
  <c r="V91" i="1"/>
  <c r="N91" i="1"/>
  <c r="M91" i="1"/>
  <c r="L91" i="1"/>
  <c r="F91" i="1"/>
  <c r="E91" i="1"/>
  <c r="D91" i="1"/>
  <c r="C91" i="1"/>
  <c r="B91" i="1"/>
  <c r="Z90" i="1"/>
  <c r="Y90" i="1"/>
  <c r="X90" i="1"/>
  <c r="W90" i="1"/>
  <c r="V90" i="1"/>
  <c r="O90" i="1"/>
  <c r="N90" i="1"/>
  <c r="M90" i="1"/>
  <c r="L90" i="1"/>
  <c r="G90" i="1"/>
  <c r="F90" i="1"/>
  <c r="E90" i="1"/>
  <c r="D90" i="1"/>
  <c r="C90" i="1"/>
  <c r="B90" i="1"/>
  <c r="Z89" i="1"/>
  <c r="Y89" i="1"/>
  <c r="X89" i="1"/>
  <c r="W89" i="1"/>
  <c r="V89" i="1"/>
  <c r="R89" i="1"/>
  <c r="Q89" i="1"/>
  <c r="P89" i="1"/>
  <c r="O89" i="1"/>
  <c r="N89" i="1"/>
  <c r="M89" i="1"/>
  <c r="L89" i="1"/>
  <c r="C89" i="1"/>
  <c r="B89" i="1"/>
  <c r="Z88" i="1"/>
  <c r="Y88" i="1"/>
  <c r="X88" i="1"/>
  <c r="W88" i="1"/>
  <c r="V88" i="1"/>
  <c r="M88" i="1"/>
  <c r="L88" i="1"/>
  <c r="C88" i="1"/>
  <c r="B88" i="1"/>
  <c r="M87" i="1"/>
  <c r="L87" i="1"/>
  <c r="D87" i="1"/>
  <c r="C87" i="1"/>
  <c r="B87" i="1"/>
  <c r="V86" i="1"/>
  <c r="N86" i="1"/>
  <c r="L86" i="1"/>
  <c r="C86" i="1"/>
  <c r="B86" i="1"/>
  <c r="X85" i="1"/>
  <c r="W85" i="1"/>
  <c r="V85" i="1"/>
  <c r="M85" i="1"/>
  <c r="L85" i="1"/>
  <c r="F85" i="1"/>
  <c r="E85" i="1"/>
  <c r="D85" i="1"/>
  <c r="C85" i="1"/>
  <c r="B85" i="1"/>
  <c r="W84" i="1"/>
  <c r="V84" i="1"/>
  <c r="N84" i="1"/>
  <c r="M84" i="1"/>
  <c r="L84" i="1"/>
  <c r="C84" i="1"/>
  <c r="B84" i="1"/>
  <c r="W83" i="1"/>
  <c r="V83" i="1"/>
  <c r="L83" i="1"/>
  <c r="E83" i="1"/>
  <c r="D83" i="1"/>
  <c r="C83" i="1"/>
  <c r="B83" i="1"/>
  <c r="V82" i="1"/>
  <c r="N82" i="1"/>
  <c r="M82" i="1"/>
  <c r="L82" i="1"/>
  <c r="E82" i="1"/>
  <c r="D82" i="1"/>
  <c r="C82" i="1"/>
  <c r="B82" i="1"/>
  <c r="W81" i="1"/>
  <c r="V81" i="1"/>
  <c r="M81" i="1"/>
  <c r="L81" i="1"/>
  <c r="D81" i="1"/>
  <c r="C81" i="1"/>
  <c r="B81" i="1"/>
  <c r="X80" i="1"/>
  <c r="W80" i="1"/>
  <c r="V80" i="1"/>
  <c r="P80" i="1"/>
  <c r="O80" i="1"/>
  <c r="N80" i="1"/>
  <c r="M80" i="1"/>
  <c r="L80" i="1"/>
  <c r="F80" i="1"/>
  <c r="E80" i="1"/>
  <c r="D80" i="1"/>
  <c r="C80" i="1"/>
  <c r="B80" i="1"/>
  <c r="V79" i="1"/>
  <c r="M79" i="1"/>
  <c r="L79" i="1"/>
  <c r="H79" i="1"/>
  <c r="G79" i="1"/>
  <c r="F79" i="1"/>
  <c r="E79" i="1"/>
  <c r="D79" i="1"/>
  <c r="C79" i="1"/>
  <c r="B79" i="1"/>
  <c r="X78" i="1"/>
  <c r="W78" i="1"/>
  <c r="V78" i="1"/>
  <c r="N78" i="1"/>
  <c r="M78" i="1"/>
  <c r="L78" i="1"/>
  <c r="F78" i="1"/>
  <c r="E78" i="1"/>
  <c r="D78" i="1"/>
  <c r="C78" i="1"/>
  <c r="B78" i="1"/>
  <c r="Z77" i="1"/>
  <c r="Y77" i="1"/>
  <c r="X77" i="1"/>
  <c r="W77" i="1"/>
  <c r="V77" i="1"/>
  <c r="M77" i="1"/>
  <c r="L77" i="1"/>
  <c r="J77" i="1"/>
  <c r="I77" i="1"/>
  <c r="H77" i="1"/>
  <c r="G77" i="1"/>
  <c r="F77" i="1"/>
  <c r="E77" i="1"/>
  <c r="D77" i="1"/>
  <c r="C77" i="1"/>
  <c r="B77" i="1"/>
  <c r="Z76" i="1"/>
  <c r="Y76" i="1"/>
  <c r="X76" i="1"/>
  <c r="W76" i="1"/>
  <c r="V76" i="1"/>
  <c r="M76" i="1"/>
  <c r="L76" i="1"/>
  <c r="E76" i="1"/>
  <c r="D76" i="1"/>
  <c r="C76" i="1"/>
  <c r="B76" i="1"/>
  <c r="W75" i="1"/>
  <c r="V75" i="1"/>
  <c r="M75" i="1"/>
  <c r="L75" i="1"/>
  <c r="D75" i="1"/>
  <c r="C75" i="1"/>
  <c r="B75" i="1"/>
  <c r="V74" i="1"/>
  <c r="M74" i="1"/>
  <c r="L74" i="1"/>
  <c r="D74" i="1"/>
  <c r="C74" i="1"/>
  <c r="B74" i="1"/>
  <c r="X73" i="1"/>
  <c r="W73" i="1"/>
  <c r="V73" i="1"/>
  <c r="Q73" i="1"/>
  <c r="P73" i="1"/>
  <c r="O73" i="1"/>
  <c r="N73" i="1"/>
  <c r="M73" i="1"/>
  <c r="L73" i="1"/>
  <c r="F73" i="1"/>
  <c r="E73" i="1"/>
  <c r="D73" i="1"/>
  <c r="C73" i="1"/>
  <c r="B73" i="1"/>
  <c r="Z72" i="1"/>
  <c r="W72" i="1"/>
  <c r="V72" i="1"/>
  <c r="M72" i="1"/>
  <c r="L72" i="1"/>
  <c r="F72" i="1"/>
  <c r="E72" i="1"/>
  <c r="D72" i="1"/>
  <c r="C72" i="1"/>
  <c r="B72" i="1"/>
  <c r="W71" i="1"/>
  <c r="M71" i="1"/>
  <c r="L71" i="1"/>
  <c r="D71" i="1"/>
  <c r="C71" i="1"/>
  <c r="B71" i="1"/>
  <c r="Z70" i="1"/>
  <c r="Y70" i="1"/>
  <c r="X70" i="1"/>
  <c r="W70" i="1"/>
  <c r="V70" i="1"/>
  <c r="L70" i="1"/>
  <c r="G70" i="1"/>
  <c r="F70" i="1"/>
  <c r="E70" i="1"/>
  <c r="D70" i="1"/>
  <c r="C70" i="1"/>
  <c r="B70" i="1"/>
  <c r="Z69" i="1"/>
  <c r="Y69" i="1"/>
  <c r="X69" i="1"/>
  <c r="W69" i="1"/>
  <c r="V69" i="1"/>
  <c r="L69" i="1"/>
  <c r="E69" i="1"/>
  <c r="D69" i="1"/>
  <c r="C69" i="1"/>
  <c r="B69" i="1"/>
  <c r="X68" i="1"/>
  <c r="W68" i="1"/>
  <c r="V68" i="1"/>
  <c r="L68" i="1"/>
  <c r="D68" i="1"/>
  <c r="C68" i="1"/>
  <c r="B68" i="1"/>
  <c r="W67" i="1"/>
  <c r="V67" i="1"/>
  <c r="N67" i="1"/>
  <c r="M67" i="1"/>
  <c r="L67" i="1"/>
  <c r="D67" i="1"/>
  <c r="C67" i="1"/>
  <c r="B67" i="1"/>
  <c r="W66" i="1"/>
  <c r="V66" i="1"/>
  <c r="M66" i="1"/>
  <c r="L66" i="1"/>
  <c r="D66" i="1"/>
  <c r="C66" i="1"/>
  <c r="B66" i="1"/>
  <c r="W65" i="1"/>
  <c r="V65" i="1"/>
  <c r="M65" i="1"/>
  <c r="L65" i="1"/>
  <c r="B65" i="1"/>
  <c r="W64" i="1"/>
  <c r="V64" i="1"/>
  <c r="M64" i="1"/>
  <c r="L64" i="1"/>
  <c r="F64" i="1"/>
  <c r="E64" i="1"/>
  <c r="D64" i="1"/>
  <c r="C64" i="1"/>
  <c r="B64" i="1"/>
  <c r="V63" i="1"/>
  <c r="O63" i="1"/>
  <c r="N63" i="1"/>
  <c r="M63" i="1"/>
  <c r="L63" i="1"/>
  <c r="E63" i="1"/>
  <c r="D63" i="1"/>
  <c r="C63" i="1"/>
  <c r="B63" i="1"/>
  <c r="W62" i="1"/>
  <c r="V62" i="1"/>
  <c r="L62" i="1"/>
  <c r="E62" i="1"/>
  <c r="D62" i="1"/>
  <c r="C62" i="1"/>
  <c r="B62" i="1"/>
  <c r="Z61" i="1"/>
  <c r="Y61" i="1"/>
  <c r="X61" i="1"/>
  <c r="W61" i="1"/>
  <c r="V61" i="1"/>
  <c r="N61" i="1"/>
  <c r="M61" i="1"/>
  <c r="L61" i="1"/>
  <c r="D61" i="1"/>
  <c r="C61" i="1"/>
  <c r="B61" i="1"/>
  <c r="Y60" i="1"/>
  <c r="X60" i="1"/>
  <c r="W60" i="1"/>
  <c r="V60" i="1"/>
  <c r="N60" i="1"/>
  <c r="M60" i="1"/>
  <c r="L60" i="1"/>
  <c r="C60" i="1"/>
  <c r="B60" i="1"/>
  <c r="Z59" i="1"/>
  <c r="Y59" i="1"/>
  <c r="X59" i="1"/>
  <c r="W59" i="1"/>
  <c r="V59" i="1"/>
  <c r="O59" i="1"/>
  <c r="N59" i="1"/>
  <c r="M59" i="1"/>
  <c r="L59" i="1"/>
  <c r="D59" i="1"/>
  <c r="C59" i="1"/>
  <c r="B59" i="1"/>
  <c r="V58" i="1"/>
  <c r="N58" i="1"/>
  <c r="M58" i="1"/>
  <c r="L58" i="1"/>
  <c r="D58" i="1"/>
  <c r="C58" i="1"/>
  <c r="B58" i="1"/>
  <c r="W57" i="1"/>
  <c r="V57" i="1"/>
  <c r="O57" i="1"/>
  <c r="N57" i="1"/>
  <c r="M57" i="1"/>
  <c r="L57" i="1"/>
  <c r="D57" i="1"/>
  <c r="C57" i="1"/>
  <c r="B57" i="1"/>
  <c r="W56" i="1"/>
  <c r="V56" i="1"/>
  <c r="Q56" i="1"/>
  <c r="P56" i="1"/>
  <c r="O56" i="1"/>
  <c r="N56" i="1"/>
  <c r="M56" i="1"/>
  <c r="L56" i="1"/>
  <c r="J56" i="1"/>
  <c r="I56" i="1"/>
  <c r="H56" i="1"/>
  <c r="G56" i="1"/>
  <c r="F56" i="1"/>
  <c r="E56" i="1"/>
  <c r="D56" i="1"/>
  <c r="C56" i="1"/>
  <c r="B56" i="1"/>
  <c r="Z55" i="1"/>
  <c r="Y55" i="1"/>
  <c r="X55" i="1"/>
  <c r="W55" i="1"/>
  <c r="V55" i="1"/>
  <c r="P55" i="1"/>
  <c r="O55" i="1"/>
  <c r="N55" i="1"/>
  <c r="M55" i="1"/>
  <c r="L55" i="1"/>
  <c r="F55" i="1"/>
  <c r="E55" i="1"/>
  <c r="D55" i="1"/>
  <c r="C55" i="1"/>
  <c r="B55" i="1"/>
  <c r="Z54" i="1"/>
  <c r="X54" i="1"/>
  <c r="V54" i="1"/>
  <c r="M54" i="1"/>
  <c r="L54" i="1"/>
  <c r="C54" i="1"/>
  <c r="B54" i="1"/>
  <c r="Y53" i="1"/>
  <c r="X53" i="1"/>
  <c r="W53" i="1"/>
  <c r="V53" i="1"/>
  <c r="M53" i="1"/>
  <c r="L53" i="1"/>
  <c r="E53" i="1"/>
  <c r="D53" i="1"/>
  <c r="C53" i="1"/>
  <c r="B53" i="1"/>
  <c r="W52" i="1"/>
  <c r="V52" i="1"/>
  <c r="P52" i="1"/>
  <c r="O52" i="1"/>
  <c r="N52" i="1"/>
  <c r="M52" i="1"/>
  <c r="L52" i="1"/>
  <c r="D52" i="1"/>
  <c r="C52" i="1"/>
  <c r="B52" i="1"/>
  <c r="X51" i="1"/>
  <c r="W51" i="1"/>
  <c r="V51" i="1"/>
  <c r="O51" i="1"/>
  <c r="N51" i="1"/>
  <c r="M51" i="1"/>
  <c r="L51" i="1"/>
  <c r="E51" i="1"/>
  <c r="D51" i="1"/>
  <c r="C51" i="1"/>
  <c r="B51" i="1"/>
  <c r="W50" i="1"/>
  <c r="V50" i="1"/>
  <c r="N50" i="1"/>
  <c r="M50" i="1"/>
  <c r="L50" i="1"/>
  <c r="F50" i="1"/>
  <c r="E50" i="1"/>
  <c r="D50" i="1"/>
  <c r="C50" i="1"/>
  <c r="B50" i="1"/>
  <c r="Z49" i="1"/>
  <c r="Y49" i="1"/>
  <c r="X49" i="1"/>
  <c r="W49" i="1"/>
  <c r="V49" i="1"/>
  <c r="N49" i="1"/>
  <c r="M49" i="1"/>
  <c r="L49" i="1"/>
  <c r="C49" i="1"/>
  <c r="B49" i="1"/>
  <c r="Z48" i="1"/>
  <c r="Y48" i="1"/>
  <c r="X48" i="1"/>
  <c r="W48" i="1"/>
  <c r="V48" i="1"/>
  <c r="N48" i="1"/>
  <c r="M48" i="1"/>
  <c r="L48" i="1"/>
  <c r="C48" i="1"/>
  <c r="B48" i="1"/>
  <c r="W47" i="1"/>
  <c r="V47" i="1"/>
  <c r="N47" i="1"/>
  <c r="M47" i="1"/>
  <c r="L47" i="1"/>
  <c r="D47" i="1"/>
  <c r="C47" i="1"/>
  <c r="B47" i="1"/>
  <c r="Z46" i="1"/>
  <c r="X46" i="1"/>
  <c r="W46" i="1"/>
  <c r="V46" i="1"/>
  <c r="N46" i="1"/>
  <c r="M46" i="1"/>
  <c r="L46" i="1"/>
  <c r="D46" i="1"/>
  <c r="C46" i="1"/>
  <c r="B46" i="1"/>
  <c r="Z45" i="1"/>
  <c r="Y45" i="1"/>
  <c r="X45" i="1"/>
  <c r="W45" i="1"/>
  <c r="V45" i="1"/>
  <c r="M45" i="1"/>
  <c r="L45" i="1"/>
  <c r="G45" i="1"/>
  <c r="F45" i="1"/>
  <c r="E45" i="1"/>
  <c r="D45" i="1"/>
  <c r="C45" i="1"/>
  <c r="B45" i="1"/>
  <c r="V44" i="1"/>
  <c r="Q44" i="1"/>
  <c r="P44" i="1"/>
  <c r="O44" i="1"/>
  <c r="N44" i="1"/>
  <c r="M44" i="1"/>
  <c r="L44" i="1"/>
  <c r="F44" i="1"/>
  <c r="E44" i="1"/>
  <c r="D44" i="1"/>
  <c r="C44" i="1"/>
  <c r="B44" i="1"/>
  <c r="Z43" i="1"/>
  <c r="Y43" i="1"/>
  <c r="X43" i="1"/>
  <c r="W43" i="1"/>
  <c r="V43" i="1"/>
  <c r="O43" i="1"/>
  <c r="N43" i="1"/>
  <c r="M43" i="1"/>
  <c r="L43" i="1"/>
  <c r="D43" i="1"/>
  <c r="C43" i="1"/>
  <c r="B43" i="1"/>
  <c r="W42" i="1"/>
  <c r="V42" i="1"/>
  <c r="L42" i="1"/>
  <c r="D42" i="1"/>
  <c r="B42" i="1"/>
  <c r="V41" i="1"/>
  <c r="L41" i="1"/>
  <c r="C41" i="1"/>
  <c r="B41" i="1"/>
  <c r="X40" i="1"/>
  <c r="W40" i="1"/>
  <c r="V40" i="1"/>
  <c r="N40" i="1"/>
  <c r="M40" i="1"/>
  <c r="L40" i="1"/>
  <c r="C40" i="1"/>
  <c r="B40" i="1"/>
  <c r="L39" i="1"/>
  <c r="D39" i="1"/>
  <c r="C39" i="1"/>
  <c r="B39" i="1"/>
  <c r="W38" i="1"/>
  <c r="V38" i="1"/>
  <c r="L38" i="1"/>
  <c r="E38" i="1"/>
  <c r="D38" i="1"/>
  <c r="C38" i="1"/>
  <c r="B38" i="1"/>
  <c r="X37" i="1"/>
  <c r="W37" i="1"/>
  <c r="V37" i="1"/>
  <c r="N37" i="1"/>
  <c r="M37" i="1"/>
  <c r="L37" i="1"/>
  <c r="C37" i="1"/>
  <c r="B37" i="1"/>
  <c r="X36" i="1"/>
  <c r="W36" i="1"/>
  <c r="V36" i="1"/>
  <c r="L36" i="1"/>
  <c r="E36" i="1"/>
  <c r="D36" i="1"/>
  <c r="C36" i="1"/>
  <c r="B36" i="1"/>
  <c r="X35" i="1"/>
  <c r="W35" i="1"/>
  <c r="V35" i="1"/>
  <c r="N35" i="1"/>
  <c r="M35" i="1"/>
  <c r="L35" i="1"/>
  <c r="D35" i="1"/>
  <c r="C35" i="1"/>
  <c r="B35" i="1"/>
  <c r="O34" i="1"/>
  <c r="N34" i="1"/>
  <c r="M34" i="1"/>
  <c r="L34" i="1"/>
  <c r="F34" i="1"/>
  <c r="E34" i="1"/>
  <c r="D34" i="1"/>
  <c r="C34" i="1"/>
  <c r="B34" i="1"/>
  <c r="W33" i="1"/>
  <c r="V33" i="1"/>
  <c r="O33" i="1"/>
  <c r="N33" i="1"/>
  <c r="M33" i="1"/>
  <c r="L33" i="1"/>
  <c r="H33" i="1"/>
  <c r="G33" i="1"/>
  <c r="F33" i="1"/>
  <c r="E33" i="1"/>
  <c r="D33" i="1"/>
  <c r="C33" i="1"/>
  <c r="B33" i="1"/>
  <c r="Y32" i="1"/>
  <c r="X32" i="1"/>
  <c r="W32" i="1"/>
  <c r="V32" i="1"/>
  <c r="O32" i="1"/>
  <c r="N32" i="1"/>
  <c r="M32" i="1"/>
  <c r="L32" i="1"/>
  <c r="D32" i="1"/>
  <c r="C32" i="1"/>
  <c r="B32" i="1"/>
  <c r="W31" i="1"/>
  <c r="V31" i="1"/>
  <c r="L31" i="1"/>
  <c r="E31" i="1"/>
  <c r="D31" i="1"/>
  <c r="C31" i="1"/>
  <c r="B31" i="1"/>
  <c r="W30" i="1"/>
  <c r="V30" i="1"/>
  <c r="L30" i="1"/>
  <c r="F30" i="1"/>
  <c r="E30" i="1"/>
  <c r="D30" i="1"/>
  <c r="C30" i="1"/>
  <c r="B30" i="1"/>
  <c r="X29" i="1"/>
  <c r="W29" i="1"/>
  <c r="V29" i="1"/>
  <c r="M29" i="1"/>
  <c r="L29" i="1"/>
  <c r="D29" i="1"/>
  <c r="C29" i="1"/>
  <c r="B29" i="1"/>
  <c r="Z28" i="1"/>
  <c r="Y28" i="1"/>
  <c r="X28" i="1"/>
  <c r="W28" i="1"/>
  <c r="V28" i="1"/>
  <c r="N28" i="1"/>
  <c r="M28" i="1"/>
  <c r="L28" i="1"/>
  <c r="D28" i="1"/>
  <c r="C28" i="1"/>
  <c r="B28" i="1"/>
  <c r="Q27" i="1"/>
  <c r="P27" i="1"/>
  <c r="O27" i="1"/>
  <c r="N27" i="1"/>
  <c r="M27" i="1"/>
  <c r="L27" i="1"/>
  <c r="F27" i="1"/>
  <c r="E27" i="1"/>
  <c r="D27" i="1"/>
  <c r="C27" i="1"/>
  <c r="B27" i="1"/>
  <c r="W26" i="1"/>
  <c r="V26" i="1"/>
  <c r="L26" i="1"/>
  <c r="D26" i="1"/>
  <c r="C26" i="1"/>
  <c r="B26" i="1"/>
  <c r="X25" i="1"/>
  <c r="W25" i="1"/>
  <c r="V25" i="1"/>
  <c r="M25" i="1"/>
  <c r="L25" i="1"/>
  <c r="G25" i="1"/>
  <c r="F25" i="1"/>
  <c r="E25" i="1"/>
  <c r="D25" i="1"/>
  <c r="C25" i="1"/>
  <c r="B25" i="1"/>
  <c r="V24" i="1"/>
  <c r="L24" i="1"/>
  <c r="G24" i="1"/>
  <c r="F24" i="1"/>
  <c r="J24" i="1"/>
  <c r="I24" i="1"/>
  <c r="H24" i="1"/>
  <c r="E24" i="1"/>
  <c r="D24" i="1"/>
  <c r="C24" i="1"/>
  <c r="B24" i="1"/>
  <c r="Z23" i="1"/>
  <c r="Y23" i="1"/>
  <c r="X23" i="1"/>
  <c r="W23" i="1"/>
  <c r="V23" i="1"/>
  <c r="N23" i="1"/>
  <c r="M23" i="1"/>
  <c r="L23" i="1"/>
  <c r="C23" i="1"/>
  <c r="B23" i="1"/>
  <c r="Z22" i="1"/>
  <c r="Y22" i="1"/>
  <c r="X22" i="1"/>
  <c r="W22" i="1"/>
  <c r="V22" i="1"/>
  <c r="M22" i="1"/>
  <c r="L22" i="1"/>
  <c r="C22" i="1"/>
  <c r="B22" i="1"/>
  <c r="Z21" i="1"/>
  <c r="Y21" i="1"/>
  <c r="X21" i="1"/>
  <c r="W21" i="1"/>
  <c r="V21" i="1"/>
  <c r="L21" i="1"/>
  <c r="O21" i="1"/>
  <c r="M21" i="1"/>
  <c r="D21" i="1"/>
  <c r="J21" i="1"/>
  <c r="H21" i="1"/>
  <c r="E21" i="1"/>
  <c r="C21" i="1"/>
  <c r="B21" i="1"/>
  <c r="I21" i="1"/>
  <c r="G21" i="1"/>
  <c r="F21" i="1"/>
  <c r="W20" i="1"/>
  <c r="M20" i="1"/>
  <c r="L20" i="1"/>
  <c r="G20" i="1"/>
  <c r="E20" i="1"/>
  <c r="D20" i="1"/>
  <c r="C20" i="1"/>
  <c r="B20" i="1"/>
  <c r="Z19" i="1"/>
  <c r="Y19" i="1"/>
  <c r="X19" i="1"/>
  <c r="W19" i="1"/>
  <c r="V19" i="1"/>
  <c r="O19" i="1"/>
  <c r="N19" i="1"/>
  <c r="M19" i="1"/>
  <c r="L19" i="1"/>
  <c r="F19" i="1"/>
  <c r="E19" i="1"/>
  <c r="D19" i="1"/>
  <c r="C19" i="1"/>
  <c r="B19" i="1"/>
  <c r="M18" i="1"/>
  <c r="L18" i="1"/>
  <c r="F18" i="1"/>
  <c r="J18" i="1"/>
  <c r="H18" i="1"/>
  <c r="E18" i="1"/>
  <c r="C18" i="1"/>
  <c r="I18" i="1"/>
  <c r="B18" i="1"/>
  <c r="G18" i="1"/>
  <c r="D18" i="1"/>
  <c r="W17" i="1"/>
  <c r="N17" i="1"/>
  <c r="P17" i="1"/>
  <c r="M17" i="1"/>
  <c r="L17" i="1"/>
  <c r="O17" i="1"/>
  <c r="C17" i="1"/>
  <c r="E17" i="1"/>
  <c r="B17" i="1"/>
  <c r="F17" i="1"/>
  <c r="D17" i="1"/>
  <c r="X16" i="1"/>
  <c r="W16" i="1"/>
  <c r="Z16" i="1"/>
  <c r="V16" i="1"/>
  <c r="N16" i="1"/>
  <c r="M16" i="1"/>
  <c r="L16" i="1"/>
  <c r="O16" i="1"/>
  <c r="B16" i="1"/>
  <c r="Z15" i="1"/>
  <c r="X15" i="1"/>
  <c r="W15" i="1"/>
  <c r="Y15" i="1"/>
  <c r="V15" i="1"/>
  <c r="D15" i="1"/>
  <c r="I15" i="1"/>
  <c r="C15" i="1"/>
  <c r="J15" i="1"/>
  <c r="H15" i="1"/>
  <c r="B15" i="1"/>
  <c r="G15" i="1"/>
  <c r="F15" i="1"/>
  <c r="E15" i="1"/>
  <c r="Y14" i="1"/>
  <c r="X14" i="1"/>
  <c r="W14" i="1"/>
  <c r="Z14" i="1"/>
  <c r="V14" i="1"/>
  <c r="O14" i="1"/>
  <c r="N14" i="1"/>
  <c r="S14" i="1"/>
  <c r="P14" i="1"/>
  <c r="M14" i="1"/>
  <c r="T14" i="1"/>
  <c r="Q14" i="1"/>
  <c r="L14" i="1"/>
  <c r="R14" i="1"/>
  <c r="E14" i="1"/>
  <c r="H14" i="1"/>
  <c r="D14" i="1"/>
  <c r="G14" i="1"/>
  <c r="C14" i="1"/>
  <c r="J14" i="1"/>
  <c r="F14" i="1"/>
  <c r="B14" i="1"/>
  <c r="I14" i="1"/>
  <c r="X13" i="1"/>
  <c r="W13" i="1"/>
  <c r="Z13" i="1"/>
  <c r="V13" i="1"/>
  <c r="Y13" i="1"/>
  <c r="M13" i="1"/>
  <c r="T13" i="1"/>
  <c r="R13" i="1"/>
  <c r="P13" i="1"/>
  <c r="N13" i="1"/>
  <c r="L13" i="1"/>
  <c r="S13" i="1"/>
  <c r="Q13" i="1"/>
  <c r="O13" i="1"/>
  <c r="E13" i="1"/>
  <c r="D13" i="1"/>
  <c r="C13" i="1"/>
  <c r="J13" i="1"/>
  <c r="H13" i="1"/>
  <c r="F13" i="1"/>
  <c r="B13" i="1"/>
  <c r="I13" i="1"/>
  <c r="G13" i="1"/>
  <c r="W12" i="1"/>
  <c r="V12" i="1"/>
  <c r="Y12" i="1"/>
  <c r="X12" i="1"/>
  <c r="N12" i="1"/>
  <c r="M12" i="1"/>
  <c r="R12" i="1"/>
  <c r="O12" i="1"/>
  <c r="L12" i="1"/>
  <c r="T12" i="1"/>
  <c r="S12" i="1"/>
  <c r="Q12" i="1"/>
  <c r="P12" i="1"/>
  <c r="C12" i="1"/>
  <c r="I12" i="1"/>
  <c r="G12" i="1"/>
  <c r="E12" i="1"/>
  <c r="B12" i="1"/>
  <c r="J12" i="1"/>
  <c r="H12" i="1"/>
  <c r="F12" i="1"/>
  <c r="D12" i="1"/>
  <c r="Z11" i="1"/>
  <c r="W11" i="1"/>
  <c r="X11" i="1"/>
  <c r="V11" i="1"/>
  <c r="Y11" i="1"/>
  <c r="T11" i="1"/>
  <c r="M11" i="1"/>
  <c r="S11" i="1"/>
  <c r="R11" i="1"/>
  <c r="P11" i="1"/>
  <c r="O11" i="1"/>
  <c r="L11" i="1"/>
  <c r="Q11" i="1"/>
  <c r="N11" i="1"/>
  <c r="J11" i="1"/>
  <c r="I11" i="1"/>
  <c r="H11" i="1"/>
  <c r="G11" i="1"/>
  <c r="F11" i="1"/>
  <c r="E11" i="1"/>
  <c r="D11" i="1"/>
  <c r="C11" i="1"/>
  <c r="B11" i="1"/>
  <c r="Y10" i="1"/>
  <c r="X10" i="1"/>
  <c r="Z10" i="1"/>
  <c r="V10" i="1"/>
  <c r="M10" i="1"/>
  <c r="R10" i="1"/>
  <c r="O10" i="1"/>
  <c r="L10" i="1"/>
  <c r="T10" i="1"/>
  <c r="S10" i="1"/>
  <c r="Q10" i="1"/>
  <c r="P10" i="1"/>
  <c r="N10" i="1"/>
  <c r="D10" i="1"/>
  <c r="I10" i="1"/>
  <c r="F10" i="1"/>
  <c r="C10" i="1"/>
  <c r="H10" i="1"/>
  <c r="G10" i="1"/>
  <c r="B10" i="1"/>
  <c r="J10" i="1"/>
  <c r="E10" i="1"/>
  <c r="W9" i="1"/>
  <c r="V9" i="1"/>
  <c r="M9" i="1"/>
  <c r="L9" i="1"/>
  <c r="I9" i="1"/>
  <c r="G9" i="1"/>
  <c r="E9" i="1"/>
  <c r="B9" i="1"/>
  <c r="J9" i="1"/>
  <c r="H9" i="1"/>
  <c r="F9" i="1"/>
  <c r="D9" i="1"/>
  <c r="C9" i="1"/>
  <c r="W8" i="1"/>
  <c r="V8" i="1"/>
  <c r="Z8" i="1"/>
  <c r="Y8" i="1"/>
  <c r="X8" i="1"/>
  <c r="S8" i="1"/>
  <c r="T8" i="1"/>
  <c r="R8" i="1"/>
  <c r="Q8" i="1"/>
  <c r="P8" i="1"/>
  <c r="O8" i="1"/>
  <c r="N8" i="1"/>
  <c r="M8" i="1"/>
  <c r="L8" i="1"/>
  <c r="J8" i="1"/>
  <c r="I8" i="1"/>
  <c r="H8" i="1"/>
  <c r="G8" i="1"/>
  <c r="F8" i="1"/>
  <c r="E8" i="1"/>
  <c r="D8" i="1"/>
  <c r="C8" i="1"/>
  <c r="B8" i="1"/>
  <c r="W7" i="1"/>
  <c r="V7" i="1"/>
  <c r="Z7" i="1"/>
  <c r="Y7" i="1"/>
  <c r="X7" i="1"/>
  <c r="M7" i="1"/>
  <c r="L7" i="1"/>
  <c r="T7" i="1"/>
  <c r="S7" i="1"/>
  <c r="R7" i="1"/>
  <c r="Q7" i="1"/>
  <c r="P7" i="1"/>
  <c r="O7" i="1"/>
  <c r="N7" i="1"/>
  <c r="C7" i="1"/>
  <c r="I7" i="1"/>
  <c r="G7" i="1"/>
  <c r="D7" i="1"/>
  <c r="B7" i="1"/>
  <c r="J7" i="1"/>
  <c r="H7" i="1"/>
  <c r="F7" i="1"/>
  <c r="E7" i="1"/>
  <c r="Z6" i="1"/>
  <c r="X6" i="1"/>
  <c r="V6" i="1"/>
  <c r="Y6" i="1"/>
  <c r="W6" i="1"/>
  <c r="M6" i="1"/>
  <c r="T6" i="1"/>
  <c r="R6" i="1"/>
  <c r="Q6" i="1"/>
  <c r="O6" i="1"/>
  <c r="L6" i="1"/>
  <c r="S6" i="1"/>
  <c r="P6" i="1"/>
  <c r="N6" i="1"/>
  <c r="B6" i="1"/>
  <c r="J6" i="1"/>
  <c r="I6" i="1"/>
  <c r="H6" i="1"/>
  <c r="G6" i="1"/>
  <c r="F6" i="1"/>
  <c r="E6" i="1"/>
  <c r="D6" i="1"/>
  <c r="C6" i="1"/>
  <c r="V5" i="1"/>
  <c r="Z5" i="1"/>
  <c r="Y5" i="1"/>
  <c r="X5" i="1"/>
  <c r="W5" i="1"/>
  <c r="P5" i="1"/>
  <c r="T5" i="1"/>
  <c r="S5" i="1"/>
  <c r="R5" i="1"/>
  <c r="Q5" i="1"/>
  <c r="O5" i="1"/>
  <c r="N5" i="1"/>
  <c r="M5" i="1"/>
  <c r="L5" i="1"/>
  <c r="C5" i="1"/>
  <c r="B5" i="1"/>
  <c r="J5" i="1"/>
  <c r="I5" i="1"/>
  <c r="H5" i="1"/>
  <c r="G5" i="1"/>
  <c r="F5" i="1"/>
  <c r="E5" i="1"/>
  <c r="D5" i="1"/>
  <c r="X4" i="1"/>
  <c r="V4" i="1"/>
  <c r="Z4" i="1"/>
  <c r="Y4" i="1"/>
  <c r="W4" i="1"/>
  <c r="M4" i="1"/>
  <c r="S4" i="1"/>
  <c r="Q4" i="1"/>
  <c r="N4" i="1"/>
  <c r="L4" i="1"/>
  <c r="T4" i="1"/>
  <c r="R4" i="1"/>
  <c r="P4" i="1"/>
  <c r="O4" i="1"/>
  <c r="H4" i="1"/>
  <c r="G4" i="1"/>
  <c r="E4" i="1"/>
  <c r="D4" i="1"/>
  <c r="C4" i="1"/>
  <c r="J4" i="1"/>
  <c r="I4" i="1"/>
  <c r="F4" i="1"/>
  <c r="B4" i="1"/>
  <c r="V3" i="1"/>
  <c r="Z3" i="1"/>
  <c r="Y3" i="1"/>
  <c r="X3" i="1"/>
  <c r="W3" i="1"/>
  <c r="L3" i="1"/>
  <c r="T3" i="1"/>
  <c r="S3" i="1"/>
  <c r="R3" i="1"/>
  <c r="Q3" i="1"/>
  <c r="P3" i="1"/>
  <c r="O3" i="1"/>
  <c r="N3" i="1"/>
  <c r="M3" i="1"/>
  <c r="J3" i="1"/>
  <c r="F3" i="1"/>
  <c r="I3" i="1"/>
  <c r="H3" i="1"/>
  <c r="G3" i="1"/>
  <c r="E3" i="1"/>
  <c r="D3" i="1"/>
  <c r="C3" i="1"/>
  <c r="B3" i="1"/>
  <c r="Z2" i="1"/>
  <c r="Y2" i="1"/>
  <c r="X2" i="1"/>
  <c r="W2" i="1"/>
  <c r="V2" i="1"/>
  <c r="M2" i="1"/>
  <c r="T2" i="1"/>
  <c r="R2" i="1"/>
  <c r="L2" i="1"/>
  <c r="S2" i="1"/>
  <c r="Q2" i="1"/>
  <c r="P2" i="1"/>
  <c r="O2" i="1"/>
  <c r="N2" i="1"/>
  <c r="B2" i="1"/>
  <c r="J2" i="1"/>
  <c r="I2" i="1"/>
  <c r="H2" i="1"/>
  <c r="G2" i="1"/>
  <c r="F2" i="1"/>
  <c r="E2" i="1"/>
  <c r="D2" i="1"/>
  <c r="C2" i="1"/>
</calcChain>
</file>

<file path=xl/sharedStrings.xml><?xml version="1.0" encoding="utf-8"?>
<sst xmlns="http://schemas.openxmlformats.org/spreadsheetml/2006/main" count="26" uniqueCount="26">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</sst>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XQLITE" ddeTopic="Quote">
    <ddeItems>
      <ddeItem name="1108.TW-ID,Name,Price,PriceChangeRatio,Low,High,Volume,InOutRatioNumber,Capital,ProfitMargin" advise="1">
        <values cols="10">
          <value t="str">
            <val>1108</val>
          </value>
          <value t="str">
            <val>幸福</val>
          </value>
          <value>
            <val>11.7</val>
          </value>
          <value>
            <val>5.88</val>
          </value>
          <value>
            <val>11.35</val>
          </value>
          <value>
            <val>12</val>
          </value>
          <value>
            <val>33</val>
          </value>
          <value t="str">
            <val>58.71%</val>
          </value>
          <value t="str">
            <val>40.47</val>
          </value>
          <value t="str">
            <val>13.29</val>
          </value>
        </values>
      </ddeItem>
      <ddeItem name="1108.TW-OperatingProfitRatio,NetProfitMargin,TFXRatio,MonthlyNetSalesYoY,ReturnOnAssets,DividendYear,ProfitFourSeason,CashDividendYieldRate,StockNetValue,ExchangeIndustry" advise="1">
        <values cols="10">
          <value t="str">
            <val>7.83</val>
          </value>
          <value t="str">
            <val>5.82</val>
          </value>
          <value t="str">
            <val>-35.12</val>
          </value>
          <value t="str">
            <val>-24.52</val>
          </value>
          <value t="str">
            <val>2.36</val>
          </value>
          <value>
            <val>0.7</val>
          </value>
          <value t="str">
            <val>0.58</val>
          </value>
          <value>
            <val>5.98</val>
          </value>
          <value t="str">
            <val>11.23</val>
          </value>
          <value t="str">
            <val>上市水泥</val>
          </value>
        </values>
      </ddeItem>
      <ddeItem name="1108.TW-PreTotalVolume,ChipsField25,ChipsField27,DateofMeetingofShareHolders,CompanyPos,TradingDate" advise="1">
        <values cols="6">
          <value>
            <val>194</val>
          </value>
          <value t="str">
            <val>2021/08/26</val>
          </value>
          <value t="str">
            <val>--</val>
          </value>
          <value t="str">
            <val>2021/08/04</val>
          </value>
          <value t="str">
            <val>台灣第三大水泥廠，本業發展轉向大陸河北水泥廠</val>
          </value>
          <value t="str">
            <val>2022/03/10</val>
          </value>
        </values>
      </ddeItem>
      <ddeItem name="1217.TW-ID,Name,Price,PriceChangeRatio,Low,High,Volume,InOutRatioNumber,Capital,ProfitMargin" advise="1">
        <values cols="10">
          <value t="str">
            <val>1217</val>
          </value>
          <value t="str">
            <val>愛之味</val>
          </value>
          <value>
            <val>10.75</val>
          </value>
          <value>
            <val>0.47</val>
          </value>
          <value>
            <val>10.7</val>
          </value>
          <value>
            <val>10.85</val>
          </value>
          <value>
            <val>54</val>
          </value>
          <value t="str">
            <val>42.45%</val>
          </value>
          <value t="str">
            <val>49.45</val>
          </value>
          <value t="str">
            <val>32.01</val>
          </value>
        </values>
      </ddeItem>
      <ddeItem name="1217.TW-OperatingProfitRatio,NetProfitMargin,TFXRatio,MonthlyNetSalesYoY,ReturnOnAssets,DividendYear,ProfitFourSeason,CashDividendYieldRate,StockNetValue,ExchangeIndustry" advise="1">
        <values cols="10">
          <value t="str">
            <val>5.45</val>
          </value>
          <value t="str">
            <val>7.54</val>
          </value>
          <value t="str">
            <val>-29.34</val>
          </value>
          <value t="str">
            <val>-1.51</val>
          </value>
          <value t="str">
            <val>2.61</val>
          </value>
          <value>
            <val>0</val>
          </value>
          <value t="str">
            <val>0.52</val>
          </value>
          <value>
            <val>0</val>
          </value>
          <value t="str">
            <val>13.36</val>
          </value>
          <value t="str">
            <val>上市食品</val>
          </value>
        </values>
      </ddeItem>
      <ddeItem name="1217.TW-PreTotalVolume,ChipsField25,ChipsField27,DateofMeetingofShareHolders,CompanyPos,TradingDate" advise="1">
        <values cols="6">
          <value>
            <val>684</val>
          </value>
          <value t="str">
            <val>--</val>
          </value>
          <value t="str">
            <val>--</val>
          </value>
          <value t="str">
            <val>2021/08/26</val>
          </value>
          <value t="str">
            <val>以飲料、傳統類罐頭為主的食品商</val>
          </value>
          <value t="str">
            <val>2022/03/10</val>
          </value>
        </values>
      </ddeItem>
      <ddeItem name="1229.TW-ID,Name,Price,PriceChangeRatio,Low,High,Volume,InOutRatioNumber,Capital,ProfitMargin" advise="1">
        <values cols="10">
          <value t="str">
            <val>1229</val>
          </value>
          <value t="str">
            <val>聯華</val>
          </value>
          <value>
            <val>65.2</val>
          </value>
          <value>
            <val>-2.69</val>
          </value>
          <value>
            <val>64</val>
          </value>
          <value>
            <val>66.5</val>
          </value>
          <value>
            <val>283</val>
          </value>
          <value t="str">
            <val>39.92%</val>
          </value>
          <value t="str">
            <val>140.96</val>
          </value>
          <value t="str">
            <val>26.64</val>
          </value>
        </values>
      </ddeItem>
      <ddeItem name="1229.TW-OperatingProfitRatio,NetProfitMargin,TFXRatio,MonthlyNetSalesYoY,ReturnOnAssets,DividendYear,ProfitFourSeason,CashDividendYieldRate,StockNetValue,ExchangeIndustry" advise="1">
        <values cols="10">
          <value t="str">
            <val>16.34</val>
          </value>
          <value t="str">
            <val>52.93</val>
          </value>
          <value t="str">
            <val>-26.34</val>
          </value>
          <value t="str">
            <val>7.30</val>
          </value>
          <value t="str">
            <val>7.20</val>
          </value>
          <value>
            <val>2.2999999999999998</val>
          </value>
          <value t="str">
            <val>3.44</val>
          </value>
          <value>
            <val>3.53</val>
          </value>
          <value t="str">
            <val>27.74</val>
          </value>
          <value t="str">
            <val>上市食品</val>
          </value>
        </values>
      </ddeItem>
      <ddeItem name="1229.TW-PreTotalVolume,ChipsField25,ChipsField27,DateofMeetingofShareHolders,CompanyPos,TradingDate" advise="1">
        <values cols="6">
          <value>
            <val>2707</val>
          </value>
          <value t="str">
            <val>2022/04/21</val>
          </value>
          <value t="str">
            <val>--</val>
          </value>
          <value t="str">
            <val>2022/06/23</val>
          </value>
          <value t="str">
            <val>神達集團母公司，台灣最大麵粉廠</val>
          </value>
          <value t="str">
            <val>2022/03/10</val>
          </value>
        </values>
      </ddeItem>
      <ddeItem name="1231.TW-ID,Name,Price,PriceChangeRatio,Low,High,Volume,InOutRatioNumber,Capital,ProfitMargin" advise="1">
        <values cols="10">
          <value t="str">
            <val>1231</val>
          </value>
          <value t="str">
            <val>聯華食</val>
          </value>
          <value>
            <val>79.8</val>
          </value>
          <value>
            <val>3.91</val>
          </value>
          <value>
            <val>79.099999999999994</val>
          </value>
          <value>
            <val>81.400000000000006</val>
          </value>
          <value>
            <val>40</val>
          </value>
          <value t="str">
            <val>48.46%</val>
          </value>
          <value t="str">
            <val>20.18</val>
          </value>
          <value t="str">
            <val>23.18</val>
          </value>
        </values>
      </ddeItem>
      <ddeItem name="1231.TW-OperatingProfitRatio,NetProfitMargin,TFXRatio,MonthlyNetSalesYoY,ReturnOnAssets,DividendYear,ProfitFourSeason,CashDividendYieldRate,StockNetValue,ExchangeIndustry" advise="1">
        <values cols="10">
          <value t="str">
            <val>9.28</val>
          </value>
          <value t="str">
            <val>7.83</val>
          </value>
          <value t="str">
            <val>-32.63</val>
          </value>
          <value t="str">
            <val>-4.00</val>
          </value>
          <value t="str">
            <val>6.27</val>
          </value>
          <value>
            <val>2.6</val>
          </value>
          <value t="str">
            <val>4.23</val>
          </value>
          <value>
            <val>3.26</val>
          </value>
          <value t="str">
            <val>21.31</val>
          </value>
          <value t="str">
            <val>上市食品</val>
          </value>
        </values>
      </ddeItem>
      <ddeItem name="1231.TW-PreTotalVolume,ChipsField25,ChipsField27,DateofMeetingofShareHolders,CompanyPos,TradingDate" advise="1">
        <values cols="6">
          <value>
            <val>825</val>
          </value>
          <value t="str">
            <val>--</val>
          </value>
          <value t="str">
            <val>--</val>
          </value>
          <value t="str">
            <val>2022/05/27</val>
          </value>
          <value t="str">
            <val>台灣休閒食品大廠，並供應7-11鮮食產品</val>
          </value>
          <value t="str">
            <val>2022/03/10</val>
          </value>
        </values>
      </ddeItem>
      <ddeItem name="1301.TW-ID,Name,Price,PriceChangeRatio,Low,High,Volume,InOutRatioNumber,Capital,ProfitMargin" advise="1">
        <values cols="10">
          <value t="str">
            <val>1301</val>
          </value>
          <value t="str">
            <val>台塑</val>
          </value>
          <value>
            <val>105</val>
          </value>
          <value>
            <val>-0.47</val>
          </value>
          <value>
            <val>104.5</val>
          </value>
          <value>
            <val>107</val>
          </value>
          <value>
            <val>1460</val>
          </value>
          <value t="str">
            <val>27.96%</val>
          </value>
          <value t="str">
            <val>636.57</val>
          </value>
          <value t="str">
            <val>27.90</val>
          </value>
        </values>
      </ddeItem>
      <ddeItem name="1301.TW-OperatingProfitRatio,NetProfitMargin,TFXRatio,MonthlyNetSalesYoY,ReturnOnAssets,DividendYear,ProfitFourSeason,CashDividendYieldRate,StockNetValue,ExchangeIndustry" advise="1">
        <values cols="10">
          <value t="str">
            <val>22.12</val>
          </value>
          <value t="str">
            <val>27.36</val>
          </value>
          <value t="str">
            <val>-13.98</val>
          </value>
          <value t="str">
            <val>25.81</val>
          </value>
          <value t="str">
            <val>10.93</val>
          </value>
          <value>
            <val>2.4</val>
          </value>
          <value t="str">
            <val>11.21</val>
          </value>
          <value>
            <val>2.29</val>
          </value>
          <value t="str">
            <val>60.37</val>
          </value>
          <value t="str">
            <val>上市塑膠</val>
          </value>
        </values>
      </ddeItem>
      <ddeItem name="1301.TW-PreTotalVolume,ChipsField25,ChipsField27,DateofMeetingofShareHolders,CompanyPos,TradingDate" advise="1">
        <values cols="6">
          <value>
            <val>7165</val>
          </value>
          <value t="str">
            <val>2021/07/30</val>
          </value>
          <value t="str">
            <val>--</val>
          </value>
          <value t="str">
            <val>2022/06/09</val>
          </value>
          <value t="str">
            <val>台灣最大塑化集團，亞洲最大PVC生產商</val>
          </value>
          <value t="str">
            <val>2022/03/10</val>
          </value>
        </values>
      </ddeItem>
      <ddeItem name="1305.TW-ID,Name,Price,PriceChangeRatio,Low,High,Volume,InOutRatioNumber,Capital,ProfitMargin" advise="1">
        <values cols="10">
          <value t="str">
            <val>1305</val>
          </value>
          <value t="str">
            <val>華夏</val>
          </value>
          <value>
            <val>34.299999999999997</val>
          </value>
          <value>
            <val>0.88</val>
          </value>
          <value>
            <val>34.25</val>
          </value>
          <value>
            <val>34.6</val>
          </value>
          <value>
            <val>58</val>
          </value>
          <value t="str">
            <val>39.16%</val>
          </value>
          <value t="str">
            <val>58.11</val>
          </value>
          <value t="str">
            <val>25.41</val>
          </value>
        </values>
      </ddeItem>
      <ddeItem name="1305.TW-OperatingProfitRatio,NetProfitMargin,TFXRatio,MonthlyNetSalesYoY,ReturnOnAssets,DividendYear,ProfitFourSeason,CashDividendYieldRate,StockNetValue,ExchangeIndustry" advise="1">
        <values cols="10">
          <value t="str">
            <val>16.78</val>
          </value>
          <value t="str">
            <val>13.25</val>
          </value>
          <value t="str">
            <val>-16.85</val>
          </value>
          <value t="str">
            <val>1.31</val>
          </value>
          <value t="str">
            <val>12.86</val>
          </value>
          <value>
            <val>2.5</val>
          </value>
          <value t="str">
            <val>4.30</val>
          </value>
          <value>
            <val>7.29</val>
          </value>
          <value t="str">
            <val>18.27</val>
          </value>
          <value t="str">
            <val>上市塑膠</val>
          </value>
        </values>
      </ddeItem>
      <ddeItem name="1305.TW-PreTotalVolume,ChipsField25,ChipsField27,DateofMeetingofShareHolders,CompanyPos,TradingDate" advise="1">
        <values cols="6">
          <value>
            <val>1609</val>
          </value>
          <value t="str">
            <val>--</val>
          </value>
          <value t="str">
            <val>--</val>
          </value>
          <value t="str">
            <val>2022/05/30</val>
          </value>
          <value t="str">
            <val>台灣第二大PVC廠，轉投資台氯</val>
          </value>
          <value t="str">
            <val>2022/03/10</val>
          </value>
        </values>
      </ddeItem>
      <ddeItem name="1467.TW-ID,Name,Price,PriceChangeRatio,Low,High,Volume,InOutRatioNumber,Capital,ProfitMargin" advise="1">
        <values cols="10">
          <value t="str">
            <val>1467</val>
          </value>
          <value t="str">
            <val>南緯</val>
          </value>
          <value>
            <val>14.2</val>
          </value>
          <value>
            <val>-3.07</val>
          </value>
          <value>
            <val>14.2</val>
          </value>
          <value>
            <val>14.9</val>
          </value>
          <value>
            <val>144</val>
          </value>
          <value t="str">
            <val>33.37%</val>
          </value>
          <value t="str">
            <val>23.36</val>
          </value>
          <value t="str">
            <val>20.77</val>
          </value>
        </values>
      </ddeItem>
      <ddeItem name="1467.TW-OperatingProfitRatio,NetProfitMargin,TFXRatio,MonthlyNetSalesYoY,ReturnOnAssets,DividendYear,ProfitFourSeason,CashDividendYieldRate,StockNetValue,ExchangeIndustry" advise="1">
        <values cols="10">
          <value t="str">
            <val>1.44</val>
          </value>
          <value t="str">
            <val>-1.55</val>
          </value>
          <value t="str">
            <val>-9.25</val>
          </value>
          <value t="str">
            <val>-20.28</val>
          </value>
          <value t="str">
            <val>-0.32</val>
          </value>
          <value>
            <val>0.7</val>
          </value>
          <value t="str">
            <val>0.02</val>
          </value>
          <value>
            <val>4.93</val>
          </value>
          <value t="str">
            <val>12.45</val>
          </value>
          <value t="str">
            <val>上市紡織纖維</val>
          </value>
        </values>
      </ddeItem>
      <ddeItem name="1467.TW-PreTotalVolume,ChipsField25,ChipsField27,DateofMeetingofShareHolders,CompanyPos,TradingDate" advise="1">
        <values cols="6">
          <value>
            <val>1040</val>
          </value>
          <value t="str">
            <val>2021/09/13</val>
          </value>
          <value t="str">
            <val>--</val>
          </value>
          <value t="str">
            <val>2021/07/12</val>
          </value>
          <value t="str">
            <val>為品牌大廠代工及與Wal-mart合作的成衣廠</val>
          </value>
          <value t="str">
            <val>2022/03/10</val>
          </value>
        </values>
      </ddeItem>
      <ddeItem name="1476.TW-ID,Name,Price,PriceChangeRatio,Low,High,Volume,InOutRatioNumber,Capital,ProfitMargin" advise="1">
        <values cols="10">
          <value t="str">
            <val>1476</val>
          </value>
          <value t="str">
            <val>儒鴻</val>
          </value>
          <value>
            <val>453</val>
          </value>
          <value>
            <val>-9.94</val>
          </value>
          <value>
            <val>453</val>
          </value>
          <value>
            <val>500</val>
          </value>
          <value>
            <val>22</val>
          </value>
          <value t="str">
            <val>21.00%</val>
          </value>
          <value t="str">
            <val>27.44</val>
          </value>
          <value t="str">
            <val>26.43</val>
          </value>
        </values>
      </ddeItem>
      <ddeItem name="1476.TW-OperatingProfitRatio,NetProfitMargin,TFXRatio,MonthlyNetSalesYoY,ReturnOnAssets,DividendYear,ProfitFourSeason,CashDividendYieldRate,StockNetValue,ExchangeIndustry" advise="1">
        <values cols="10">
          <value t="str">
            <val>17.81</val>
          </value>
          <value t="str">
            <val>14.33</val>
          </value>
          <value t="str">
            <val>-24.70</val>
          </value>
          <value t="str">
            <val>19.26</val>
          </value>
          <value t="str">
            <val>18.54</val>
          </value>
          <value>
            <val>12</val>
          </value>
          <value t="str">
            <val>18.77</val>
          </value>
          <value>
            <val>2.65</val>
          </value>
          <value t="str">
            <val>77.08</val>
          </value>
          <value t="str">
            <val>上市紡織纖維</val>
          </value>
        </values>
      </ddeItem>
      <ddeItem name="1476.TW-PreTotalVolume,ChipsField25,ChipsField27,DateofMeetingofShareHolders,CompanyPos,TradingDate" advise="1">
        <values cols="6">
          <value>
            <val>1475</val>
          </value>
          <value t="str">
            <val>--</val>
          </value>
          <value t="str">
            <val>--</val>
          </value>
          <value t="str">
            <val>2022/06/14</val>
          </value>
          <value t="str">
            <val>台灣最大針織布及第二大成衣代工廠</val>
          </value>
          <value t="str">
            <val>2022/03/10</val>
          </value>
        </values>
      </ddeItem>
      <ddeItem name="1477.TW-ID,Name,Price,PriceChangeRatio,Low,High,Volume,InOutRatioNumber,Capital,ProfitMargin" advise="1">
        <values cols="10">
          <value t="str">
            <val>1477</val>
          </value>
          <value t="str">
            <val>聚陽</val>
          </value>
          <value>
            <val>197.5</val>
          </value>
          <value>
            <val>-4.82</val>
          </value>
          <value>
            <val>192</val>
          </value>
          <value>
            <val>211</val>
          </value>
          <value>
            <val>146</val>
          </value>
          <value t="str">
            <val>38.98%</val>
          </value>
          <value t="str">
            <val>24.19</val>
          </value>
          <value t="str">
            <val>22.17</val>
          </value>
        </values>
      </ddeItem>
      <ddeItem name="1477.TW-OperatingProfitRatio,NetProfitMargin,TFXRatio,MonthlyNetSalesYoY,ReturnOnAssets,DividendYear,ProfitFourSeason,CashDividendYieldRate,StockNetValue,ExchangeIndustry" advise="1">
        <values cols="10">
          <value t="str">
            <val>12.18</val>
          </value>
          <value t="str">
            <val>9.44</val>
          </value>
          <value t="str">
            <val>-10.50</val>
          </value>
          <value t="str">
            <val>41.56</val>
          </value>
          <value t="str">
            <val>10.63</val>
          </value>
          <value>
            <val>8</val>
          </value>
          <value t="str">
            <val>10.64</val>
          </value>
          <value>
            <val>4.05</val>
          </value>
          <value t="str">
            <val>53.92</val>
          </value>
          <value t="str">
            <val>上市紡織纖維</val>
          </value>
        </values>
      </ddeItem>
      <ddeItem name="1477.TW-PreTotalVolume,ChipsField25,ChipsField27,DateofMeetingofShareHolders,CompanyPos,TradingDate" advise="1">
        <values cols="6">
          <value>
            <val>698</val>
          </value>
          <value t="str">
            <val>2021/04/16</val>
          </value>
          <value t="str">
            <val>--</val>
          </value>
          <value t="str">
            <val>2021/08/24</val>
          </value>
          <value t="str">
            <val>全球第五大、台灣第一大成衣代工廠</val>
          </value>
          <value t="str">
            <val>2022/03/10</val>
          </value>
        </values>
      </ddeItem>
      <ddeItem name="1513.TW-ID,Name,Price,PriceChangeRatio,Low,High,Volume,InOutRatioNumber,Capital,ProfitMargin" advise="1">
        <values cols="10">
          <value t="str">
            <val>1513</val>
          </value>
          <value t="str">
            <val>中興電</val>
          </value>
          <value>
            <val>44.45</val>
          </value>
          <value>
            <val>5.21</val>
          </value>
          <value>
            <val>42.8</val>
          </value>
          <value>
            <val>44.65</val>
          </value>
          <value>
            <val>159</val>
          </value>
          <value t="str">
            <val>69.10%</val>
          </value>
          <value t="str">
            <val>47.61</val>
          </value>
          <value t="str">
            <val>23.50</val>
          </value>
        </values>
      </ddeItem>
      <ddeItem name="1513.TW-OperatingProfitRatio,NetProfitMargin,TFXRatio,MonthlyNetSalesYoY,ReturnOnAssets,DividendYear,ProfitFourSeason,CashDividendYieldRate,StockNetValue,ExchangeIndustry" advise="1">
        <values cols="10">
          <value t="str">
            <val>14.39</val>
          </value>
          <value t="str">
            <val>10.69</val>
          </value>
          <value t="str">
            <val>8.12</val>
          </value>
          <value t="str">
            <val>47.43</val>
          </value>
          <value t="str">
            <val>4.62</val>
          </value>
          <value>
            <val>2.2000000000000002</val>
          </value>
          <value t="str">
            <val>4.81</val>
          </value>
          <value>
            <val>4.95</val>
          </value>
          <value t="str">
            <val>23.30</val>
          </value>
          <value t="str">
            <val>上市電機機械</val>
          </value>
        </values>
      </ddeItem>
      <ddeItem name="1513.TW-PreTotalVolume,ChipsField25,ChipsField27,DateofMeetingofShareHolders,CompanyPos,TradingDate" advise="1">
        <values cols="6">
          <value>
            <val>1362</val>
          </value>
          <value t="str">
            <val>2021/09/07</val>
          </value>
          <value t="str">
            <val>--</val>
          </value>
          <value t="str">
            <val>2021/07/30</val>
          </value>
          <value t="str">
            <val>台灣知名重電及機電工程廠商</val>
          </value>
          <value t="str">
            <val>2022/03/10</val>
          </value>
        </values>
      </ddeItem>
      <ddeItem name="1560.TW-ID,Name,Price,PriceChangeRatio,Low,High,Volume,InOutRatioNumber,Capital,ProfitMargin" advise="1">
        <values cols="10">
          <value t="str">
            <val>1560</val>
          </value>
          <value t="str">
            <val>中砂</val>
          </value>
          <value>
            <val>119.5</val>
          </value>
          <value>
            <val>9.6300000000000008</val>
          </value>
          <value>
            <val>113</val>
          </value>
          <value>
            <val>119.5</val>
          </value>
          <value>
            <val>20</val>
          </value>
          <value t="str">
            <val>75.58%</val>
          </value>
          <value t="str">
            <val>14.28</val>
          </value>
          <value t="str">
            <val>30.90</val>
          </value>
        </values>
      </ddeItem>
      <ddeItem name="1560.TW-OperatingProfitRatio,NetProfitMargin,TFXRatio,MonthlyNetSalesYoY,ReturnOnAssets,DividendYear,ProfitFourSeason,CashDividendYieldRate,StockNetValue,ExchangeIndustry" advise="1">
        <values cols="10">
          <value t="str">
            <val>15.49</val>
          </value>
          <value t="str">
            <val>11.97</val>
          </value>
          <value t="str">
            <val>-0.09</val>
          </value>
          <value t="str">
            <val>12.88</val>
          </value>
          <value t="str">
            <val>7.69</val>
          </value>
          <value>
            <val>0</val>
          </value>
          <value t="str">
            <val>4.78</val>
          </value>
          <value>
            <val>0</val>
          </value>
          <value t="str">
            <val>33.29</val>
          </value>
          <value t="str">
            <val>上市電機機械</val>
          </value>
        </values>
      </ddeItem>
      <ddeItem name="1560.TW-PreTotalVolume,ChipsField25,ChipsField27,DateofMeetingofShareHolders,CompanyPos,TradingDate" advise="1">
        <values cols="6">
          <value>
            <val>4175</val>
          </value>
          <value t="str">
            <val>--</val>
          </value>
          <value t="str">
            <val>--</val>
          </value>
          <value t="str">
            <val>2022/06/22</val>
          </value>
          <value t="str">
            <val>台灣從事砂輪及再生晶圓生產製造廠商</val>
          </value>
          <value t="str">
            <val>2022/03/10</val>
          </value>
        </values>
      </ddeItem>
      <ddeItem name="1597.TW-ID,Name,Price,PriceChangeRatio,Low,High,Volume,InOutRatioNumber,Capital,ProfitMargin" advise="1">
        <values cols="10">
          <value t="str">
            <val>1597</val>
          </value>
          <value t="str">
            <val>直得</val>
          </value>
          <value>
            <val>94.5</val>
          </value>
          <value>
            <val>7.88</val>
          </value>
          <value>
            <val>88.3</val>
          </value>
          <value>
            <val>94.8</val>
          </value>
          <value>
            <val>72</val>
          </value>
          <value t="str">
            <val>60.96%</val>
          </value>
          <value t="str">
            <val>8.12</val>
          </value>
          <value t="str">
            <val>41.67</val>
          </value>
        </values>
      </ddeItem>
      <ddeItem name="1597.TW-OperatingProfitRatio,NetProfitMargin,TFXRatio,MonthlyNetSalesYoY,ReturnOnAssets,DividendYear,ProfitFourSeason,CashDividendYieldRate,StockNetValue,ExchangeIndustry" advise="1">
        <values cols="10">
          <value t="str">
            <val>26.03</val>
          </value>
          <value t="str">
            <val>16.63</val>
          </value>
          <value t="str">
            <val>-9.74</val>
          </value>
          <value t="str">
            <val>-8.67</val>
          </value>
          <value t="str">
            <val>8.60</val>
          </value>
          <value>
            <val>2.5</val>
          </value>
          <value t="str">
            <val>3.82</val>
          </value>
          <value>
            <val>2.65</val>
          </value>
          <value t="str">
            <val>28.31</val>
          </value>
          <value t="str">
            <val>上市電機機械</val>
          </value>
        </values>
      </ddeItem>
      <ddeItem name="1597.TW-PreTotalVolume,ChipsField25,ChipsField27,DateofMeetingofShareHolders,CompanyPos,TradingDate" advise="1">
        <values cols="6">
          <value>
            <val>835</val>
          </value>
          <value t="str">
            <val>--</val>
          </value>
          <value t="str">
            <val>--</val>
          </value>
          <value t="str">
            <val>2022/05/27</val>
          </value>
          <value t="str">
            <val>全球前3大微型線性滑軌元件廠商</val>
          </value>
          <value t="str">
            <val>2022/03/10</val>
          </value>
        </values>
      </ddeItem>
      <ddeItem name="1711.TW-ID,Name,Price,PriceChangeRatio,Low,High,Volume,InOutRatioNumber,Capital,ProfitMargin" advise="1">
        <values cols="10">
          <value t="str">
            <val>1711</val>
          </value>
          <value t="str">
            <val>永光</val>
          </value>
          <value>
            <val>26.45</val>
          </value>
          <value>
            <val>4.34</val>
          </value>
          <value>
            <val>25.75</val>
          </value>
          <value>
            <val>26.6</val>
          </value>
          <value>
            <val>194</val>
          </value>
          <value t="str">
            <val>58.86%</val>
          </value>
          <value t="str">
            <val>54.78</val>
          </value>
          <value t="str">
            <val>24.49</val>
          </value>
        </values>
      </ddeItem>
      <ddeItem name="1711.TW-OperatingProfitRatio,NetProfitMargin,TFXRatio,MonthlyNetSalesYoY,ReturnOnAssets,DividendYear,ProfitFourSeason,CashDividendYieldRate,StockNetValue,ExchangeIndustry" advise="1">
        <values cols="10">
          <value t="str">
            <val>7.08</val>
          </value>
          <value t="str">
            <val>5.90</val>
          </value>
          <value t="str">
            <val>-24.29</val>
          </value>
          <value t="str">
            <val>6.13</val>
          </value>
          <value t="str">
            <val>3.20</val>
          </value>
          <value>
            <val>0</val>
          </value>
          <value t="str">
            <val>0.88</val>
          </value>
          <value>
            <val>0</val>
          </value>
          <value t="str">
            <val>15.80</val>
          </value>
          <value t="str">
            <val>上市化工</val>
          </value>
        </values>
      </ddeItem>
      <ddeItem name="1711.TW-PreTotalVolume,ChipsField25,ChipsField27,DateofMeetingofShareHolders,CompanyPos,TradingDate" advise="1">
        <values cols="6">
          <value>
            <val>2774</val>
          </value>
          <value t="str">
            <val>--</val>
          </value>
          <value t="str">
            <val>--</val>
          </value>
          <value t="str">
            <val>2022/05/26</val>
          </value>
          <value t="str">
            <val>全球前五大、亞洲最大染料廠</val>
          </value>
          <value t="str">
            <val>2022/03/10</val>
          </value>
        </values>
      </ddeItem>
      <ddeItem name="1714.TW-ID,Name,Price,PriceChangeRatio,Low,High,Volume,InOutRatioNumber,Capital,ProfitMargin" advise="1">
        <values cols="10">
          <value t="str">
            <val>1714</val>
          </value>
          <value t="str">
            <val>和桐</val>
          </value>
          <value>
            <val>10.55</val>
          </value>
          <value>
            <val>4.46</val>
          </value>
          <value>
            <val>10.15</val>
          </value>
          <value>
            <val>10.9</val>
          </value>
          <value>
            <val>1193</val>
          </value>
          <value t="str">
            <val>75.51%</val>
          </value>
          <value t="str">
            <val>101.68</val>
          </value>
          <value t="str">
            <val>16.75</val>
          </value>
        </values>
      </ddeItem>
      <ddeItem name="1714.TW-OperatingProfitRatio,NetProfitMargin,TFXRatio,MonthlyNetSalesYoY,ReturnOnAssets,DividendYear,ProfitFourSeason,CashDividendYieldRate,StockNetValue,ExchangeIndustry" advise="1">
        <values cols="10">
          <value t="str">
            <val>10.70</val>
          </value>
          <value t="str">
            <val>8.89</val>
          </value>
          <value t="str">
            <val>-2.33</val>
          </value>
          <value t="str">
            <val>23.11</val>
          </value>
          <value t="str">
            <val>5.81</val>
          </value>
          <value>
            <val>0.7</val>
          </value>
          <value t="str">
            <val>0.52</val>
          </value>
          <value>
            <val>6.64</val>
          </value>
          <value t="str">
            <val>12.32</val>
          </value>
          <value t="str">
            <val>上市化工</val>
          </value>
        </values>
      </ddeItem>
      <ddeItem name="1714.TW-PreTotalVolume,ChipsField25,ChipsField27,DateofMeetingofShareHolders,CompanyPos,TradingDate" advise="1">
        <values cols="6">
          <value>
            <val>2455</val>
          </value>
          <value t="str">
            <val>2021/08/30</val>
          </value>
          <value t="str">
            <val>--</val>
          </value>
          <value t="str">
            <val>2021/08/05</val>
          </value>
          <value t="str">
            <val>亞洲最大正烷屬烴供應商</val>
          </value>
          <value t="str">
            <val>2022/03/10</val>
          </value>
        </values>
      </ddeItem>
      <ddeItem name="1773.TW-ID,Name,Price,PriceChangeRatio,Low,High,Volume,InOutRatioNumber,Capital,ProfitMargin" advise="1">
        <values cols="10">
          <value t="str">
            <val>1773</val>
          </value>
          <value t="str">
            <val>勝一</val>
          </value>
          <value>
            <val>202.5</val>
          </value>
          <value>
            <val>6.58</val>
          </value>
          <value>
            <val>194.5</val>
          </value>
          <value>
            <val>203</val>
          </value>
          <value>
            <val>67</val>
          </value>
          <value t="str">
            <val>63.84%</val>
          </value>
          <value t="str">
            <val>20.00</val>
          </value>
          <value t="str">
            <val>28.11</val>
          </value>
        </values>
      </ddeItem>
      <ddeItem name="1773.TW-OperatingProfitRatio,NetProfitMargin,TFXRatio,MonthlyNetSalesYoY,ReturnOnAssets,DividendYear,ProfitFourSeason,CashDividendYieldRate,StockNetValue,ExchangeIndustry" advise="1">
        <values cols="10">
          <value t="str">
            <val>17.12</val>
          </value>
          <value t="str">
            <val>14.51</val>
          </value>
          <value t="str">
            <val>-16.03</val>
          </value>
          <value t="str">
            <val>30.48</val>
          </value>
          <value t="str">
            <val>16.88</val>
          </value>
          <value>
            <val>5.5</val>
          </value>
          <value t="str">
            <val>8.51</val>
          </value>
          <value>
            <val>2.72</val>
          </value>
          <value t="str">
            <val>33.92</val>
          </value>
          <value t="str">
            <val>上市化工</val>
          </value>
        </values>
      </ddeItem>
      <ddeItem name="1773.TW-PreTotalVolume,ChipsField25,ChipsField27,DateofMeetingofShareHolders,CompanyPos,TradingDate" advise="1">
        <values cols="6">
          <value>
            <val>781</val>
          </value>
          <value t="str">
            <val>--</val>
          </value>
          <value t="str">
            <val>--</val>
          </value>
          <value t="str">
            <val>2022/05/25</val>
          </value>
          <value t="str">
            <val>台灣第2大溶劑廠商</val>
          </value>
          <value t="str">
            <val>2022/03/10</val>
          </value>
        </values>
      </ddeItem>
      <ddeItem name="2007.TW-ID,Name,Price,PriceChangeRatio,Low,High,Volume,InOutRatioNumber,Capital,ProfitMargin" advise="1">
        <values cols="10">
          <value t="str">
            <val>2007</val>
          </value>
          <value t="str">
            <val>燁興</val>
          </value>
          <value>
            <val>20.399999999999999</val>
          </value>
          <value>
            <val>-0.24</val>
          </value>
          <value>
            <val>20.25</val>
          </value>
          <value>
            <val>21</val>
          </value>
          <value>
            <val>448</val>
          </value>
          <value t="str">
            <val>65.32%</val>
          </value>
          <value t="str">
            <val>53.07</val>
          </value>
          <value t="str">
            <val>8.16</val>
          </value>
        </values>
      </ddeItem>
      <ddeItem name="2007.TW-OperatingProfitRatio,NetProfitMargin,TFXRatio,MonthlyNetSalesYoY,ReturnOnAssets,DividendYear,ProfitFourSeason,CashDividendYieldRate,StockNetValue,ExchangeIndustry" advise="1">
        <values cols="10">
          <value t="str">
            <val>5.63</val>
          </value>
          <value t="str">
            <val>0.68</val>
          </value>
          <value t="str">
            <val>-3.37</val>
          </value>
          <value t="str">
            <val>1.68</val>
          </value>
          <value t="str">
            <val>0.82</val>
          </value>
          <value>
            <val>0</val>
          </value>
          <value t="str">
            <val>-0.06</val>
          </value>
          <value>
            <val>0</val>
          </value>
          <value t="str">
            <val>14.10</val>
          </value>
          <value t="str">
            <val>上市鋼鐵</val>
          </value>
        </values>
      </ddeItem>
      <ddeItem name="2007.TW-PreTotalVolume,ChipsField25,ChipsField27,DateofMeetingofShareHolders,CompanyPos,TradingDate" advise="1">
        <values cols="6">
          <value>
            <val>8355</val>
          </value>
          <value t="str">
            <val>--</val>
          </value>
          <value t="str">
            <val>--</val>
          </value>
          <value t="str">
            <val>2022/06/22</val>
          </value>
          <value t="str">
            <val>台灣不鏽鋼線材盤元大廠之一</val>
          </value>
          <value t="str">
            <val>2022/03/10</val>
          </value>
        </values>
      </ddeItem>
      <ddeItem name="2029.TW-ID,Name,Price,PriceChangeRatio,Low,High,Volume,InOutRatioNumber,Capital,ProfitMargin" advise="1">
        <values cols="10">
          <value t="str">
            <val>2029</val>
          </value>
          <value t="str">
            <val>盛餘</val>
          </value>
          <value>
            <val>32.75</val>
          </value>
          <value>
            <val>4.47</val>
          </value>
          <value>
            <val>31.5</val>
          </value>
          <value>
            <val>32.799999999999997</val>
          </value>
          <value>
            <val>100</val>
          </value>
          <value t="str">
            <val>67.91%</val>
          </value>
          <value t="str">
            <val>32.12</val>
          </value>
          <value t="str">
            <val>15.24</val>
          </value>
        </values>
      </ddeItem>
      <ddeItem name="2029.TW-OperatingProfitRatio,NetProfitMargin,TFXRatio,MonthlyNetSalesYoY,ReturnOnAssets,DividendYear,ProfitFourSeason,CashDividendYieldRate,StockNetValue,ExchangeIndustry" advise="1">
        <values cols="10">
          <value t="str">
            <val>11.12</val>
          </value>
          <value t="str">
            <val>9.22</val>
          </value>
          <value t="str">
            <val>-13.12</val>
          </value>
          <value t="str">
            <val>1.47</val>
          </value>
          <value t="str">
            <val>9.08</val>
          </value>
          <value>
            <val>0.5</val>
          </value>
          <value t="str">
            <val>3.59</val>
          </value>
          <value>
            <val>1.53</val>
          </value>
          <value t="str">
            <val>30.00</val>
          </value>
          <value t="str">
            <val>上市鋼鐵</val>
          </value>
        </values>
      </ddeItem>
      <ddeItem name="2029.TW-PreTotalVolume,ChipsField25,ChipsField27,DateofMeetingofShareHolders,CompanyPos,TradingDate" advise="1">
        <values cols="6">
          <value>
            <val>823</val>
          </value>
          <value t="str">
            <val>2021/07/14</val>
          </value>
          <value t="str">
            <val>--</val>
          </value>
          <value t="str">
            <val>2021/08/06</val>
          </value>
          <value t="str">
            <val>台灣鍍面一貫化處理鋼捲製造商</val>
          </value>
          <value t="str">
            <val>2022/03/10</val>
          </value>
        </values>
      </ddeItem>
      <ddeItem name="2108.TW-ID,Name,Price,PriceChangeRatio,Low,High,Volume,InOutRatioNumber,Capital,ProfitMargin" advise="1">
        <values cols="10">
          <value t="str">
            <val>2108</val>
          </value>
          <value t="str">
            <val>南帝</val>
          </value>
          <value>
            <val>81.3</val>
          </value>
          <value>
            <val>6.27</val>
          </value>
          <value>
            <val>80.2</val>
          </value>
          <value>
            <val>82</val>
          </value>
          <value>
            <val>378</val>
          </value>
          <value t="str">
            <val>56.42%</val>
          </value>
          <value t="str">
            <val>49.24</val>
          </value>
          <value t="str">
            <val>52.05</val>
          </value>
        </values>
      </ddeItem>
      <ddeItem name="2108.TW-OperatingProfitRatio,NetProfitMargin,TFXRatio,MonthlyNetSalesYoY,ReturnOnAssets,DividendYear,ProfitFourSeason,CashDividendYieldRate,StockNetValue,ExchangeIndustry" advise="1">
        <values cols="10">
          <value t="str">
            <val>42.15</val>
          </value>
          <value t="str">
            <val>31.87</val>
          </value>
          <value t="str">
            <val>-12.07</val>
          </value>
          <value t="str">
            <val>-50.18</val>
          </value>
          <value t="str">
            <val>42.65</val>
          </value>
          <value>
            <val>7</val>
          </value>
          <value t="str">
            <val>14.92</val>
          </value>
          <value>
            <val>8.61</val>
          </value>
          <value t="str">
            <val>32.91</val>
          </value>
          <value t="str">
            <val>上市橡膠</val>
          </value>
        </values>
      </ddeItem>
      <ddeItem name="2108.TW-PreTotalVolume,ChipsField25,ChipsField27,DateofMeetingofShareHolders,CompanyPos,TradingDate" advise="1">
        <values cols="6">
          <value>
            <val>5607</val>
          </value>
          <value t="str">
            <val>2022/03/24</val>
          </value>
          <value t="str">
            <val>--</val>
          </value>
          <value t="str">
            <val>2022/05/26</val>
          </value>
          <value t="str">
            <val>全球前五大NBR乳膠廠</val>
          </value>
          <value t="str">
            <val>2022/03/10</val>
          </value>
        </values>
      </ddeItem>
      <ddeItem name="2314.TW-ID,Name,Price,PriceChangeRatio,Low,High,Volume,InOutRatioNumber,Capital,ProfitMargin" advise="1">
        <values cols="10">
          <value t="str">
            <val>2314</val>
          </value>
          <value t="str">
            <val>台揚</val>
          </value>
          <value>
            <val>57.6</val>
          </value>
          <value>
            <val>5.88</val>
          </value>
          <value>
            <val>55.3</val>
          </value>
          <value>
            <val>58.7</val>
          </value>
          <value>
            <val>23</val>
          </value>
          <value t="str">
            <val>59.38%</val>
          </value>
          <value t="str">
            <val>23.80</val>
          </value>
          <value t="str">
            <val>14.25</val>
          </value>
        </values>
      </ddeItem>
      <ddeItem name="2314.TW-OperatingProfitRatio,NetProfitMargin,TFXRatio,MonthlyNetSalesYoY,ReturnOnAssets,DividendYear,ProfitFourSeason,CashDividendYieldRate,StockNetValue,ExchangeIndustry" advise="1">
        <values cols="10">
          <value t="str">
            <val>-10.43</val>
          </value>
          <value t="str">
            <val>-10.24</val>
          </value>
          <value t="str">
            <val>5.65</val>
          </value>
          <value t="str">
            <val>1.67</val>
          </value>
          <value t="str">
            <val>-5.06</val>
          </value>
          <value>
            <val>0</val>
          </value>
          <value t="str">
            <val>-1.53</val>
          </value>
          <value>
            <val>0</val>
          </value>
          <value t="str">
            <val>9.17</val>
          </value>
          <value t="str">
            <val>上市通信網路</val>
          </value>
        </values>
      </ddeItem>
      <ddeItem name="2314.TW-PreTotalVolume,ChipsField25,ChipsField27,DateofMeetingofShareHolders,CompanyPos,TradingDate" advise="1">
        <values cols="6">
          <value>
            <val>1032</val>
          </value>
          <value t="str">
            <val>--</val>
          </value>
          <value t="str">
            <val>--</val>
          </value>
          <value t="str">
            <val>2021/08/26</val>
          </value>
          <value t="str">
            <val>鴻海轉投資衛星、微波通訊設備製造商</val>
          </value>
          <value t="str">
            <val>2022/03/10</val>
          </value>
        </values>
      </ddeItem>
      <ddeItem name="2323.TW-ID,Name,Price,PriceChangeRatio,Low,High,Volume,InOutRatioNumber,Capital,ProfitMargin" advise="1">
        <values cols="10">
          <value t="str">
            <val>2323</val>
          </value>
          <value t="str">
            <val>中環</val>
          </value>
          <value>
            <val>10.85</val>
          </value>
          <value>
            <val>5.34</val>
          </value>
          <value>
            <val>10.55</val>
          </value>
          <value>
            <val>11</val>
          </value>
          <value>
            <val>786</val>
          </value>
          <value t="str">
            <val>49.07%</val>
          </value>
          <value t="str">
            <val>115.89</val>
          </value>
          <value t="str">
            <val>22.86</val>
          </value>
        </values>
      </ddeItem>
      <ddeItem name="2323.TW-OperatingProfitRatio,NetProfitMargin,TFXRatio,MonthlyNetSalesYoY,ReturnOnAssets,DividendYear,ProfitFourSeason,CashDividendYieldRate,StockNetValue,ExchangeIndustry" advise="1">
        <values cols="10">
          <value t="str">
            <val>-2.24</val>
          </value>
          <value t="str">
            <val>-0.31</val>
          </value>
          <value t="str">
            <val>-15.05</val>
          </value>
          <value t="str">
            <val>1.80</val>
          </value>
          <value t="str">
            <val>0.06</val>
          </value>
          <value>
            <val>0.7</val>
          </value>
          <value t="str">
            <val>0.55</val>
          </value>
          <value>
            <val>6.45</val>
          </value>
          <value t="str">
            <val>15.53</val>
          </value>
          <value t="str">
            <val>上市光電</val>
          </value>
        </values>
      </ddeItem>
      <ddeItem name="2323.TW-PreTotalVolume,ChipsField25,ChipsField27,DateofMeetingofShareHolders,CompanyPos,TradingDate" advise="1">
        <values cols="6">
          <value>
            <val>9776</val>
          </value>
          <value t="str">
            <val>2021/09/06</val>
          </value>
          <value t="str">
            <val>--</val>
          </value>
          <value t="str">
            <val>2021/07/23</val>
          </value>
          <value t="str">
            <val>全球前三大光碟片製造商之一</val>
          </value>
          <value t="str">
            <val>2022/03/10</val>
          </value>
        </values>
      </ddeItem>
      <ddeItem name="2352.TW-ID,Name,Price,PriceChangeRatio,Low,High,Volume,InOutRatioNumber,Capital,ProfitMargin" advise="1">
        <values cols="10">
          <value t="str">
            <val>2352</val>
          </value>
          <value t="str">
            <val>佳世達</val>
          </value>
          <value>
            <val>31.95</val>
          </value>
          <value>
            <val>1.91</val>
          </value>
          <value>
            <val>31.7</val>
          </value>
          <value>
            <val>32.35</val>
          </value>
          <value>
            <val>289</val>
          </value>
          <value t="str">
            <val>56.60%</val>
          </value>
          <value t="str">
            <val>196.68</val>
          </value>
          <value t="str">
            <val>14.41</val>
          </value>
        </values>
      </ddeItem>
      <ddeItem name="2352.TW-OperatingProfitRatio,NetProfitMargin,TFXRatio,MonthlyNetSalesYoY,ReturnOnAssets,DividendYear,ProfitFourSeason,CashDividendYieldRate,StockNetValue,ExchangeIndustry" advise="1">
        <values cols="10">
          <value t="str">
            <val>3.26</val>
          </value>
          <value t="str">
            <val>4.64</val>
          </value>
          <value t="str">
            <val>-13.03</val>
          </value>
          <value t="str">
            <val>22.40</val>
          </value>
          <value t="str">
            <val>6.16</val>
          </value>
          <value>
            <val>2.5</val>
          </value>
          <value t="str">
            <val>4.22</val>
          </value>
          <value>
            <val>7.82</val>
          </value>
          <value t="str">
            <val>21.08</val>
          </value>
          <value t="str">
            <val>上市電腦及週邊設備</val>
          </value>
        </values>
      </ddeItem>
      <ddeItem name="2352.TW-PreTotalVolume,ChipsField25,ChipsField27,DateofMeetingofShareHolders,CompanyPos,TradingDate" advise="1">
        <values cols="6">
          <value>
            <val>5635</val>
          </value>
          <value t="str">
            <val>--</val>
          </value>
          <value t="str">
            <val>--</val>
          </value>
          <value t="str">
            <val>2022/05/30</val>
          </value>
          <value t="str">
            <val>LCD顯示器及投影機大廠</val>
          </value>
          <value t="str">
            <val>2022/03/10</val>
          </value>
        </values>
      </ddeItem>
      <ddeItem name="2369.TW-ID,Name,Price,PriceChangeRatio,Low,High,Volume,InOutRatioNumber,Capital,ProfitMargin" advise="1">
        <values cols="10">
          <value t="str">
            <val>2369</val>
          </value>
          <value t="str">
            <val>菱生</val>
          </value>
          <value>
            <val>22.9</val>
          </value>
          <value>
            <val>3.15</val>
          </value>
          <value>
            <val>22.7</val>
          </value>
          <value>
            <val>23.15</val>
          </value>
          <value>
            <val>292</val>
          </value>
          <value t="str">
            <val>44.95%</val>
          </value>
          <value t="str">
            <val>38.01</val>
          </value>
          <value t="str">
            <val>18.92</val>
          </value>
        </values>
      </ddeItem>
      <ddeItem name="2369.TW-OperatingProfitRatio,NetProfitMargin,TFXRatio,MonthlyNetSalesYoY,ReturnOnAssets,DividendYear,ProfitFourSeason,CashDividendYieldRate,StockNetValue,ExchangeIndustry" advise="1">
        <values cols="10">
          <value t="str">
            <val>11.27</val>
          </value>
          <value t="str">
            <val>10.96</val>
          </value>
          <value t="str">
            <val>-13.12</val>
          </value>
          <value t="str">
            <val>5.57</val>
          </value>
          <value t="str">
            <val>7.65</val>
          </value>
          <value>
            <val>0</val>
          </value>
          <value t="str">
            <val>1.45</val>
          </value>
          <value>
            <val>0</val>
          </value>
          <value t="str">
            <val>14.85</val>
          </value>
          <value t="str">
            <val>上市半導體</val>
          </value>
        </values>
      </ddeItem>
      <ddeItem name="2369.TW-PreTotalVolume,ChipsField25,ChipsField27,DateofMeetingofShareHolders,CompanyPos,TradingDate" advise="1">
        <values cols="6">
          <value>
            <val>1902</val>
          </value>
          <value t="str">
            <val>--</val>
          </value>
          <value t="str">
            <val>--</val>
          </value>
          <value t="str">
            <val>2021/08/26</val>
          </value>
          <value t="str">
            <val>客戶以類比IC為主的小型封裝廠</val>
          </value>
          <value t="str">
            <val>2022/03/10</val>
          </value>
        </values>
      </ddeItem>
      <ddeItem name="2385.TW-ID,Name,Price,PriceChangeRatio,Low,High,Volume,InOutRatioNumber,Capital,ProfitMargin" advise="1">
        <values cols="10">
          <value t="str">
            <val>2385</val>
          </value>
          <value t="str">
            <val>群光</val>
          </value>
          <value>
            <val>90.4</val>
          </value>
          <value>
            <val>1.8</val>
          </value>
          <value>
            <val>89.8</val>
          </value>
          <value>
            <val>91.2</val>
          </value>
          <value>
            <val>219</val>
          </value>
          <value t="str">
            <val>50.26%</val>
          </value>
          <value t="str">
            <val>74.53</val>
          </value>
          <value t="str">
            <val>17.59</val>
          </value>
        </values>
      </ddeItem>
      <ddeItem name="2385.TW-OperatingProfitRatio,NetProfitMargin,TFXRatio,MonthlyNetSalesYoY,ReturnOnAssets,DividendYear,ProfitFourSeason,CashDividendYieldRate,StockNetValue,ExchangeIndustry" advise="1">
        <values cols="10">
          <value t="str">
            <val>8.01</val>
          </value>
          <value t="str">
            <val>7.05</val>
          </value>
          <value t="str">
            <val>-16.26</val>
          </value>
          <value t="str">
            <val>21.68</val>
          </value>
          <value t="str">
            <val>9.57</val>
          </value>
          <value>
            <val>6.1</val>
          </value>
          <value t="str">
            <val>8.71</val>
          </value>
          <value>
            <val>6.75</val>
          </value>
          <value t="str">
            <val>43.02</val>
          </value>
          <value t="str">
            <val>上市電子零組件</val>
          </value>
        </values>
      </ddeItem>
      <ddeItem name="2385.TW-PreTotalVolume,ChipsField25,ChipsField27,DateofMeetingofShareHolders,CompanyPos,TradingDate" advise="1">
        <values cols="6">
          <value>
            <val>1226</val>
          </value>
          <value t="str">
            <val>--</val>
          </value>
          <value t="str">
            <val>--</val>
          </value>
          <value t="str">
            <val>2022/06/10</val>
          </value>
          <value t="str">
            <val>全球PC鍵盤排名前三大之電腦週邊廠</val>
          </value>
          <value t="str">
            <val>2022/03/10</val>
          </value>
        </values>
      </ddeItem>
      <ddeItem name="2399.TW-ID,Name,Price,PriceChangeRatio,Low,High,Volume,InOutRatioNumber,Capital,ProfitMargin" advise="1">
        <values cols="10">
          <value t="str">
            <val>2399</val>
          </value>
          <value t="str">
            <val>映泰</val>
          </value>
          <value>
            <val>22.1</val>
          </value>
          <value>
            <val>3.03</val>
          </value>
          <value>
            <val>22</val>
          </value>
          <value>
            <val>23</val>
          </value>
          <value>
            <val>215</val>
          </value>
          <value t="str">
            <val>50.48%</val>
          </value>
          <value t="str">
            <val>17.81</val>
          </value>
          <value t="str">
            <val>19.50</val>
          </value>
        </values>
      </ddeItem>
      <ddeItem name="2399.TW-OperatingProfitRatio,NetProfitMargin,TFXRatio,MonthlyNetSalesYoY,ReturnOnAssets,DividendYear,ProfitFourSeason,CashDividendYieldRate,StockNetValue,ExchangeIndustry" advise="1">
        <values cols="10">
          <value t="str">
            <val>6.96</val>
          </value>
          <value t="str">
            <val>14.38</val>
          </value>
          <value t="str">
            <val>-31.66</val>
          </value>
          <value t="str">
            <val>32.39</val>
          </value>
          <value t="str">
            <val>9.47</val>
          </value>
          <value>
            <val>0.4</val>
          </value>
          <value t="str">
            <val>1.75</val>
          </value>
          <value>
            <val>1.81</val>
          </value>
          <value t="str">
            <val>13.18</val>
          </value>
          <value t="str">
            <val>上市電腦及週邊設備</val>
          </value>
        </values>
      </ddeItem>
      <ddeItem name="2399.TW-PreTotalVolume,ChipsField25,ChipsField27,DateofMeetingofShareHolders,CompanyPos,TradingDate" advise="1">
        <values cols="6">
          <value>
            <val>1133</val>
          </value>
          <value t="str">
            <val>2021/08/17</val>
          </value>
          <value t="str">
            <val>--</val>
          </value>
          <value t="str">
            <val>2021/07/29</val>
          </value>
          <value t="str">
            <val>台灣二線主機板廠</val>
          </value>
          <value t="str">
            <val>2022/03/10</val>
          </value>
        </values>
      </ddeItem>
      <ddeItem name="2405.TW-ID,Name,Price,PriceChangeRatio,Low,High,Volume,InOutRatioNumber,Capital,ProfitMargin" advise="1">
        <values cols="10">
          <value t="str">
            <val>2405</val>
          </value>
          <value t="str">
            <val>浩鑫</val>
          </value>
          <value>
            <val>14.5</val>
          </value>
          <value>
            <val>9.85</val>
          </value>
          <value>
            <val>13.5</val>
          </value>
          <value>
            <val>14.5</val>
          </value>
          <value>
            <val>38</val>
          </value>
          <value t="str">
            <val>82.11%</val>
          </value>
          <value t="str">
            <val>34.34</val>
          </value>
          <value t="str">
            <val>39.88</val>
          </value>
        </values>
      </ddeItem>
      <ddeItem name="2405.TW-OperatingProfitRatio,NetProfitMargin,TFXRatio,MonthlyNetSalesYoY,ReturnOnAssets,DividendYear,ProfitFourSeason,CashDividendYieldRate,StockNetValue,ExchangeIndustry" advise="1">
        <values cols="10">
          <value t="str">
            <val>3.93</val>
          </value>
          <value t="str">
            <val>1.68</val>
          </value>
          <value t="str">
            <val>15.77</val>
          </value>
          <value t="str">
            <val>29.78</val>
          </value>
          <value t="str">
            <val>0.60</val>
          </value>
          <value>
            <val>0</val>
          </value>
          <value t="str">
            <val>0.29</val>
          </value>
          <value>
            <val>0</val>
          </value>
          <value t="str">
            <val>9.87</val>
          </value>
          <value t="str">
            <val>上市電腦及週邊設備</val>
          </value>
        </values>
      </ddeItem>
      <ddeItem name="2405.TW-PreTotalVolume,ChipsField25,ChipsField27,DateofMeetingofShareHolders,CompanyPos,TradingDate" advise="1">
        <values cols="6">
          <value>
            <val>1274</val>
          </value>
          <value t="str">
            <val>--</val>
          </value>
          <value t="str">
            <val>--</val>
          </value>
          <value t="str">
            <val>2021/07/05</val>
          </value>
          <value t="str">
            <val>台灣準系統廠</val>
          </value>
          <value t="str">
            <val>2022/03/10</val>
          </value>
        </values>
      </ddeItem>
      <ddeItem name="2465.TW-ID,Name,Price,PriceChangeRatio,Low,High,Volume,InOutRatioNumber,Capital,ProfitMargin" advise="1">
        <values cols="10">
          <value t="str">
            <val>2465</val>
          </value>
          <value t="str">
            <val>麗臺</val>
          </value>
          <value>
            <val>67.7</val>
          </value>
          <value>
            <val>0.74</val>
          </value>
          <value>
            <val>67.599999999999994</val>
          </value>
          <value>
            <val>72</val>
          </value>
          <value>
            <val>184</val>
          </value>
          <value t="str">
            <val>43.90%</val>
          </value>
          <value t="str">
            <val>5.36</val>
          </value>
          <value t="str">
            <val>18.69</val>
          </value>
        </values>
      </ddeItem>
      <ddeItem name="2465.TW-OperatingProfitRatio,NetProfitMargin,TFXRatio,MonthlyNetSalesYoY,ReturnOnAssets,DividendYear,ProfitFourSeason,CashDividendYieldRate,StockNetValue,ExchangeIndustry" advise="1">
        <values cols="10">
          <value t="str">
            <val>6.59</val>
          </value>
          <value t="str">
            <val>5.27</val>
          </value>
          <value t="str">
            <val>-43.35</val>
          </value>
          <value t="str">
            <val>13.92</val>
          </value>
          <value t="str">
            <val>19.74</val>
          </value>
          <value>
            <val>0</val>
          </value>
          <value t="str">
            <val>7.21</val>
          </value>
          <value>
            <val>0</val>
          </value>
          <value t="str">
            <val>12.48</val>
          </value>
          <value t="str">
            <val>上市電腦及週邊設備</val>
          </value>
        </values>
      </ddeItem>
      <ddeItem name="2465.TW-PreTotalVolume,ChipsField25,ChipsField27,DateofMeetingofShareHolders,CompanyPos,TradingDate" advise="1">
        <values cols="6">
          <value>
            <val>969</val>
          </value>
          <value t="str">
            <val>--</val>
          </value>
          <value t="str">
            <val>--</val>
          </value>
          <value t="str">
            <val>2021/08/27</val>
          </value>
          <value t="str">
            <val>台灣繪圖卡廠商</val>
          </value>
          <value t="str">
            <val>2022/03/10</val>
          </value>
        </values>
      </ddeItem>
      <ddeItem name="2476.TW-ID,Name,Price,PriceChangeRatio,Low,High,Volume,InOutRatioNumber,Capital,ProfitMargin" advise="1">
        <values cols="10">
          <value t="str">
            <val>2476</val>
          </value>
          <value t="str">
            <val>鉅祥</val>
          </value>
          <value>
            <val>57</val>
          </value>
          <value>
            <val>3.83</val>
          </value>
          <value>
            <val>55.4</val>
          </value>
          <value>
            <val>57.9</val>
          </value>
          <value>
            <val>145</val>
          </value>
          <value t="str">
            <val>53.56%</val>
          </value>
          <value t="str">
            <val>18.78</val>
          </value>
          <value t="str">
            <val>29.73</val>
          </value>
        </values>
      </ddeItem>
      <ddeItem name="2476.TW-OperatingProfitRatio,NetProfitMargin,TFXRatio,MonthlyNetSalesYoY,ReturnOnAssets,DividendYear,ProfitFourSeason,CashDividendYieldRate,StockNetValue,ExchangeIndustry" advise="1">
        <values cols="10">
          <value t="str">
            <val>16.17</val>
          </value>
          <value t="str">
            <val>12.66</val>
          </value>
          <value t="str">
            <val>-13.35</val>
          </value>
          <value t="str">
            <val>22.72</val>
          </value>
          <value t="str">
            <val>7.18</val>
          </value>
          <value>
            <val>1.2</val>
          </value>
          <value t="str">
            <val>3.50</val>
          </value>
          <value>
            <val>2.11</val>
          </value>
          <value t="str">
            <val>26.42</val>
          </value>
          <value t="str">
            <val>上市電子零組件</val>
          </value>
        </values>
      </ddeItem>
      <ddeItem name="2476.TW-PreTotalVolume,ChipsField25,ChipsField27,DateofMeetingofShareHolders,CompanyPos,TradingDate" advise="1">
        <values cols="6">
          <value>
            <val>1193</val>
          </value>
          <value t="str">
            <val>2021/08/03</val>
          </value>
          <value t="str">
            <val>--</val>
          </value>
          <value t="str">
            <val>2022/06/10</val>
          </value>
          <value t="str">
            <val>台灣第一大金屬沖壓件廠商</val>
          </value>
          <value t="str">
            <val>2022/03/10</val>
          </value>
        </values>
      </ddeItem>
      <ddeItem name="2477.TW-ID,Name,Price,PriceChangeRatio,Low,High,Volume,InOutRatioNumber,Capital,ProfitMargin" advise="1">
        <values cols="10">
          <value t="str">
            <val>2477</val>
          </value>
          <value t="str">
            <val>美隆電</val>
          </value>
          <value>
            <val>33.15</val>
          </value>
          <value>
            <val>6.94</val>
          </value>
          <value>
            <val>31.6</val>
          </value>
          <value>
            <val>33.25</val>
          </value>
          <value>
            <val>60</val>
          </value>
          <value t="str">
            <val>65.39%</val>
          </value>
          <value t="str">
            <val>19.82</val>
          </value>
          <value t="str">
            <val>16.69</val>
          </value>
        </values>
      </ddeItem>
      <ddeItem name="2477.TW-OperatingProfitRatio,NetProfitMargin,TFXRatio,MonthlyNetSalesYoY,ReturnOnAssets,DividendYear,ProfitFourSeason,CashDividendYieldRate,StockNetValue,ExchangeIndustry" advise="1">
        <values cols="10">
          <value t="str">
            <val>-2.41</val>
          </value>
          <value t="str">
            <val>61.12</val>
          </value>
          <value t="str">
            <val>-57.91</val>
          </value>
          <value t="str">
            <val>6.63</val>
          </value>
          <value t="str">
            <val>16.81</val>
          </value>
          <value>
            <val>1.45</val>
          </value>
          <value t="str">
            <val>8.43</val>
          </value>
          <value>
            <val>4.37</val>
          </value>
          <value t="str">
            <val>21.70</val>
          </value>
          <value t="str">
            <val>上市其他電子</val>
          </value>
        </values>
      </ddeItem>
      <ddeItem name="2477.TW-PreTotalVolume,ChipsField25,ChipsField27,DateofMeetingofShareHolders,CompanyPos,TradingDate" advise="1">
        <values cols="6">
          <value>
            <val>609</val>
          </value>
          <value t="str">
            <val>2021/08/10</val>
          </value>
          <value t="str">
            <val>--</val>
          </value>
          <value t="str">
            <val>2021/07/02</val>
          </value>
          <value t="str">
            <val>台灣最大音箱及揚聲器製造廠之一</val>
          </value>
          <value t="str">
            <val>2022/03/10</val>
          </value>
        </values>
      </ddeItem>
      <ddeItem name="2515.TW-ID,Name,Price,PriceChangeRatio,Low,High,Volume,InOutRatioNumber,Capital,ProfitMargin" advise="1">
        <values cols="10">
          <value t="str">
            <val>2515</val>
          </value>
          <value t="str">
            <val>中工</val>
          </value>
          <value>
            <val>8.81</val>
          </value>
          <value>
            <val>1.03</val>
          </value>
          <value>
            <val>8.7100000000000009</val>
          </value>
          <value>
            <val>8.85</val>
          </value>
          <value>
            <val>59</val>
          </value>
          <value t="str">
            <val>43.19%</val>
          </value>
          <value t="str">
            <val>153.09</val>
          </value>
          <value t="str">
            <val>7.32</val>
          </value>
        </values>
      </ddeItem>
      <ddeItem name="2515.TW-OperatingProfitRatio,NetProfitMargin,TFXRatio,MonthlyNetSalesYoY,ReturnOnAssets,DividendYear,ProfitFourSeason,CashDividendYieldRate,StockNetValue,ExchangeIndustry" advise="1">
        <values cols="10">
          <value t="str">
            <val>3.88</val>
          </value>
          <value t="str">
            <val>2.29</val>
          </value>
          <value t="str">
            <val>-15.08</val>
          </value>
          <value t="str">
            <val>6.93</val>
          </value>
          <value t="str">
            <val>0.86</val>
          </value>
          <value>
            <val>0.23</val>
          </value>
          <value t="str">
            <val>0.33</val>
          </value>
          <value>
            <val>2.61</val>
          </value>
          <value t="str">
            <val>13.24</val>
          </value>
          <value t="str">
            <val>上市建材營造</val>
          </value>
        </values>
      </ddeItem>
      <ddeItem name="2515.TW-PreTotalVolume,ChipsField25,ChipsField27,DateofMeetingofShareHolders,CompanyPos,TradingDate" advise="1">
        <values cols="6">
          <value>
            <val>1841</val>
          </value>
          <value t="str">
            <val>2021/09/22</val>
          </value>
          <value t="str">
            <val>--</val>
          </value>
          <value t="str">
            <val>2021/08/04</val>
          </value>
          <value t="str">
            <val>威京集團成員之一，為專業建築工程廠商</val>
          </value>
          <value t="str">
            <val>2022/03/10</val>
          </value>
        </values>
      </ddeItem>
      <ddeItem name="2527.TW-ID,Name,Price,PriceChangeRatio,Low,High,Volume,InOutRatioNumber,Capital,ProfitMargin" advise="1">
        <values cols="10">
          <value t="str">
            <val>2527</val>
          </value>
          <value t="str">
            <val>宏璟</val>
          </value>
          <value>
            <val>29.7</val>
          </value>
          <value>
            <val>-1</val>
          </value>
          <value>
            <val>29.65</val>
          </value>
          <value>
            <val>30.15</val>
          </value>
          <value>
            <val>21</val>
          </value>
          <value t="str">
            <val>31.81%</val>
          </value>
          <value t="str">
            <val>27.03</val>
          </value>
          <value t="str">
            <val>33.07</val>
          </value>
        </values>
      </ddeItem>
      <ddeItem name="2527.TW-OperatingProfitRatio,NetProfitMargin,TFXRatio,MonthlyNetSalesYoY,ReturnOnAssets,DividendYear,ProfitFourSeason,CashDividendYieldRate,StockNetValue,ExchangeIndustry" advise="1">
        <values cols="10">
          <value t="str">
            <val>25.49</val>
          </value>
          <value t="str">
            <val>23.69</val>
          </value>
          <value t="str">
            <val>-91.63</val>
          </value>
          <value t="str">
            <val>-94.44</val>
          </value>
          <value t="str">
            <val>8.46</val>
          </value>
          <value>
            <val>3</val>
          </value>
          <value t="str">
            <val>6.14</val>
          </value>
          <value>
            <val>10.1</val>
          </value>
          <value t="str">
            <val>39.07</val>
          </value>
          <value t="str">
            <val>上市建材營造</val>
          </value>
        </values>
      </ddeItem>
      <ddeItem name="2527.TW-PreTotalVolume,ChipsField25,ChipsField27,DateofMeetingofShareHolders,CompanyPos,TradingDate" advise="1">
        <values cols="6">
          <value>
            <val>584</val>
          </value>
          <value t="str">
            <val>--</val>
          </value>
          <value t="str">
            <val>--</val>
          </value>
          <value t="str">
            <val>2022/06/27</val>
          </value>
          <value t="str">
            <val>日月光集團旗下建商</val>
          </value>
          <value t="str">
            <val>2022/03/10</val>
          </value>
        </values>
      </ddeItem>
      <ddeItem name="2538.TW-ID,Name,Price,PriceChangeRatio,Low,High,Volume,InOutRatioNumber,Capital,ProfitMargin" advise="1">
        <values cols="10">
          <value t="str">
            <val>2538</val>
          </value>
          <value t="str">
            <val>基泰</val>
          </value>
          <value>
            <val>12.15</val>
          </value>
          <value>
            <val>0</val>
          </value>
          <value>
            <val>12.15</val>
          </value>
          <value>
            <val>12.4</val>
          </value>
          <value>
            <val>7</val>
          </value>
          <value t="str">
            <val>28.60%</val>
          </value>
          <value t="str">
            <val>43.84</val>
          </value>
          <value t="str">
            <val>57.93</val>
          </value>
        </values>
      </ddeItem>
      <ddeItem name="2538.TW-OperatingProfitRatio,NetProfitMargin,TFXRatio,MonthlyNetSalesYoY,ReturnOnAssets,DividendYear,ProfitFourSeason,CashDividendYieldRate,StockNetValue,ExchangeIndustry" advise="1">
        <values cols="10">
          <value t="str">
            <val>-23.03</val>
          </value>
          <value t="str">
            <val>-68.86</val>
          </value>
          <value t="str">
            <val>8.65</val>
          </value>
          <value t="str">
            <val>-31.36</val>
          </value>
          <value t="str">
            <val>-0.25</val>
          </value>
          <value>
            <val>0.5</val>
          </value>
          <value t="str">
            <val>-0.36</val>
          </value>
          <value>
            <val>4.12</val>
          </value>
          <value t="str">
            <val>13.49</val>
          </value>
          <value t="str">
            <val>上市建材營造</val>
          </value>
        </values>
      </ddeItem>
      <ddeItem name="2538.TW-PreTotalVolume,ChipsField25,ChipsField27,DateofMeetingofShareHolders,CompanyPos,TradingDate" advise="1">
        <values cols="6">
          <value>
            <val>519</val>
          </value>
          <value t="str">
            <val>2021/08/17</val>
          </value>
          <value t="str">
            <val>--</val>
          </value>
          <value t="str">
            <val>2021/07/29</val>
          </value>
          <value t="str">
            <val>推案集中於大台北地區之建商</val>
          </value>
          <value t="str">
            <val>2022/03/10</val>
          </value>
        </values>
      </ddeItem>
      <ddeItem name="2601.TW-ID,Name,Price,PriceChangeRatio,Low,High,Volume,InOutRatioNumber,Capital,ProfitMargin" advise="1">
        <values cols="10">
          <value t="str">
            <val>2601</val>
          </value>
          <value t="str">
            <val>益航</val>
          </value>
          <value>
            <val>12.65</val>
          </value>
          <value>
            <val>2.4300000000000002</val>
          </value>
          <value>
            <val>12.5</val>
          </value>
          <value>
            <val>13.1</val>
          </value>
          <value>
            <val>693</val>
          </value>
          <value t="str">
            <val>57.58%</val>
          </value>
          <value t="str">
            <val>83.48</val>
          </value>
          <value t="str">
            <val>61.85</val>
          </value>
        </values>
      </ddeItem>
      <ddeItem name="2601.TW-OperatingProfitRatio,NetProfitMargin,TFXRatio,MonthlyNetSalesYoY,ReturnOnAssets,DividendYear,ProfitFourSeason,CashDividendYieldRate,StockNetValue,ExchangeIndustry" advise="1">
        <values cols="10">
          <value t="str">
            <val>11.95</val>
          </value>
          <value t="str">
            <val>1.31</val>
          </value>
          <value t="str">
            <val>-26.21</val>
          </value>
          <value t="str">
            <val>-7.63</val>
          </value>
          <value t="str">
            <val>1.36</val>
          </value>
          <value>
            <val>0</val>
          </value>
          <value t="str">
            <val>0.14</val>
          </value>
          <value>
            <val>0</val>
          </value>
          <value t="str">
            <val>11.83</val>
          </value>
          <value t="str">
            <val>上市貿易百貨</val>
          </value>
        </values>
      </ddeItem>
      <ddeItem name="2601.TW-PreTotalVolume,ChipsField25,ChipsField27,DateofMeetingofShareHolders,CompanyPos,TradingDate" advise="1">
        <values cols="6">
          <value>
            <val>6833</val>
          </value>
          <value t="str">
            <val>--</val>
          </value>
          <value t="str">
            <val>--</val>
          </value>
          <value t="str">
            <val>2021/07/30</val>
          </value>
          <value t="str">
            <val>從事散裝航運，在大陸持有大洋百貨</val>
          </value>
          <value t="str">
            <val>2022/03/10</val>
          </value>
        </values>
      </ddeItem>
      <ddeItem name="2605.TW-ID,Name,Price,PriceChangeRatio,Low,High,Volume,InOutRatioNumber,Capital,ProfitMargin" advise="1">
        <values cols="10">
          <value t="str">
            <val>2605</val>
          </value>
          <value t="str">
            <val>新興</val>
          </value>
          <value>
            <val>30</val>
          </value>
          <value>
            <val>6.57</val>
          </value>
          <value>
            <val>28.5</val>
          </value>
          <value>
            <val>30.95</val>
          </value>
          <value>
            <val>1070</val>
          </value>
          <value t="str">
            <val>65.30%</val>
          </value>
          <value t="str">
            <val>58.54</val>
          </value>
          <value t="str">
            <val>25.55</val>
          </value>
        </values>
      </ddeItem>
      <ddeItem name="2605.TW-OperatingProfitRatio,NetProfitMargin,TFXRatio,MonthlyNetSalesYoY,ReturnOnAssets,DividendYear,ProfitFourSeason,CashDividendYieldRate,StockNetValue,ExchangeIndustry" advise="1">
        <values cols="10">
          <value t="str">
            <val>19.77</val>
          </value>
          <value t="str">
            <val>19.34</val>
          </value>
          <value t="str">
            <val>-31.39</val>
          </value>
          <value t="str">
            <val>-1.18</val>
          </value>
          <value t="str">
            <val>2.49</val>
          </value>
          <value>
            <val>0.5</val>
          </value>
          <value t="str">
            <val>0.39</val>
          </value>
          <value>
            <val>1.67</val>
          </value>
          <value t="str">
            <val>24.35</val>
          </value>
          <value t="str">
            <val>上市航運業</val>
          </value>
        </values>
      </ddeItem>
      <ddeItem name="2605.TW-PreTotalVolume,ChipsField25,ChipsField27,DateofMeetingofShareHolders,CompanyPos,TradingDate" advise="1">
        <values cols="6">
          <value>
            <val>10804</val>
          </value>
          <value t="str">
            <val>2021/07/21</val>
          </value>
          <value t="str">
            <val>--</val>
          </value>
          <value t="str">
            <val>2021/08/24</val>
          </value>
          <value t="str">
            <val>台灣第二大散裝船商</val>
          </value>
          <value t="str">
            <val>2022/03/10</val>
          </value>
        </values>
      </ddeItem>
      <ddeItem name="2606.TW-ID,Name,Price,PriceChangeRatio,Low,High,Volume,InOutRatioNumber,Capital,ProfitMargin" advise="1">
        <values cols="10">
          <value t="str">
            <val>2606</val>
          </value>
          <value t="str">
            <val>裕民</val>
          </value>
          <value>
            <val>65.599999999999994</val>
          </value>
          <value>
            <val>9.6999999999999993</val>
          </value>
          <value>
            <val>61</val>
          </value>
          <value>
            <val>65.7</val>
          </value>
          <value>
            <val>782</val>
          </value>
          <value t="str">
            <val>69.57%</val>
          </value>
          <value t="str">
            <val>84.51</val>
          </value>
          <value t="str">
            <val>31.63</val>
          </value>
        </values>
      </ddeItem>
      <ddeItem name="2606.TW-OperatingProfitRatio,NetProfitMargin,TFXRatio,MonthlyNetSalesYoY,ReturnOnAssets,DividendYear,ProfitFourSeason,CashDividendYieldRate,StockNetValue,ExchangeIndustry" advise="1">
        <values cols="10">
          <value t="str">
            <val>27.23</val>
          </value>
          <value t="str">
            <val>34.92</val>
          </value>
          <value t="str">
            <val>-21.78</val>
          </value>
          <value t="str">
            <val>10.15</val>
          </value>
          <value t="str">
            <val>8.41</val>
          </value>
          <value>
            <val>3</val>
          </value>
          <value t="str">
            <val>5.79</val>
          </value>
          <value>
            <val>4.57</val>
          </value>
          <value t="str">
            <val>30.60</val>
          </value>
          <value t="str">
            <val>上市航運業</val>
          </value>
        </values>
      </ddeItem>
      <ddeItem name="2606.TW-PreTotalVolume,ChipsField25,ChipsField27,DateofMeetingofShareHolders,CompanyPos,TradingDate" advise="1">
        <values cols="6">
          <value>
            <val>10468</val>
          </value>
          <value t="str">
            <val>--</val>
          </value>
          <value t="str">
            <val>--</val>
          </value>
          <value t="str">
            <val>2022/06/08</val>
          </value>
          <value t="str">
            <val>台灣最大散裝航運公司之一</val>
          </value>
          <value t="str">
            <val>2022/03/10</val>
          </value>
        </values>
      </ddeItem>
      <ddeItem name="2611.TW-ID,Name,Price,PriceChangeRatio,Low,High,Volume,InOutRatioNumber,Capital,ProfitMargin" advise="1">
        <values cols="10">
          <value t="str">
            <val>2611</val>
          </value>
          <value t="str">
            <val>志信</val>
          </value>
          <value>
            <val>25.3</val>
          </value>
          <value>
            <val>1.4</val>
          </value>
          <value>
            <val>24.85</val>
          </value>
          <value>
            <val>27</val>
          </value>
          <value>
            <val>1276</val>
          </value>
          <value t="str">
            <val>48.64%</val>
          </value>
          <value t="str">
            <val>17.18</val>
          </value>
          <value t="str">
            <val>18.19</val>
          </value>
        </values>
      </ddeItem>
      <ddeItem name="2611.TW-OperatingProfitRatio,NetProfitMargin,TFXRatio,MonthlyNetSalesYoY,ReturnOnAssets,DividendYear,ProfitFourSeason,CashDividendYieldRate,StockNetValue,ExchangeIndustry" advise="1">
        <values cols="10">
          <value t="str">
            <val>-6.48</val>
          </value>
          <value t="str">
            <val>50.01</val>
          </value>
          <value t="str">
            <val>-21.69</val>
          </value>
          <value t="str">
            <val>28.32</val>
          </value>
          <value t="str">
            <val>6.49</val>
          </value>
          <value>
            <val>0</val>
          </value>
          <value t="str">
            <val>2.79</val>
          </value>
          <value>
            <val>0</val>
          </value>
          <value t="str">
            <val>17.45</val>
          </value>
          <value t="str">
            <val>上市航運業</val>
          </value>
        </values>
      </ddeItem>
      <ddeItem name="2611.TW-PreTotalVolume,ChipsField25,ChipsField27,DateofMeetingofShareHolders,CompanyPos,TradingDate" advise="1">
        <values cols="6">
          <value>
            <val>9217</val>
          </value>
          <value t="str">
            <val>--</val>
          </value>
          <value t="str">
            <val>--</val>
          </value>
          <value t="str">
            <val>2021/08/26</val>
          </value>
          <value t="str">
            <val>多角化經營陸運、加油站、營建、飯店業務</val>
          </value>
          <value t="str">
            <val>2022/03/10</val>
          </value>
        </values>
      </ddeItem>
      <ddeItem name="2612.TW-ID,Name,Price,PriceChangeRatio,Low,High,Volume,InOutRatioNumber,Capital,ProfitMargin" advise="1">
        <values cols="10">
          <value t="str">
            <val>2612</val>
          </value>
          <value t="str">
            <val>中航</val>
          </value>
          <value>
            <val>57.2</val>
          </value>
          <value>
            <val>10</val>
          </value>
          <value>
            <val>52.8</val>
          </value>
          <value>
            <val>57.2</val>
          </value>
          <value>
            <val>31</val>
          </value>
          <value t="str">
            <val>81.61%</val>
          </value>
          <value t="str">
            <val>19.75</val>
          </value>
          <value t="str">
            <val>21.79</val>
          </value>
        </values>
      </ddeItem>
      <ddeItem name="2612.TW-OperatingProfitRatio,NetProfitMargin,TFXRatio,MonthlyNetSalesYoY,ReturnOnAssets,DividendYear,ProfitFourSeason,CashDividendYieldRate,StockNetValue,ExchangeIndustry" advise="1">
        <values cols="10">
          <value t="str">
            <val>9.96</val>
          </value>
          <value t="str">
            <val>29.01</val>
          </value>
          <value t="str">
            <val>-11.08</val>
          </value>
          <value t="str">
            <val>26.54</val>
          </value>
          <value t="str">
            <val>5.75</val>
          </value>
          <value>
            <val>2.68</val>
          </value>
          <value t="str">
            <val>5.27</val>
          </value>
          <value>
            <val>4.6900000000000004</val>
          </value>
          <value t="str">
            <val>52.72</val>
          </value>
          <value t="str">
            <val>上市航運業</val>
          </value>
        </values>
      </ddeItem>
      <ddeItem name="2612.TW-PreTotalVolume,ChipsField25,ChipsField27,DateofMeetingofShareHolders,CompanyPos,TradingDate" advise="1">
        <values cols="6">
          <value>
            <val>1505</val>
          </value>
          <value t="str">
            <val>--</val>
          </value>
          <value t="str">
            <val>--</val>
          </value>
          <value t="str">
            <val>2022/05/12</val>
          </value>
          <value t="str">
            <val>台灣散裝航運業者，且是具規模的貨櫃運輸業者</val>
          </value>
          <value t="str">
            <val>2022/03/10</val>
          </value>
        </values>
      </ddeItem>
      <ddeItem name="2613.TW-ID,Name,Price,PriceChangeRatio,Low,High,Volume,InOutRatioNumber,Capital,ProfitMargin" advise="1">
        <values cols="10">
          <value t="str">
            <val>2613</val>
          </value>
          <value t="str">
            <val>中櫃</val>
          </value>
          <value>
            <val>42</val>
          </value>
          <value>
            <val>6.73</val>
          </value>
          <value>
            <val>40.450000000000003</val>
          </value>
          <value>
            <val>43.25</val>
          </value>
          <value>
            <val>481</val>
          </value>
          <value t="str">
            <val>62.34%</val>
          </value>
          <value t="str">
            <val>14.84</val>
          </value>
          <value t="str">
            <val>17.71</val>
          </value>
        </values>
      </ddeItem>
      <ddeItem name="2613.TW-OperatingProfitRatio,NetProfitMargin,TFXRatio,MonthlyNetSalesYoY,ReturnOnAssets,DividendYear,ProfitFourSeason,CashDividendYieldRate,StockNetValue,ExchangeIndustry" advise="1">
        <values cols="10">
          <value t="str">
            <val>11.41</val>
          </value>
          <value t="str">
            <val>7.18</val>
          </value>
          <value t="str">
            <val>-16.98</val>
          </value>
          <value t="str">
            <val>10.05</val>
          </value>
          <value t="str">
            <val>2.89</val>
          </value>
          <value>
            <val>1.65</val>
          </value>
          <value t="str">
            <val>1.63</val>
          </value>
          <value>
            <val>3.93</val>
          </value>
          <value t="str">
            <val>23.99</val>
          </value>
          <value t="str">
            <val>上市航運業</val>
          </value>
        </values>
      </ddeItem>
      <ddeItem name="2613.TW-PreTotalVolume,ChipsField25,ChipsField27,DateofMeetingofShareHolders,CompanyPos,TradingDate" advise="1">
        <values cols="6">
          <value>
            <val>2899</val>
          </value>
          <value t="str">
            <val>2022/03/11</val>
          </value>
          <value t="str">
            <val>--</val>
          </value>
          <value t="str">
            <val>2022/05/27</val>
          </value>
          <value t="str">
            <val>在台灣北、中、南擁有貨櫃集散場之公司</val>
          </value>
          <value t="str">
            <val>2022/03/10</val>
          </value>
        </values>
      </ddeItem>
      <ddeItem name="2617.TW-ID,Name,Price,PriceChangeRatio,Low,High,Volume,InOutRatioNumber,Capital,ProfitMargin" advise="1">
        <values cols="10">
          <value t="str">
            <val>2617</val>
          </value>
          <value t="str">
            <val>台航</val>
          </value>
          <value>
            <val>37.25</val>
          </value>
          <value>
            <val>3.62</val>
          </value>
          <value>
            <val>36.1</val>
          </value>
          <value>
            <val>39.1</val>
          </value>
          <value>
            <val>576</val>
          </value>
          <value t="str">
            <val>53.42%</val>
          </value>
          <value t="str">
            <val>41.73</val>
          </value>
          <value t="str">
            <val>38.90</val>
          </value>
        </values>
      </ddeItem>
      <ddeItem name="2617.TW-OperatingProfitRatio,NetProfitMargin,TFXRatio,MonthlyNetSalesYoY,ReturnOnAssets,DividendYear,ProfitFourSeason,CashDividendYieldRate,StockNetValue,ExchangeIndustry" advise="1">
        <values cols="10">
          <value t="str">
            <val>34.19</val>
          </value>
          <value t="str">
            <val>38.74</val>
          </value>
          <value t="str">
            <val>-11.40</val>
          </value>
          <value t="str">
            <val>19.69</val>
          </value>
          <value t="str">
            <val>4.76</val>
          </value>
          <value>
            <val>0.9</val>
          </value>
          <value t="str">
            <val>2.57</val>
          </value>
          <value>
            <val>2.42</val>
          </value>
          <value t="str">
            <val>35.45</val>
          </value>
          <value t="str">
            <val>上市航運業</val>
          </value>
        </values>
      </ddeItem>
      <ddeItem name="2617.TW-PreTotalVolume,ChipsField25,ChipsField27,DateofMeetingofShareHolders,CompanyPos,TradingDate" advise="1">
        <values cols="6">
          <value>
            <val>7414</val>
          </value>
          <value t="str">
            <val>2021/07/27</val>
          </value>
          <value t="str">
            <val>--</val>
          </value>
          <value t="str">
            <val>2021/07/12</val>
          </value>
          <value t="str">
            <val>大股東為中航之散裝航運業者</val>
          </value>
          <value t="str">
            <val>2022/03/10</val>
          </value>
        </values>
      </ddeItem>
      <ddeItem name="2637.TW-ID,Name,Price,PriceChangeRatio,Low,High,Volume,InOutRatioNumber,Capital,ProfitMargin" advise="1">
        <values cols="10">
          <value t="str">
            <val>2637</val>
          </value>
          <value t="str">
            <val>慧洋-KY</val>
          </value>
          <value>
            <val>99.5</val>
          </value>
          <value>
            <val>9.94</val>
          </value>
          <value>
            <val>92.2</val>
          </value>
          <value>
            <val>99.5</val>
          </value>
          <value>
            <val>536</val>
          </value>
          <value t="str">
            <val>74.85%</val>
          </value>
          <value t="str">
            <val>76.37</val>
          </value>
          <value t="str">
            <val>44.09</val>
          </value>
        </values>
      </ddeItem>
      <ddeItem name="2637.TW-OperatingProfitRatio,NetProfitMargin,TFXRatio,MonthlyNetSalesYoY,ReturnOnAssets,DividendYear,ProfitFourSeason,CashDividendYieldRate,StockNetValue,ExchangeIndustry" advise="1">
        <values cols="10">
          <value t="str">
            <val>43.08</val>
          </value>
          <value t="str">
            <val>43.01</val>
          </value>
          <value t="str">
            <val>-15.91</val>
          </value>
          <value t="str">
            <val>55.79</val>
          </value>
          <value t="str">
            <val>10.84</val>
          </value>
          <value>
            <val>0</val>
          </value>
          <value t="str">
            <val>11.05</val>
          </value>
          <value>
            <val>0</val>
          </value>
          <value t="str">
            <val>46.92</val>
          </value>
          <value t="str">
            <val>上市航運業</val>
          </value>
        </values>
      </ddeItem>
      <ddeItem name="2637.TW-PreTotalVolume,ChipsField25,ChipsField27,DateofMeetingofShareHolders,CompanyPos,TradingDate" advise="1">
        <values cols="6">
          <value>
            <val>11223</val>
          </value>
          <value t="str">
            <val>--</val>
          </value>
          <value t="str">
            <val>--</val>
          </value>
          <value t="str">
            <val>2022/05/20</val>
          </value>
          <value t="str">
            <val>台灣具規模的散裝船隊船東之一</val>
          </value>
          <value t="str">
            <val>2022/03/10</val>
          </value>
        </values>
      </ddeItem>
      <ddeItem name="2641.TW-ID,Name,Price,PriceChangeRatio,Low,High,Volume,InOutRatioNumber,Capital,ProfitMargin" advise="1">
        <values cols="10">
          <value t="str">
            <val>2641</val>
          </value>
          <value t="str">
            <val>正德</val>
          </value>
          <value>
            <val>27.45</val>
          </value>
          <value>
            <val>2.23</val>
          </value>
          <value>
            <val>26.85</val>
          </value>
          <value>
            <val>29.1</val>
          </value>
          <value>
            <val>996</val>
          </value>
          <value t="str">
            <val>51.80%</val>
          </value>
          <value t="str">
            <val>19.01</val>
          </value>
          <value t="str">
            <val>33.19</val>
          </value>
        </values>
      </ddeItem>
      <ddeItem name="2641.TW-OperatingProfitRatio,NetProfitMargin,TFXRatio,MonthlyNetSalesYoY,ReturnOnAssets,DividendYear,ProfitFourSeason,CashDividendYieldRate,StockNetValue,ExchangeIndustry" advise="1">
        <values cols="10">
          <value t="str">
            <val>25.14</val>
          </value>
          <value t="str">
            <val>25.28</val>
          </value>
          <value t="str">
            <val>-12.62</val>
          </value>
          <value t="str">
            <val>91.55</val>
          </value>
          <value t="str">
            <val>4.92</val>
          </value>
          <value>
            <val>0.8</val>
          </value>
          <value t="str">
            <val>1.50</val>
          </value>
          <value>
            <val>2.91</val>
          </value>
          <value t="str">
            <val>14.52</val>
          </value>
          <value t="str">
            <val>上櫃航運業</val>
          </value>
        </values>
      </ddeItem>
      <ddeItem name="2641.TW-PreTotalVolume,ChipsField25,ChipsField27,DateofMeetingofShareHolders,CompanyPos,TradingDate" advise="1">
        <values cols="6">
          <value>
            <val>11553</val>
          </value>
          <value t="str">
            <val>--</val>
          </value>
          <value t="str">
            <val>--</val>
          </value>
          <value t="str">
            <val>2022/05/26</val>
          </value>
          <value t="str">
            <val>以亞洲近洋航線為主力之散裝航運業者</val>
          </value>
          <value t="str">
            <val>2022/03/10</val>
          </value>
        </values>
      </ddeItem>
      <ddeItem name="2731.TW-ID,Name,Price,PriceChangeRatio,Low,High,Volume,InOutRatioNumber,Capital,ProfitMargin" advise="1">
        <values cols="10">
          <value t="str">
            <val>2731</val>
          </value>
          <value t="str">
            <val>雄獅</val>
          </value>
          <value>
            <val>97.1</val>
          </value>
          <value>
            <val>0.52</val>
          </value>
          <value>
            <val>97.1</val>
          </value>
          <value>
            <val>104</val>
          </value>
          <value>
            <val>185</val>
          </value>
          <value t="str">
            <val>48.70%</val>
          </value>
          <value t="str">
            <val>7.53</val>
          </value>
          <value t="str">
            <val>15.20</val>
          </value>
        </values>
      </ddeItem>
      <ddeItem name="2731.TW-OperatingProfitRatio,NetProfitMargin,TFXRatio,MonthlyNetSalesYoY,ReturnOnAssets,DividendYear,ProfitFourSeason,CashDividendYieldRate,StockNetValue,ExchangeIndustry" advise="1">
        <values cols="10">
          <value t="str">
            <val>-68.32</val>
          </value>
          <value t="str">
            <val>-30.61</val>
          </value>
          <value t="str">
            <val>29.86</val>
          </value>
          <value t="str">
            <val>16.37</val>
          </value>
          <value t="str">
            <val>-5.98</val>
          </value>
          <value>
            <val>0</val>
          </value>
          <value t="str">
            <val>-5.80</val>
          </value>
          <value>
            <val>0</val>
          </value>
          <value t="str">
            <val>20.12</val>
          </value>
          <value t="str">
            <val>上市觀光</val>
          </value>
        </values>
      </ddeItem>
      <ddeItem name="2731.TW-PreTotalVolume,ChipsField25,ChipsField27,DateofMeetingofShareHolders,CompanyPos,TradingDate" advise="1">
        <values cols="6">
          <value>
            <val>1009</val>
          </value>
          <value t="str">
            <val>--</val>
          </value>
          <value t="str">
            <val>--</val>
          </value>
          <value t="str">
            <val>2021/08/26</val>
          </value>
          <value t="str">
            <val>台灣營收規模最大之綜合旅行社</val>
          </value>
          <value t="str">
            <val>2022/03/10</val>
          </value>
        </values>
      </ddeItem>
      <ddeItem name="2743.TW-ID,Name,Price,PriceChangeRatio,Low,High,Volume,InOutRatioNumber,Capital,ProfitMargin" advise="1">
        <values cols="10">
          <value t="str">
            <val>2743</val>
          </value>
          <value t="str">
            <val>山富</val>
          </value>
          <value>
            <val>36.9</val>
          </value>
          <value>
            <val>4.38</val>
          </value>
          <value>
            <val>36</val>
          </value>
          <value>
            <val>38.65</val>
          </value>
          <value>
            <val>26</val>
          </value>
          <value t="str">
            <val>54.40%</val>
          </value>
          <value t="str">
            <val>3.20</val>
          </value>
          <value t="str">
            <val>21.69</val>
          </value>
        </values>
      </ddeItem>
      <ddeItem name="2743.TW-OperatingProfitRatio,NetProfitMargin,TFXRatio,MonthlyNetSalesYoY,ReturnOnAssets,DividendYear,ProfitFourSeason,CashDividendYieldRate,StockNetValue,ExchangeIndustry" advise="1">
        <values cols="10">
          <value t="str">
            <val>-53.60</val>
          </value>
          <value t="str">
            <val>-29.40</val>
          </value>
          <value t="str">
            <val>63.55</val>
          </value>
          <value t="str">
            <val>43.32</val>
          </value>
          <value t="str">
            <val>-5.49</val>
          </value>
          <value>
            <val>0</val>
          </value>
          <value t="str">
            <val>-1.01</val>
          </value>
          <value>
            <val>0</val>
          </value>
          <value t="str">
            <val>15.02</val>
          </value>
          <value t="str">
            <val>上櫃觀光</val>
          </value>
        </values>
      </ddeItem>
      <ddeItem name="2743.TW-PreTotalVolume,ChipsField25,ChipsField27,DateofMeetingofShareHolders,CompanyPos,TradingDate" advise="1">
        <values cols="6">
          <value>
            <val>488</val>
          </value>
          <value t="str">
            <val>--</val>
          </value>
          <value t="str">
            <val>--</val>
          </value>
          <value t="str">
            <val>2021/07/22</val>
          </value>
          <value t="str">
            <val>年出團達12000團以上之知名旅行社</val>
          </value>
          <value t="str">
            <val>2022/03/10</val>
          </value>
        </values>
      </ddeItem>
      <ddeItem name="2883.TW-ID,Name,Price,PriceChangeRatio,Low,High,Volume,InOutRatioNumber,Capital,ProfitMargin" advise="1">
        <values cols="10">
          <value t="str">
            <val>2883</val>
          </value>
          <value t="str">
            <val>開發金</val>
          </value>
          <value>
            <val>17.7</val>
          </value>
          <value>
            <val>3.81</val>
          </value>
          <value>
            <val>17.45</val>
          </value>
          <value>
            <val>17.95</val>
          </value>
          <value>
            <val>4418</val>
          </value>
          <value t="str">
            <val>54.41%</val>
          </value>
          <value t="str">
            <val>1719.28</val>
          </value>
          <value t="str">
            <val>--</val>
          </value>
        </values>
      </ddeItem>
      <ddeItem name="2883.TW-OperatingProfitRatio,NetProfitMargin,TFXRatio,MonthlyNetSalesYoY,ReturnOnAssets,DividendYear,ProfitFourSeason,CashDividendYieldRate,StockNetValue,ExchangeIndustry" advise="1">
        <values cols="10">
          <value t="str">
            <val>--</val>
          </value>
          <value t="str">
            <val>72.32</val>
          </value>
          <value t="str">
            <val>-11.01</val>
          </value>
          <value t="str">
            <val>-26.46</val>
          </value>
          <value t="str">
            <val>1.23</val>
          </value>
          <value>
            <val>0</val>
          </value>
          <value t="str">
            <val>2.33</val>
          </value>
          <value>
            <val>0</val>
          </value>
          <value t="str">
            <val>14.81</val>
          </value>
          <value t="str">
            <val>上市金融保險</val>
          </value>
        </values>
      </ddeItem>
      <ddeItem name="2883.TW-PreTotalVolume,ChipsField25,ChipsField27,DateofMeetingofShareHolders,CompanyPos,TradingDate" advise="1">
        <values cols="6">
          <value>
            <val>59310</val>
          </value>
          <value t="str">
            <val>--</val>
          </value>
          <value t="str">
            <val>--</val>
          </value>
          <value t="str">
            <val>2022/06/17</val>
          </value>
          <value t="str">
            <val>以投資銀行業務為主之金控，並藉購併跨入證券與商業銀行領域</val>
          </value>
          <value t="str">
            <val>2022/03/10</val>
          </value>
        </values>
      </ddeItem>
      <ddeItem name="3016.TW-ID,Name,Price,PriceChangeRatio,Low,High,Volume,InOutRatioNumber,Capital,ProfitMargin" advise="1">
        <values cols="10">
          <value t="str">
            <val>3016</val>
          </value>
          <value t="str">
            <val>嘉晶</val>
          </value>
          <value>
            <val>110</val>
          </value>
          <value>
            <val>10</val>
          </value>
          <value>
            <val>104</val>
          </value>
          <value>
            <val>110</val>
          </value>
          <value>
            <val>14</val>
          </value>
          <value t="str">
            <val>83.20%</val>
          </value>
          <value t="str">
            <val>28.46</val>
          </value>
          <value t="str">
            <val>14.40</val>
          </value>
        </values>
      </ddeItem>
      <ddeItem name="3016.TW-OperatingProfitRatio,NetProfitMargin,TFXRatio,MonthlyNetSalesYoY,ReturnOnAssets,DividendYear,ProfitFourSeason,CashDividendYieldRate,StockNetValue,ExchangeIndustry" advise="1">
        <values cols="10">
          <value t="str">
            <val>9.20</val>
          </value>
          <value t="str">
            <val>7.55</val>
          </value>
          <value t="str">
            <val>0.38</val>
          </value>
          <value t="str">
            <val>30.57</val>
          </value>
          <value t="str">
            <val>6.21</val>
          </value>
          <value>
            <val>1.2</val>
          </value>
          <value t="str">
            <val>1.36</val>
          </value>
          <value>
            <val>1.0900000000000001</val>
          </value>
          <value t="str">
            <val>16.21</val>
          </value>
          <value t="str">
            <val>上市半導體</val>
          </value>
        </values>
      </ddeItem>
      <ddeItem name="3016.TW-PreTotalVolume,ChipsField25,ChipsField27,DateofMeetingofShareHolders,CompanyPos,TradingDate" advise="1">
        <values cols="6">
          <value>
            <val>1374</val>
          </value>
          <value t="str">
            <val>--</val>
          </value>
          <value t="str">
            <val>--</val>
          </value>
          <value t="str">
            <val>2022/06/21</val>
          </value>
          <value t="str">
            <val>台灣專業磊晶矽晶圓業者</val>
          </value>
          <value t="str">
            <val>2022/03/10</val>
          </value>
        </values>
      </ddeItem>
      <ddeItem name="3033.TW-ID,Name,Price,PriceChangeRatio,Low,High,Volume,InOutRatioNumber,Capital,ProfitMargin" advise="1">
        <values cols="10">
          <value t="str">
            <val>3033</val>
          </value>
          <value t="str">
            <val>威健</val>
          </value>
          <value>
            <val>31.8</val>
          </value>
          <value>
            <val>4.78</val>
          </value>
          <value>
            <val>30.9</val>
          </value>
          <value>
            <val>32</val>
          </value>
          <value>
            <val>258</val>
          </value>
          <value t="str">
            <val>62.13%</val>
          </value>
          <value t="str">
            <val>41.75</val>
          </value>
          <value t="str">
            <val>7.01</val>
          </value>
        </values>
      </ddeItem>
      <ddeItem name="3033.TW-OperatingProfitRatio,NetProfitMargin,TFXRatio,MonthlyNetSalesYoY,ReturnOnAssets,DividendYear,ProfitFourSeason,CashDividendYieldRate,StockNetValue,ExchangeIndustry" advise="1">
        <values cols="10">
          <value t="str">
            <val>3.51</val>
          </value>
          <value t="str">
            <val>2.33</val>
          </value>
          <value t="str">
            <val>-13.26</val>
          </value>
          <value t="str">
            <val>31.06</val>
          </value>
          <value t="str">
            <val>5.47</val>
          </value>
          <value>
            <val>1.33</val>
          </value>
          <value t="str">
            <val>3.88</val>
          </value>
          <value>
            <val>4.18</val>
          </value>
          <value t="str">
            <val>18.28</val>
          </value>
          <value t="str">
            <val>上市電子通路</val>
          </value>
        </values>
      </ddeItem>
      <ddeItem name="3033.TW-PreTotalVolume,ChipsField25,ChipsField27,DateofMeetingofShareHolders,CompanyPos,TradingDate" advise="1">
        <values cols="6">
          <value>
            <val>2358</val>
          </value>
          <value t="str">
            <val>2021/07/26</val>
          </value>
          <value t="str">
            <val>--</val>
          </value>
          <value t="str">
            <val>2021/07/20</val>
          </value>
          <value t="str">
            <val>從事電子零組件與周邊設備之代理經銷商</val>
          </value>
          <value t="str">
            <val>2022/03/10</val>
          </value>
        </values>
      </ddeItem>
      <ddeItem name="3211.TW-ID,Name,Price,PriceChangeRatio,Low,High,Volume,InOutRatioNumber,Capital,ProfitMargin" advise="1">
        <values cols="10">
          <value t="str">
            <val>3211</val>
          </value>
          <value t="str">
            <val>順達</val>
          </value>
          <value>
            <val>119.5</val>
          </value>
          <value>
            <val>7.66</val>
          </value>
          <value>
            <val>115.5</val>
          </value>
          <value>
            <val>122</val>
          </value>
          <value>
            <val>242</val>
          </value>
          <value t="str">
            <val>53.08%</val>
          </value>
          <value t="str">
            <val>14.97</val>
          </value>
          <value t="str">
            <val>7.87</val>
          </value>
        </values>
      </ddeItem>
      <ddeItem name="3211.TW-OperatingProfitRatio,NetProfitMargin,TFXRatio,MonthlyNetSalesYoY,ReturnOnAssets,DividendYear,ProfitFourSeason,CashDividendYieldRate,StockNetValue,ExchangeIndustry" advise="1">
        <values cols="10">
          <value t="str">
            <val>4.08</val>
          </value>
          <value t="str">
            <val>15.93</val>
          </value>
          <value t="str">
            <val>8.83</val>
          </value>
          <value t="str">
            <val>-9.01</val>
          </value>
          <value t="str">
            <val>16.70</val>
          </value>
          <value>
            <val>15.05</val>
          </value>
          <value t="str">
            <val>22.43</val>
          </value>
          <value>
            <val>12.59</val>
          </value>
          <value t="str">
            <val>64.99</val>
          </value>
          <value t="str">
            <val>上櫃電腦及週邊設備</val>
          </value>
        </values>
      </ddeItem>
      <ddeItem name="3211.TW-PreTotalVolume,ChipsField25,ChipsField27,DateofMeetingofShareHolders,CompanyPos,TradingDate" advise="1">
        <values cols="6">
          <value>
            <val>1826</val>
          </value>
          <value t="str">
            <val>2022/04/06</val>
          </value>
          <value t="str">
            <val>--</val>
          </value>
          <value t="str">
            <val>2022/06/06</val>
          </value>
          <value t="str">
            <val>全球第四大筆記型電腦電池組裝廠</val>
          </value>
          <value t="str">
            <val>2022/03/10</val>
          </value>
        </values>
      </ddeItem>
      <ddeItem name="3455.TW-ID,Name,Price,PriceChangeRatio,Low,High,Volume,InOutRatioNumber,Capital,ProfitMargin" advise="1">
        <values cols="10">
          <value t="str">
            <val>3455</val>
          </value>
          <value t="str">
            <val>由田</val>
          </value>
          <value>
            <val>95.9</val>
          </value>
          <value>
            <val>2.79</val>
          </value>
          <value>
            <val>95.7</val>
          </value>
          <value>
            <val>98.5</val>
          </value>
          <value>
            <val>230</val>
          </value>
          <value t="str">
            <val>50.40%</val>
          </value>
          <value t="str">
            <val>5.99</val>
          </value>
          <value t="str">
            <val>51.23</val>
          </value>
        </values>
      </ddeItem>
      <ddeItem name="3455.TW-OperatingProfitRatio,NetProfitMargin,TFXRatio,MonthlyNetSalesYoY,ReturnOnAssets,DividendYear,ProfitFourSeason,CashDividendYieldRate,StockNetValue,ExchangeIndustry" advise="1">
        <values cols="10">
          <value t="str">
            <val>18.40</val>
          </value>
          <value t="str">
            <val>15.53</val>
          </value>
          <value t="str">
            <val>-1.45</val>
          </value>
          <value t="str">
            <val>3.74</val>
          </value>
          <value t="str">
            <val>7.23</val>
          </value>
          <value>
            <val>4</val>
          </value>
          <value t="str">
            <val>6.76</val>
          </value>
          <value>
            <val>4.17</val>
          </value>
          <value t="str">
            <val>37.55</val>
          </value>
          <value t="str">
            <val>上櫃光電</val>
          </value>
        </values>
      </ddeItem>
      <ddeItem name="3455.TW-PreTotalVolume,ChipsField25,ChipsField27,DateofMeetingofShareHolders,CompanyPos,TradingDate" advise="1">
        <values cols="6">
          <value>
            <val>2392</val>
          </value>
          <value t="str">
            <val>2021/08/30</val>
          </value>
          <value t="str">
            <val>--</val>
          </value>
          <value t="str">
            <val>2021/08/27</val>
          </value>
          <value t="str">
            <val>台灣最大光學檢測設備製造商</val>
          </value>
          <value t="str">
            <val>2022/03/10</val>
          </value>
        </values>
      </ddeItem>
      <ddeItem name="3515.TW-ID,Name,Price,PriceChangeRatio,Low,High,Volume,InOutRatioNumber,Capital,ProfitMargin" advise="1">
        <values cols="10">
          <value t="str">
            <val>3515</val>
          </value>
          <value t="str">
            <val>華擎</val>
          </value>
          <value>
            <val>216</val>
          </value>
          <value>
            <val>4.8499999999999996</val>
          </value>
          <value>
            <val>211</val>
          </value>
          <value>
            <val>219</val>
          </value>
          <value>
            <val>86</val>
          </value>
          <value t="str">
            <val>54.38%</val>
          </value>
          <value t="str">
            <val>12.29</val>
          </value>
          <value t="str">
            <val>28.15</val>
          </value>
        </values>
      </ddeItem>
      <ddeItem name="3515.TW-OperatingProfitRatio,NetProfitMargin,TFXRatio,MonthlyNetSalesYoY,ReturnOnAssets,DividendYear,ProfitFourSeason,CashDividendYieldRate,StockNetValue,ExchangeIndustry" advise="1">
        <values cols="10">
          <value t="str">
            <val>15.47</val>
          </value>
          <value t="str">
            <val>12.45</val>
          </value>
          <value t="str">
            <val>-43.39</val>
          </value>
          <value t="str">
            <val>0.25</val>
          </value>
          <value t="str">
            <val>17.82</val>
          </value>
          <value>
            <val>13</val>
          </value>
          <value t="str">
            <val>19.72</val>
          </value>
          <value>
            <val>6.02</val>
          </value>
          <value t="str">
            <val>67.29</val>
          </value>
          <value t="str">
            <val>上市電腦及週邊設備</val>
          </value>
        </values>
      </ddeItem>
      <ddeItem name="3515.TW-PreTotalVolume,ChipsField25,ChipsField27,DateofMeetingofShareHolders,CompanyPos,TradingDate" advise="1">
        <values cols="6">
          <value>
            <val>1122</val>
          </value>
          <value t="str">
            <val>--</val>
          </value>
          <value t="str">
            <val>--</val>
          </value>
          <value t="str">
            <val>2022/05/25</val>
          </value>
          <value t="str">
            <val>華碩旗下專攻低階MB品牌廠</val>
          </value>
          <value t="str">
            <val>2022/03/10</val>
          </value>
        </values>
      </ddeItem>
      <ddeItem name="3526.TW-ID,Name,Price,PriceChangeRatio,Low,High,Volume,InOutRatioNumber,Capital,ProfitMargin" advise="1">
        <values cols="10">
          <value t="str">
            <val>3526</val>
          </value>
          <value t="str">
            <val>凡甲</val>
          </value>
          <value>
            <val>196</val>
          </value>
          <value>
            <val>5.09</val>
          </value>
          <value>
            <val>188.5</val>
          </value>
          <value>
            <val>200.5</val>
          </value>
          <value>
            <val>110</val>
          </value>
          <value t="str">
            <val>58.17%</val>
          </value>
          <value t="str">
            <val>5.85</val>
          </value>
          <value t="str">
            <val>46.50</val>
          </value>
        </values>
      </ddeItem>
      <ddeItem name="3526.TW-OperatingProfitRatio,NetProfitMargin,TFXRatio,MonthlyNetSalesYoY,ReturnOnAssets,DividendYear,ProfitFourSeason,CashDividendYieldRate,StockNetValue,ExchangeIndustry" advise="1">
        <values cols="10">
          <value t="str">
            <val>26.73</val>
          </value>
          <value t="str">
            <val>24.54</val>
          </value>
          <value t="str">
            <val>-26.40</val>
          </value>
          <value t="str">
            <val>29.68</val>
          </value>
          <value t="str">
            <val>13.05</val>
          </value>
          <value>
            <val>11.16</val>
          </value>
          <value t="str">
            <val>9.74</val>
          </value>
          <value>
            <val>5.69</val>
          </value>
          <value t="str">
            <val>39.26</val>
          </value>
          <value t="str">
            <val>上櫃電子零組件</val>
          </value>
        </values>
      </ddeItem>
      <ddeItem name="3526.TW-PreTotalVolume,ChipsField25,ChipsField27,DateofMeetingofShareHolders,CompanyPos,TradingDate" advise="1">
        <values cols="6">
          <value>
            <val>1444</val>
          </value>
          <value t="str">
            <val>--</val>
          </value>
          <value t="str">
            <val>--</val>
          </value>
          <value t="str">
            <val>2022/06/23</val>
          </value>
          <value t="str">
            <val>以NB為主要應用的連接器廠</val>
          </value>
          <value t="str">
            <val>2022/03/10</val>
          </value>
        </values>
      </ddeItem>
      <ddeItem name="3532.TW-ID,Name,Price,PriceChangeRatio,Low,High,Volume,InOutRatioNumber,Capital,ProfitMargin" advise="1">
        <values cols="10">
          <value t="str">
            <val>3532</val>
          </value>
          <value t="str">
            <val>台勝科</val>
          </value>
          <value>
            <val>287</val>
          </value>
          <value>
            <val>3.61</val>
          </value>
          <value>
            <val>281.5</val>
          </value>
          <value>
            <val>294</val>
          </value>
          <value>
            <val>349</val>
          </value>
          <value t="str">
            <val>48.12%</val>
          </value>
          <value t="str">
            <val>38.78</val>
          </value>
          <value t="str">
            <val>20.98</val>
          </value>
        </values>
      </ddeItem>
      <ddeItem name="3532.TW-OperatingProfitRatio,NetProfitMargin,TFXRatio,MonthlyNetSalesYoY,ReturnOnAssets,DividendYear,ProfitFourSeason,CashDividendYieldRate,StockNetValue,ExchangeIndustry" advise="1">
        <values cols="10">
          <value t="str">
            <val>14.93</val>
          </value>
          <value t="str">
            <val>11.60</val>
          </value>
          <value t="str">
            <val>-3.43</val>
          </value>
          <value t="str">
            <val>23.33</val>
          </value>
          <value t="str">
            <val>6.03</val>
          </value>
          <value>
            <val>2.2200000000000002</val>
          </value>
          <value t="str">
            <val>3.64</val>
          </value>
          <value>
            <val>0.77</val>
          </value>
          <value t="str">
            <val>53.77</val>
          </value>
          <value t="str">
            <val>上市半導體</val>
          </value>
        </values>
      </ddeItem>
      <ddeItem name="3532.TW-PreTotalVolume,ChipsField25,ChipsField27,DateofMeetingofShareHolders,CompanyPos,TradingDate" advise="1">
        <values cols="6">
          <value>
            <val>3134</val>
          </value>
          <value t="str">
            <val>--</val>
          </value>
          <value t="str">
            <val>--</val>
          </value>
          <value t="str">
            <val>2022/06/17</val>
          </value>
          <value t="str">
            <val>台塑與Sumco合資成立的矽晶圓製造商</val>
          </value>
          <value t="str">
            <val>2022/03/10</val>
          </value>
        </values>
      </ddeItem>
      <ddeItem name="3558.TW-ID,Name,Price,PriceChangeRatio,Low,High,Volume,InOutRatioNumber,Capital,ProfitMargin" advise="1">
        <values cols="10">
          <value t="str">
            <val>3558</val>
          </value>
          <value t="str">
            <val>神準</val>
          </value>
          <value>
            <val>119</val>
          </value>
          <value>
            <val>2.59</val>
          </value>
          <value>
            <val>117.5</val>
          </value>
          <value>
            <val>124</val>
          </value>
          <value>
            <val>42</val>
          </value>
          <value t="str">
            <val>55.26%</val>
          </value>
          <value t="str">
            <val>4.91</val>
          </value>
          <value t="str">
            <val>18.73</val>
          </value>
        </values>
      </ddeItem>
      <ddeItem name="3558.TW-OperatingProfitRatio,NetProfitMargin,TFXRatio,MonthlyNetSalesYoY,ReturnOnAssets,DividendYear,ProfitFourSeason,CashDividendYieldRate,StockNetValue,ExchangeIndustry" advise="1">
        <values cols="10">
          <value t="str">
            <val>5.71</val>
          </value>
          <value t="str">
            <val>5.78</val>
          </value>
          <value t="str">
            <val>-20.13</val>
          </value>
          <value t="str">
            <val>33.48</val>
          </value>
          <value t="str">
            <val>7.37</val>
          </value>
          <value>
            <val>0</val>
          </value>
          <value t="str">
            <val>9.16</val>
          </value>
          <value>
            <val>0</val>
          </value>
          <value t="str">
            <val>65.00</val>
          </value>
          <value t="str">
            <val>上櫃通信網路</val>
          </value>
        </values>
      </ddeItem>
      <ddeItem name="3558.TW-PreTotalVolume,ChipsField25,ChipsField27,DateofMeetingofShareHolders,CompanyPos,TradingDate" advise="1">
        <values cols="6">
          <value>
            <val>364</val>
          </value>
          <value t="str">
            <val>--</val>
          </value>
          <value t="str">
            <val>--</val>
          </value>
          <value t="str">
            <val>2022/06/17</val>
          </value>
          <value t="str">
            <val>神腦轉投資的無線網路設備大廠</val>
          </value>
          <value t="str">
            <val>2022/03/10</val>
          </value>
        </values>
      </ddeItem>
      <ddeItem name="3583.TW-ID,Name,Price,PriceChangeRatio,Low,High,Volume,InOutRatioNumber,Capital,ProfitMargin" advise="1">
        <values cols="10">
          <value t="str">
            <val>3583</val>
          </value>
          <value t="str">
            <val>辛耘</val>
          </value>
          <value>
            <val>85.1</val>
          </value>
          <value>
            <val>3.28</val>
          </value>
          <value>
            <val>84.5</val>
          </value>
          <value>
            <val>87.3</val>
          </value>
          <value>
            <val>118</val>
          </value>
          <value t="str">
            <val>51.23%</val>
          </value>
          <value t="str">
            <val>8.11</val>
          </value>
          <value t="str">
            <val>36.45</val>
          </value>
        </values>
      </ddeItem>
      <ddeItem name="3583.TW-OperatingProfitRatio,NetProfitMargin,TFXRatio,MonthlyNetSalesYoY,ReturnOnAssets,DividendYear,ProfitFourSeason,CashDividendYieldRate,StockNetValue,ExchangeIndustry" advise="1">
        <values cols="10">
          <value t="str">
            <val>11.85</val>
          </value>
          <value t="str">
            <val>8.97</val>
          </value>
          <value t="str">
            <val>2.77</val>
          </value>
          <value t="str">
            <val>77.09</val>
          </value>
          <value t="str">
            <val>6.44</val>
          </value>
          <value>
            <val>2.5</val>
          </value>
          <value t="str">
            <val>5.23</val>
          </value>
          <value>
            <val>2.94</val>
          </value>
          <value t="str">
            <val>38.95</val>
          </value>
          <value t="str">
            <val>上市半導體</val>
          </value>
        </values>
      </ddeItem>
      <ddeItem name="3583.TW-PreTotalVolume,ChipsField25,ChipsField27,DateofMeetingofShareHolders,CompanyPos,TradingDate" advise="1">
        <values cols="6">
          <value>
            <val>851</val>
          </value>
          <value t="str">
            <val>2022/06/23</val>
          </value>
          <value t="str">
            <val>--</val>
          </value>
          <value t="str">
            <val>2022/06/16</val>
          </value>
          <value t="str">
            <val>半導體製程設備及再生晶圓廠商</val>
          </value>
          <value t="str">
            <val>2022/03/10</val>
          </value>
        </values>
      </ddeItem>
      <ddeItem name="3592.TW-ID,Name,Price,PriceChangeRatio,Low,High,Volume,InOutRatioNumber,Capital,ProfitMargin" advise="1">
        <values cols="10">
          <value t="str">
            <val>3592</val>
          </value>
          <value t="str">
            <val>瑞鼎</val>
          </value>
          <value>
            <val>584</val>
          </value>
          <value>
            <val>6.18</val>
          </value>
          <value>
            <val>562</val>
          </value>
          <value>
            <val>587</val>
          </value>
          <value>
            <val>20</val>
          </value>
          <value t="str">
            <val>61.64%</val>
          </value>
          <value t="str">
            <val>7.59</val>
          </value>
          <value t="str">
            <val>42.81</val>
          </value>
        </values>
      </ddeItem>
      <ddeItem name="3592.TW-OperatingProfitRatio,NetProfitMargin,TFXRatio,MonthlyNetSalesYoY,ReturnOnAssets,DividendYear,ProfitFourSeason,CashDividendYieldRate,StockNetValue,ExchangeIndustry" advise="1">
        <values cols="10">
          <value t="str">
            <val>20.61</val>
          </value>
          <value t="str">
            <val>17.28</val>
          </value>
          <value t="str">
            <val>-8.09</val>
          </value>
          <value t="str">
            <val>58.89</val>
          </value>
          <value t="str">
            <val>30.11</val>
          </value>
          <value>
            <val>45</val>
          </value>
          <value t="str">
            <val>--</val>
          </value>
          <value>
            <val>7.71</val>
          </value>
          <value t="str">
            <val>132.32</val>
          </value>
          <value t="str">
            <val>上市半導體</val>
          </value>
        </values>
      </ddeItem>
      <ddeItem name="3592.TW-PreTotalVolume,ChipsField25,ChipsField27,DateofMeetingofShareHolders,CompanyPos,TradingDate" advise="1">
        <values cols="6">
          <value>
            <val>544</val>
          </value>
          <value t="str">
            <val>--</val>
          </value>
          <value t="str">
            <val>--</val>
          </value>
          <value t="str">
            <val>2022/05/30</val>
          </value>
          <value t="str">
            <val>友達集團旗下驅動IC設計公司</val>
          </value>
          <value t="str">
            <val>2022/03/10</val>
          </value>
        </values>
      </ddeItem>
      <ddeItem name="3665.TW-ID,Name,Price,PriceChangeRatio,Low,High,Volume,InOutRatioNumber,Capital,ProfitMargin" advise="1">
        <values cols="10">
          <value t="str">
            <val>3665</val>
          </value>
          <value t="str">
            <val>貿聯-KY</val>
          </value>
          <value>
            <val>309</val>
          </value>
          <value>
            <val>5.82</val>
          </value>
          <value>
            <val>295.5</val>
          </value>
          <value>
            <val>317</val>
          </value>
          <value>
            <val>202</val>
          </value>
          <value t="str">
            <val>56.37%</val>
          </value>
          <value t="str">
            <val>15.25</val>
          </value>
          <value t="str">
            <val>23.27</val>
          </value>
        </values>
      </ddeItem>
      <ddeItem name="3665.TW-OperatingProfitRatio,NetProfitMargin,TFXRatio,MonthlyNetSalesYoY,ReturnOnAssets,DividendYear,ProfitFourSeason,CashDividendYieldRate,StockNetValue,ExchangeIndustry" advise="1">
        <values cols="10">
          <value t="str">
            <val>9.18</val>
          </value>
          <value t="str">
            <val>7.09</val>
          </value>
          <value t="str">
            <val>26.65</val>
          </value>
          <value t="str">
            <val>121.01</val>
          </value>
          <value t="str">
            <val>6.55</val>
          </value>
          <value>
            <val>8.1</val>
          </value>
          <value t="str">
            <val>15.51</val>
          </value>
          <value>
            <val>2.62</val>
          </value>
          <value t="str">
            <val>102.98</val>
          </value>
          <value t="str">
            <val>上市其他電子</val>
          </value>
        </values>
      </ddeItem>
      <ddeItem name="3665.TW-PreTotalVolume,ChipsField25,ChipsField27,DateofMeetingofShareHolders,CompanyPos,TradingDate" advise="1">
        <values cols="6">
          <value>
            <val>2589</val>
          </value>
          <value t="str">
            <val>2021/07/08</val>
          </value>
          <value t="str">
            <val>--</val>
          </value>
          <value t="str">
            <val>2021/07/05</val>
          </value>
          <value t="str">
            <val>Tesla電池線束主力供應商</val>
          </value>
          <value t="str">
            <val>2022/03/10</val>
          </value>
        </values>
      </ddeItem>
      <ddeItem name="3687.TW-ID,Name,Price,PriceChangeRatio,Low,High,Volume,InOutRatioNumber,Capital,ProfitMargin" advise="1">
        <values cols="10">
          <value t="str">
            <val>3687</val>
          </value>
          <value t="str">
            <val>歐買尬</val>
          </value>
          <value>
            <val>186</val>
          </value>
          <value>
            <val>4.49</val>
          </value>
          <value>
            <val>181.5</val>
          </value>
          <value>
            <val>194.5</val>
          </value>
          <value>
            <val>304</val>
          </value>
          <value t="str">
            <val>51.38%</val>
          </value>
          <value t="str">
            <val>3.01</val>
          </value>
          <value t="str">
            <val>41.69</val>
          </value>
        </values>
      </ddeItem>
      <ddeItem name="3687.TW-OperatingProfitRatio,NetProfitMargin,TFXRatio,MonthlyNetSalesYoY,ReturnOnAssets,DividendYear,ProfitFourSeason,CashDividendYieldRate,StockNetValue,ExchangeIndustry" advise="1">
        <values cols="10">
          <value t="str">
            <val>21.70</val>
          </value>
          <value t="str">
            <val>17.59</val>
          </value>
          <value t="str">
            <val>-19.06</val>
          </value>
          <value t="str">
            <val>10.10</val>
          </value>
          <value t="str">
            <val>5.52</val>
          </value>
          <value>
            <val>1.2</val>
          </value>
          <value t="str">
            <val>2.42</val>
          </value>
          <value>
            <val>0.65</val>
          </value>
          <value t="str">
            <val>23.64</val>
          </value>
          <value t="str">
            <val>上櫃電子商務</val>
          </value>
        </values>
      </ddeItem>
      <ddeItem name="3687.TW-PreTotalVolume,ChipsField25,ChipsField27,DateofMeetingofShareHolders,CompanyPos,TradingDate" advise="1">
        <values cols="6">
          <value>
            <val>3009</val>
          </value>
          <value t="str">
            <val>--</val>
          </value>
          <value t="str">
            <val>--</val>
          </value>
          <value t="str">
            <val>2021/07/22</val>
          </value>
          <value t="str">
            <val>第三方金流服務及遊戲代理商</val>
          </value>
          <value t="str">
            <val>2022/03/10</val>
          </value>
        </values>
      </ddeItem>
      <ddeItem name="3707.TW-ID,Name,Price,PriceChangeRatio,Low,High,Volume,InOutRatioNumber,Capital,ProfitMargin" advise="1">
        <values cols="10">
          <value t="str">
            <val>3707</val>
          </value>
          <value t="str">
            <val>漢磊</val>
          </value>
          <value>
            <val>118</val>
          </value>
          <value>
            <val>9.77</val>
          </value>
          <value>
            <val>112</val>
          </value>
          <value>
            <val>118</val>
          </value>
          <value>
            <val>42</val>
          </value>
          <value t="str">
            <val>84.94%</val>
          </value>
          <value t="str">
            <val>33.09</val>
          </value>
          <value t="str">
            <val>13.62</val>
          </value>
        </values>
      </ddeItem>
      <ddeItem name="3707.TW-OperatingProfitRatio,NetProfitMargin,TFXRatio,MonthlyNetSalesYoY,ReturnOnAssets,DividendYear,ProfitFourSeason,CashDividendYieldRate,StockNetValue,ExchangeIndustry" advise="1">
        <values cols="10">
          <value t="str">
            <val>6.68</val>
          </value>
          <value t="str">
            <val>5.33</val>
          </value>
          <value t="str">
            <val>-2.02</val>
          </value>
          <value t="str">
            <val>28.69</val>
          </value>
          <value t="str">
            <val>4.45</val>
          </value>
          <value>
            <val>0.35</val>
          </value>
          <value t="str">
            <val>0.74</val>
          </value>
          <value>
            <val>0.3</val>
          </value>
          <value t="str">
            <val>13.53</val>
          </value>
          <value t="str">
            <val>上櫃半導體</val>
          </value>
        </values>
      </ddeItem>
      <ddeItem name="3707.TW-PreTotalVolume,ChipsField25,ChipsField27,DateofMeetingofShareHolders,CompanyPos,TradingDate" advise="1">
        <values cols="6">
          <value>
            <val>8714</val>
          </value>
          <value t="str">
            <val>--</val>
          </value>
          <value t="str">
            <val>--</val>
          </value>
          <value t="str">
            <val>2022/06/17</val>
          </value>
          <value t="str">
            <val>中小型晶圓代工與磊晶供應商</val>
          </value>
          <value t="str">
            <val>2022/03/10</val>
          </value>
        </values>
      </ddeItem>
      <ddeItem name="4148.TW-ID,Name,Price,PriceChangeRatio,Low,High,Volume,InOutRatioNumber,Capital,ProfitMargin" advise="1">
        <values cols="10">
          <value t="str">
            <val>4148</val>
          </value>
          <value t="str">
            <val>全宇生技-KY</val>
          </value>
          <value>
            <val>57.6</val>
          </value>
          <value>
            <val>9.92</val>
          </value>
          <value>
            <val>54.3</val>
          </value>
          <value>
            <val>57.6</val>
          </value>
          <value>
            <val>20</val>
          </value>
          <value t="str">
            <val>77.60%</val>
          </value>
          <value t="str">
            <val>6.40</val>
          </value>
          <value t="str">
            <val>24.59</val>
          </value>
        </values>
      </ddeItem>
      <ddeItem name="4148.TW-OperatingProfitRatio,NetProfitMargin,TFXRatio,MonthlyNetSalesYoY,ReturnOnAssets,DividendYear,ProfitFourSeason,CashDividendYieldRate,StockNetValue,ExchangeIndustry" advise="1">
        <values cols="10">
          <value t="str">
            <val>10.62</val>
          </value>
          <value t="str">
            <val>9.51</val>
          </value>
          <value t="str">
            <val>78.57</val>
          </value>
          <value t="str">
            <val>60.17</val>
          </value>
          <value t="str">
            <val>5.47</val>
          </value>
          <value>
            <val>1</val>
          </value>
          <value t="str">
            <val>2.40</val>
          </value>
          <value>
            <val>1.74</val>
          </value>
          <value t="str">
            <val>29.96</val>
          </value>
          <value t="str">
            <val>上市生技醫療</val>
          </value>
        </values>
      </ddeItem>
      <ddeItem name="4148.TW-PreTotalVolume,ChipsField25,ChipsField27,DateofMeetingofShareHolders,CompanyPos,TradingDate" advise="1">
        <values cols="6">
          <value>
            <val>513</val>
          </value>
          <value t="str">
            <val>2021/07/06</val>
          </value>
          <value t="str">
            <val>--</val>
          </value>
          <value t="str">
            <val>2021/07/13</val>
          </value>
          <value t="str">
            <val>馬來西亞生化複合肥料龍頭廠商</val>
          </value>
          <value t="str">
            <val>2022/03/10</val>
          </value>
        </values>
      </ddeItem>
      <ddeItem name="4162.TW-ID,Name,Price,PriceChangeRatio,Low,High,Volume,InOutRatioNumber,Capital,ProfitMargin" advise="1">
        <values cols="10">
          <value t="str">
            <val>4162</val>
          </value>
          <value t="str">
            <val>智擎</val>
          </value>
          <value>
            <val>88</val>
          </value>
          <value>
            <val>-0.11</val>
          </value>
          <value>
            <val>86.8</val>
          </value>
          <value>
            <val>95.6</val>
          </value>
          <value>
            <val>768</val>
          </value>
          <value t="str">
            <val>46.04%</val>
          </value>
          <value t="str">
            <val>14.56</val>
          </value>
          <value t="str">
            <val>93.47</val>
          </value>
        </values>
      </ddeItem>
      <ddeItem name="4162.TW-OperatingProfitRatio,NetProfitMargin,TFXRatio,MonthlyNetSalesYoY,ReturnOnAssets,DividendYear,ProfitFourSeason,CashDividendYieldRate,StockNetValue,ExchangeIndustry" advise="1">
        <values cols="10">
          <value t="str">
            <val>50.43</val>
          </value>
          <value t="str">
            <val>69.73</val>
          </value>
          <value t="str">
            <val>-38.28</val>
          </value>
          <value t="str">
            <val>15.36</val>
          </value>
          <value t="str">
            <val>7.76</val>
          </value>
          <value>
            <val>2.7</val>
          </value>
          <value t="str">
            <val>5.77</val>
          </value>
          <value>
            <val>3.07</val>
          </value>
          <value t="str">
            <val>26.66</val>
          </value>
          <value t="str">
            <val>上櫃生技醫療</val>
          </value>
        </values>
      </ddeItem>
      <ddeItem name="4162.TW-PreTotalVolume,ChipsField25,ChipsField27,DateofMeetingofShareHolders,CompanyPos,TradingDate" advise="1">
        <values cols="6">
          <value>
            <val>10013</val>
          </value>
          <value t="str">
            <val>--</val>
          </value>
          <value t="str">
            <val>--</val>
          </value>
          <value t="str">
            <val>2022/05/27</val>
          </value>
          <value t="str">
            <val>胰臟癌新藥MM-398已取得台灣及美國藥證</val>
          </value>
          <value t="str">
            <val>2022/03/10</val>
          </value>
        </values>
      </ddeItem>
      <ddeItem name="4721.TW-ID,Name,Price,PriceChangeRatio,Low,High,Volume,InOutRatioNumber,Capital,ProfitMargin" advise="1">
        <values cols="10">
          <value t="str">
            <val>4721</val>
          </value>
          <value t="str">
            <val>美琪瑪</val>
          </value>
          <value>
            <val>139</val>
          </value>
          <value>
            <val>1.46</val>
          </value>
          <value>
            <val>137.5</val>
          </value>
          <value>
            <val>145.5</val>
          </value>
          <value>
            <val>209</val>
          </value>
          <value t="str">
            <val>50.92%</val>
          </value>
          <value t="str">
            <val>7.50</val>
          </value>
          <value t="str">
            <val>14.62</val>
          </value>
        </values>
      </ddeItem>
      <ddeItem name="4721.TW-OperatingProfitRatio,NetProfitMargin,TFXRatio,MonthlyNetSalesYoY,ReturnOnAssets,DividendYear,ProfitFourSeason,CashDividendYieldRate,StockNetValue,ExchangeIndustry" advise="1">
        <values cols="10">
          <value t="str">
            <val>10.91</val>
          </value>
          <value t="str">
            <val>9.16</val>
          </value>
          <value t="str">
            <val>-11.01</val>
          </value>
          <value t="str">
            <val>117.02</val>
          </value>
          <value t="str">
            <val>13.11</val>
          </value>
          <value>
            <val>1.39</val>
          </value>
          <value t="str">
            <val>3.71</val>
          </value>
          <value>
            <val>1</val>
          </value>
          <value t="str">
            <val>17.04</val>
          </value>
          <value t="str">
            <val>上櫃化工</val>
          </value>
        </values>
      </ddeItem>
      <ddeItem name="4721.TW-PreTotalVolume,ChipsField25,ChipsField27,DateofMeetingofShareHolders,CompanyPos,TradingDate" advise="1">
        <values cols="6">
          <value>
            <val>1565</val>
          </value>
          <value t="str">
            <val>2021/07/23</val>
          </value>
          <value t="str">
            <val>--</val>
          </value>
          <value t="str">
            <val>2021/07/07</val>
          </value>
          <value t="str">
            <val>全球最大PTA氧化觸媒供應商，也生產正極材料</val>
          </value>
          <value t="str">
            <val>2022/03/10</val>
          </value>
        </values>
      </ddeItem>
      <ddeItem name="4722.TW-ID,Name,Price,PriceChangeRatio,Low,High,Volume,InOutRatioNumber,Capital,ProfitMargin" advise="1">
        <values cols="10">
          <value t="str">
            <val>4722</val>
          </value>
          <value t="str">
            <val>國精化</val>
          </value>
          <value>
            <val>43.1</val>
          </value>
          <value>
            <val>-0.81</val>
          </value>
          <value>
            <val>42.65</val>
          </value>
          <value>
            <val>44.8</val>
          </value>
          <value>
            <val>39</val>
          </value>
          <value t="str">
            <val>37.14%</val>
          </value>
          <value t="str">
            <val>10.00</val>
          </value>
          <value t="str">
            <val>20.82</val>
          </value>
        </values>
      </ddeItem>
      <ddeItem name="4722.TW-OperatingProfitRatio,NetProfitMargin,TFXRatio,MonthlyNetSalesYoY,ReturnOnAssets,DividendYear,ProfitFourSeason,CashDividendYieldRate,StockNetValue,ExchangeIndustry" advise="1">
        <values cols="10">
          <value t="str">
            <val>9.69</val>
          </value>
          <value t="str">
            <val>7.61</val>
          </value>
          <value t="str">
            <val>-27.47</val>
          </value>
          <value t="str">
            <val>30.18</val>
          </value>
          <value t="str">
            <val>9.41</val>
          </value>
          <value>
            <val>2.2000000000000002</val>
          </value>
          <value t="str">
            <val>3.75</val>
          </value>
          <value>
            <val>5.0999999999999996</val>
          </value>
          <value t="str">
            <val>27.83</val>
          </value>
          <value t="str">
            <val>上市化工</val>
          </value>
        </values>
      </ddeItem>
      <ddeItem name="4722.TW-PreTotalVolume,ChipsField25,ChipsField27,DateofMeetingofShareHolders,CompanyPos,TradingDate" advise="1">
        <values cols="6">
          <value>
            <val>999</val>
          </value>
          <value t="str">
            <val>--</val>
          </value>
          <value t="str">
            <val>--</val>
          </value>
          <value t="str">
            <val>2022/05/30</val>
          </value>
          <value t="str">
            <val>台灣不飽和聚酯樹脂大廠</val>
          </value>
          <value t="str">
            <val>2022/03/10</val>
          </value>
        </values>
      </ddeItem>
      <ddeItem name="4739.TW-ID,Name,Price,PriceChangeRatio,Low,High,Volume,InOutRatioNumber,Capital,ProfitMargin" advise="1">
        <values cols="10">
          <value t="str">
            <val>4739</val>
          </value>
          <value t="str">
            <val>康普</val>
          </value>
          <value>
            <val>155</val>
          </value>
          <value>
            <val>1.31</val>
          </value>
          <value>
            <val>152</val>
          </value>
          <value>
            <val>164.5</val>
          </value>
          <value>
            <val>812</val>
          </value>
          <value t="str">
            <val>49.12%</val>
          </value>
          <value t="str">
            <val>10.70</val>
          </value>
          <value t="str">
            <val>12.85</val>
          </value>
        </values>
      </ddeItem>
      <ddeItem name="4739.TW-OperatingProfitRatio,NetProfitMargin,TFXRatio,MonthlyNetSalesYoY,ReturnOnAssets,DividendYear,ProfitFourSeason,CashDividendYieldRate,StockNetValue,ExchangeIndustry" advise="1">
        <values cols="10">
          <value t="str">
            <val>7.96</val>
          </value>
          <value t="str">
            <val>6.11</val>
          </value>
          <value t="str">
            <val>1.38</val>
          </value>
          <value t="str">
            <val>41.14</val>
          </value>
          <value t="str">
            <val>5.37</val>
          </value>
          <value>
            <val>3</val>
          </value>
          <value t="str">
            <val>4.70</val>
          </value>
          <value>
            <val>1.94</val>
          </value>
          <value t="str">
            <val>44.70</val>
          </value>
          <value t="str">
            <val>上市化工</val>
          </value>
        </values>
      </ddeItem>
      <ddeItem name="4739.TW-PreTotalVolume,ChipsField25,ChipsField27,DateofMeetingofShareHolders,CompanyPos,TradingDate" advise="1">
        <values cols="6">
          <value>
            <val>10260</val>
          </value>
          <value t="str">
            <val>--</val>
          </value>
          <value t="str">
            <val>--</val>
          </value>
          <value t="str">
            <val>2022/05/27</val>
          </value>
          <value t="str">
            <val>台灣特用化學材、電池材料、PTA氧化觸媒大廠</val>
          </value>
          <value t="str">
            <val>2022/03/10</val>
          </value>
        </values>
      </ddeItem>
      <ddeItem name="4763.TW-ID,Name,Price,PriceChangeRatio,Low,High,Volume,InOutRatioNumber,Capital,ProfitMargin" advise="1">
        <values cols="10">
          <value t="str">
            <val>4763</val>
          </value>
          <value t="str">
            <val>材料-KY</val>
          </value>
          <value>
            <val>93.7</val>
          </value>
          <value>
            <val>-8.14</val>
          </value>
          <value>
            <val>91.8</val>
          </value>
          <value>
            <val>101.5</val>
          </value>
          <value>
            <val>23</val>
          </value>
          <value t="str">
            <val>30.16%</val>
          </value>
          <value t="str">
            <val>5.81</val>
          </value>
          <value t="str">
            <val>30.43</val>
          </value>
        </values>
      </ddeItem>
      <ddeItem name="4763.TW-OperatingProfitRatio,NetProfitMargin,TFXRatio,MonthlyNetSalesYoY,ReturnOnAssets,DividendYear,ProfitFourSeason,CashDividendYieldRate,StockNetValue,ExchangeIndustry" advise="1">
        <values cols="10">
          <value t="str">
            <val>14.79</val>
          </value>
          <value t="str">
            <val>15.41</val>
          </value>
          <value t="str">
            <val>-28.53</val>
          </value>
          <value t="str">
            <val>15.38</val>
          </value>
          <value t="str">
            <val>9.87</val>
          </value>
          <value>
            <val>0</val>
          </value>
          <value t="str">
            <val>9.22</val>
          </value>
          <value>
            <val>0</val>
          </value>
          <value t="str">
            <val>25.63</val>
          </value>
          <value t="str">
            <val>上市化工</val>
          </value>
        </values>
      </ddeItem>
      <ddeItem name="4763.TW-PreTotalVolume,ChipsField25,ChipsField27,DateofMeetingofShareHolders,CompanyPos,TradingDate" advise="1">
        <values cols="6">
          <value>
            <val>242</val>
          </value>
          <value t="str">
            <val>--</val>
          </value>
          <value t="str">
            <val>--</val>
          </value>
          <value t="str">
            <val>2022/05/27</val>
          </value>
          <value t="str">
            <val>全球第五大醋酸纖維絲束大廠</val>
          </value>
          <value t="str">
            <val>2022/03/10</val>
          </value>
        </values>
      </ddeItem>
      <ddeItem name="4804.TW-ID,Name,Price,PriceChangeRatio,Low,High,Volume,InOutRatioNumber,Capital,ProfitMargin" advise="1">
        <values cols="10">
          <value t="str">
            <val>4804</val>
          </value>
          <value t="str">
            <val>大略-KY</val>
          </value>
          <value>
            <val>9.5</val>
          </value>
          <value>
            <val>0.96</val>
          </value>
          <value>
            <val>9.5</val>
          </value>
          <value>
            <val>10.3</val>
          </value>
          <value>
            <val>121</val>
          </value>
          <value t="str">
            <val>44.76%</val>
          </value>
          <value t="str">
            <val>4.53</val>
          </value>
          <value t="str">
            <val>39.38</val>
          </value>
        </values>
      </ddeItem>
      <ddeItem name="4804.TW-OperatingProfitRatio,NetProfitMargin,TFXRatio,MonthlyNetSalesYoY,ReturnOnAssets,DividendYear,ProfitFourSeason,CashDividendYieldRate,StockNetValue,ExchangeIndustry" advise="1">
        <values cols="10">
          <value t="str">
            <val>4.80</val>
          </value>
          <value t="str">
            <val>-1.88</val>
          </value>
          <value t="str">
            <val>-7.81</val>
          </value>
          <value t="str">
            <val>15.72</val>
          </value>
          <value t="str">
            <val>1.04</val>
          </value>
          <value>
            <val>0</val>
          </value>
          <value t="str">
            <val>0.08</val>
          </value>
          <value>
            <val>0</val>
          </value>
          <value t="str">
            <val>10.96</val>
          </value>
          <value t="str">
            <val>上櫃觀光</val>
          </value>
        </values>
      </ddeItem>
      <ddeItem name="4804.TW-PreTotalVolume,ChipsField25,ChipsField27,DateofMeetingofShareHolders,CompanyPos,TradingDate" advise="1">
        <values cols="6">
          <value>
            <val>1489</val>
          </value>
          <value t="str">
            <val>--</val>
          </value>
          <value t="str">
            <val>--</val>
          </value>
          <value t="str">
            <val>2021/07/27</val>
          </value>
          <value t="str">
            <val>大陸知名整合婚禮服務業者，主要品牌是維多利亞婚宴會所</val>
          </value>
          <value t="str">
            <val>2022/03/10</val>
          </value>
        </values>
      </ddeItem>
      <ddeItem name="4931.TW-ID,Name,Price,PriceChangeRatio,Low,High,Volume,InOutRatioNumber,Capital,ProfitMargin" advise="1">
        <values cols="10">
          <value t="str">
            <val>4931</val>
          </value>
          <value t="str">
            <val>新盛力</val>
          </value>
          <value>
            <val>26.85</val>
          </value>
          <value>
            <val>1.51</val>
          </value>
          <value>
            <val>26.6</val>
          </value>
          <value>
            <val>28.5</val>
          </value>
          <value>
            <val>73</val>
          </value>
          <value t="str">
            <val>44.26%</val>
          </value>
          <value t="str">
            <val>6.44</val>
          </value>
          <value t="str">
            <val>13.08</val>
          </value>
        </values>
      </ddeItem>
      <ddeItem name="4931.TW-OperatingProfitRatio,NetProfitMargin,TFXRatio,MonthlyNetSalesYoY,ReturnOnAssets,DividendYear,ProfitFourSeason,CashDividendYieldRate,StockNetValue,ExchangeIndustry" advise="1">
        <values cols="10">
          <value t="str">
            <val>-2.50</val>
          </value>
          <value t="str">
            <val>-2.38</val>
          </value>
          <value t="str">
            <val>-41.99</val>
          </value>
          <value t="str">
            <val>54.81</val>
          </value>
          <value t="str">
            <val>-1.61</val>
          </value>
          <value>
            <val>0.89</val>
          </value>
          <value t="str">
            <val>-0.14</val>
          </value>
          <value>
            <val>3.31</val>
          </value>
          <value t="str">
            <val>14.20</val>
          </value>
          <value t="str">
            <val>上櫃電腦及週邊設備</val>
          </value>
        </values>
      </ddeItem>
      <ddeItem name="4931.TW-PreTotalVolume,ChipsField25,ChipsField27,DateofMeetingofShareHolders,CompanyPos,TradingDate" advise="1">
        <values cols="6">
          <value>
            <val>1234</val>
          </value>
          <value t="str">
            <val>2021/09/28</val>
          </value>
          <value t="str">
            <val>--</val>
          </value>
          <value t="str">
            <val>2021/08/27</val>
          </value>
          <value t="str">
            <val>台灣鋰電池模組之生產商</val>
          </value>
          <value t="str">
            <val>2022/03/10</val>
          </value>
        </values>
      </ddeItem>
      <ddeItem name="4958.TW-ID,Name,Price,PriceChangeRatio,Low,High,Volume,InOutRatioNumber,Capital,ProfitMargin" advise="1">
        <values cols="10">
          <value t="str">
            <val>4958</val>
          </value>
          <value t="str">
            <val>臻鼎-KY</val>
          </value>
          <value>
            <val>95</val>
          </value>
          <value>
            <val>3.04</val>
          </value>
          <value>
            <val>93.5</val>
          </value>
          <value>
            <val>95.3</val>
          </value>
          <value>
            <val>144</val>
          </value>
          <value t="str">
            <val>61.85%</val>
          </value>
          <value t="str">
            <val>94.70</val>
          </value>
          <value t="str">
            <val>18.64</val>
          </value>
        </values>
      </ddeItem>
      <ddeItem name="4958.TW-OperatingProfitRatio,NetProfitMargin,TFXRatio,MonthlyNetSalesYoY,ReturnOnAssets,DividendYear,ProfitFourSeason,CashDividendYieldRate,StockNetValue,ExchangeIndustry" advise="1">
        <values cols="10">
          <value t="str">
            <val>7.59</val>
          </value>
          <value t="str">
            <val>6.93</val>
          </value>
          <value t="str">
            <val>-4.91</val>
          </value>
          <value t="str">
            <val>31.52</val>
          </value>
          <value t="str">
            <val>3.85</val>
          </value>
          <value>
            <val>4.5</val>
          </value>
          <value t="str">
            <val>9.72</val>
          </value>
          <value>
            <val>4.74</val>
          </value>
          <value t="str">
            <val>82.53</val>
          </value>
          <value t="str">
            <val>上市電子零組件</val>
          </value>
        </values>
      </ddeItem>
      <ddeItem name="4958.TW-PreTotalVolume,ChipsField25,ChipsField27,DateofMeetingofShareHolders,CompanyPos,TradingDate" advise="1">
        <values cols="6">
          <value>
            <val>1084</val>
          </value>
          <value t="str">
            <val>2021/06/30</val>
          </value>
          <value t="str">
            <val>--</val>
          </value>
          <value t="str">
            <val>2021/07/01</val>
          </value>
          <value t="str">
            <val>鴻海轉投資的全球第一大PCB廠</val>
          </value>
          <value t="str">
            <val>2022/03/10</val>
          </value>
        </values>
      </ddeItem>
      <ddeItem name="5227.TW-ID,Name,Price,PriceChangeRatio,Low,High,Volume,InOutRatioNumber,Capital,ProfitMargin" advise="1">
        <values cols="10">
          <value t="str">
            <val>5227</val>
          </value>
          <value t="str">
            <val>立凱-KY</val>
          </value>
          <value>
            <val>88.5</val>
          </value>
          <value>
            <val>9.94</val>
          </value>
          <value>
            <val>82</val>
          </value>
          <value>
            <val>88.5</val>
          </value>
          <value>
            <val>2</val>
          </value>
          <value t="str">
            <val>83.75%</val>
          </value>
          <value t="str">
            <val>6.00</val>
          </value>
          <value t="str">
            <val>-31.08</val>
          </value>
        </values>
      </ddeItem>
      <ddeItem name="5227.TW-OperatingProfitRatio,NetProfitMargin,TFXRatio,MonthlyNetSalesYoY,ReturnOnAssets,DividendYear,ProfitFourSeason,CashDividendYieldRate,StockNetValue,ExchangeIndustry" advise="1">
        <values cols="10">
          <value t="str">
            <val>-94.37</val>
          </value>
          <value t="str">
            <val>-253.99</val>
          </value>
          <value t="str">
            <val>-75.99</val>
          </value>
          <value t="str">
            <val>113.83</val>
          </value>
          <value t="str">
            <val>-35.20</val>
          </value>
          <value>
            <val>0</val>
          </value>
          <value t="str">
            <val>-4.92</val>
          </value>
          <value>
            <val>0</val>
          </value>
          <value t="str">
            <val>6.61</val>
          </value>
          <value t="str">
            <val>上櫃電子零組件</val>
          </value>
        </values>
      </ddeItem>
      <ddeItem name="5227.TW-PreTotalVolume,ChipsField25,ChipsField27,DateofMeetingofShareHolders,CompanyPos,TradingDate" advise="1">
        <values cols="6">
          <value>
            <val>489</val>
          </value>
          <value t="str">
            <val>--</val>
          </value>
          <value t="str">
            <val>--</val>
          </value>
          <value t="str">
            <val>2021/04/15</val>
          </value>
          <value t="str">
            <val>台灣磷酸鐵鋰電池正極材料廠商</val>
          </value>
          <value t="str">
            <val>2022/03/10</val>
          </value>
        </values>
      </ddeItem>
      <ddeItem name="5258.TW-ID,Name,Price,PriceChangeRatio,Low,High,Volume,InOutRatioNumber,Capital,ProfitMargin" advise="1">
        <values cols="10">
          <value t="str">
            <val>5258</val>
          </value>
          <value t="str">
            <val>虹堡</val>
          </value>
          <value>
            <val>38.1</val>
          </value>
          <value>
            <val>3.25</val>
          </value>
          <value>
            <val>37.6</val>
          </value>
          <value>
            <val>39.15</val>
          </value>
          <value>
            <val>75</val>
          </value>
          <value t="str">
            <val>43.64%</val>
          </value>
          <value t="str">
            <val>8.95</val>
          </value>
          <value t="str">
            <val>27.41</val>
          </value>
        </values>
      </ddeItem>
      <ddeItem name="5258.TW-OperatingProfitRatio,NetProfitMargin,TFXRatio,MonthlyNetSalesYoY,ReturnOnAssets,DividendYear,ProfitFourSeason,CashDividendYieldRate,StockNetValue,ExchangeIndustry" advise="1">
        <values cols="10">
          <value t="str">
            <val>5.54</val>
          </value>
          <value t="str">
            <val>4.11</val>
          </value>
          <value t="str">
            <val>-20.34</val>
          </value>
          <value t="str">
            <val>144.56</val>
          </value>
          <value t="str">
            <val>3.33</val>
          </value>
          <value>
            <val>0.6</val>
          </value>
          <value t="str">
            <val>1.94</val>
          </value>
          <value>
            <val>1.57</val>
          </value>
          <value t="str">
            <val>16.98</val>
          </value>
          <value t="str">
            <val>上市電腦及週邊設備</val>
          </value>
        </values>
      </ddeItem>
      <ddeItem name="5258.TW-PreTotalVolume,ChipsField25,ChipsField27,DateofMeetingofShareHolders,CompanyPos,TradingDate" advise="1">
        <values cols="6">
          <value>
            <val>870</val>
          </value>
          <value t="str">
            <val>2021/11/23</val>
          </value>
          <value t="str">
            <val>--</val>
          </value>
          <value t="str">
            <val>2021/08/24</val>
          </value>
          <value t="str">
            <val>台灣POS設備製造商</val>
          </value>
          <value t="str">
            <val>2022/03/10</val>
          </value>
        </values>
      </ddeItem>
      <ddeItem name="5321.TW-ID,Name,Price,PriceChangeRatio,Low,High,Volume,InOutRatioNumber,Capital,ProfitMargin" advise="1">
        <values cols="10">
          <value t="str">
            <val>5321</val>
          </value>
          <value t="str">
            <val>美而快</val>
          </value>
          <value>
            <val>141</val>
          </value>
          <value>
            <val>-2.76</val>
          </value>
          <value>
            <val>140</val>
          </value>
          <value>
            <val>152</val>
          </value>
          <value>
            <val>125</val>
          </value>
          <value t="str">
            <val>35.97%</val>
          </value>
          <value t="str">
            <val>3.50</val>
          </value>
          <value t="str">
            <val>35.21</val>
          </value>
        </values>
      </ddeItem>
      <ddeItem name="5321.TW-OperatingProfitRatio,NetProfitMargin,TFXRatio,MonthlyNetSalesYoY,ReturnOnAssets,DividendYear,ProfitFourSeason,CashDividendYieldRate,StockNetValue,ExchangeIndustry" advise="1">
        <values cols="10">
          <value t="str">
            <val>7.44</val>
          </value>
          <value t="str">
            <val>6.72</val>
          </value>
          <value t="str">
            <val>-25.74</val>
          </value>
          <value t="str">
            <val>9.75</val>
          </value>
          <value t="str">
            <val>5.08</val>
          </value>
          <value>
            <val>0</val>
          </value>
          <value t="str">
            <val>1.78</val>
          </value>
          <value>
            <val>0</val>
          </value>
          <value t="str">
            <val>14.02</val>
          </value>
          <value t="str">
            <val>上櫃電子零組件</val>
          </value>
        </values>
      </ddeItem>
      <ddeItem name="5321.TW-PreTotalVolume,ChipsField25,ChipsField27,DateofMeetingofShareHolders,CompanyPos,TradingDate" advise="1">
        <values cols="6">
          <value>
            <val>817</val>
          </value>
          <value t="str">
            <val>--</val>
          </value>
          <value t="str">
            <val>--</val>
          </value>
          <value t="str">
            <val>2021/12/03</val>
          </value>
          <value t="str">
            <val>台灣印刷電路板與服飾電商業者</val>
          </value>
          <value t="str">
            <val>2022/03/10</val>
          </value>
        </values>
      </ddeItem>
      <ddeItem name="5388.TW-ID,Name,Price,PriceChangeRatio,Low,High,Volume,InOutRatioNumber,Capital,ProfitMargin" advise="1">
        <values cols="10">
          <value t="str">
            <val>5388</val>
          </value>
          <value t="str">
            <val>中磊</val>
          </value>
          <value>
            <val>74.400000000000006</val>
          </value>
          <value>
            <val>6.9</val>
          </value>
          <value>
            <val>72.2</val>
          </value>
          <value>
            <val>74.5</val>
          </value>
          <value>
            <val>133</val>
          </value>
          <value t="str">
            <val>58.03%</val>
          </value>
          <value t="str">
            <val>25.24</val>
          </value>
          <value t="str">
            <val>12.91</val>
          </value>
        </values>
      </ddeItem>
      <ddeItem name="5388.TW-OperatingProfitRatio,NetProfitMargin,TFXRatio,MonthlyNetSalesYoY,ReturnOnAssets,DividendYear,ProfitFourSeason,CashDividendYieldRate,StockNetValue,ExchangeIndustry" advise="1">
        <values cols="10">
          <value t="str">
            <val>2.40</val>
          </value>
          <value t="str">
            <val>1.96</val>
          </value>
          <value t="str">
            <val>-8.52</val>
          </value>
          <value t="str">
            <val>19.92</val>
          </value>
          <value t="str">
            <val>2.85</val>
          </value>
          <value>
            <val>2.4</val>
          </value>
          <value t="str">
            <val>3.44</val>
          </value>
          <value>
            <val>3.23</val>
          </value>
          <value t="str">
            <val>32.68</val>
          </value>
          <value t="str">
            <val>上市通信網路</val>
          </value>
        </values>
      </ddeItem>
      <ddeItem name="5388.TW-PreTotalVolume,ChipsField25,ChipsField27,DateofMeetingofShareHolders,CompanyPos,TradingDate" advise="1">
        <values cols="6">
          <value>
            <val>812</val>
          </value>
          <value t="str">
            <val>--</val>
          </value>
          <value t="str">
            <val>--</val>
          </value>
          <value t="str">
            <val>2022/06/08</val>
          </value>
          <value t="str">
            <val>台灣寬頻及電信設備代工大廠</val>
          </value>
          <value t="str">
            <val>2022/03/10</val>
          </value>
        </values>
      </ddeItem>
      <ddeItem name="5538.TW-ID,Name,Price,PriceChangeRatio,Low,High,Volume,InOutRatioNumber,Capital,ProfitMargin" advise="1">
        <values cols="10">
          <value t="str">
            <val>5538</val>
          </value>
          <value t="str">
            <val>東明-KY</val>
          </value>
          <value>
            <val>63.2</val>
          </value>
          <value>
            <val>7.48</val>
          </value>
          <value>
            <val>59</val>
          </value>
          <value>
            <val>64.400000000000006</val>
          </value>
          <value>
            <val>29</val>
          </value>
          <value t="str">
            <val>56.50%</val>
          </value>
          <value t="str">
            <val>20.12</val>
          </value>
          <value t="str">
            <val>20.66</val>
          </value>
        </values>
      </ddeItem>
      <ddeItem name="5538.TW-OperatingProfitRatio,NetProfitMargin,TFXRatio,MonthlyNetSalesYoY,ReturnOnAssets,DividendYear,ProfitFourSeason,CashDividendYieldRate,StockNetValue,ExchangeIndustry" advise="1">
        <values cols="10">
          <value t="str">
            <val>14.87</val>
          </value>
          <value t="str">
            <val>10.91</val>
          </value>
          <value t="str">
            <val>-9.89</val>
          </value>
          <value t="str">
            <val>97.46</val>
          </value>
          <value t="str">
            <val>11.03</val>
          </value>
          <value>
            <val>1.78</val>
          </value>
          <value t="str">
            <val>7.02</val>
          </value>
          <value>
            <val>2.82</val>
          </value>
          <value t="str">
            <val>30.04</val>
          </value>
          <value t="str">
            <val>上市鋼鐵</val>
          </value>
        </values>
      </ddeItem>
      <ddeItem name="5538.TW-PreTotalVolume,ChipsField25,ChipsField27,DateofMeetingofShareHolders,CompanyPos,TradingDate" advise="1">
        <values cols="6">
          <value>
            <val>317</val>
          </value>
          <value t="str">
            <val>2021/08/03</val>
          </value>
          <value t="str">
            <val>--</val>
          </value>
          <value t="str">
            <val>2021/07/07</val>
          </value>
          <value t="str">
            <val>大陸不鏽鋼緊固件龍頭大廠</val>
          </value>
          <value t="str">
            <val>2022/03/10</val>
          </value>
        </values>
      </ddeItem>
      <ddeItem name="5608.TW-ID,Name,Price,PriceChangeRatio,Low,High,Volume,InOutRatioNumber,Capital,ProfitMargin" advise="1">
        <values cols="10">
          <value t="str">
            <val>5608</val>
          </value>
          <value t="str">
            <val>四維航</val>
          </value>
          <value>
            <val>47.1</val>
          </value>
          <value>
            <val>4.43</val>
          </value>
          <value>
            <val>45.75</val>
          </value>
          <value>
            <val>49.55</val>
          </value>
          <value>
            <val>1757</val>
          </value>
          <value t="str">
            <val>55.76%</val>
          </value>
          <value t="str">
            <val>32.93</val>
          </value>
          <value t="str">
            <val>46.68</val>
          </value>
        </values>
      </ddeItem>
      <ddeItem name="5608.TW-OperatingProfitRatio,NetProfitMargin,TFXRatio,MonthlyNetSalesYoY,ReturnOnAssets,DividendYear,ProfitFourSeason,CashDividendYieldRate,StockNetValue,ExchangeIndustry" advise="1">
        <values cols="10">
          <value t="str">
            <val>41.05</val>
          </value>
          <value t="str">
            <val>34.58</val>
          </value>
          <value t="str">
            <val>-11.82</val>
          </value>
          <value t="str">
            <val>93.41</val>
          </value>
          <value t="str">
            <val>9.26</val>
          </value>
          <value>
            <val>0</val>
          </value>
          <value t="str">
            <val>7.17</val>
          </value>
          <value>
            <val>0</val>
          </value>
          <value t="str">
            <val>20.81</val>
          </value>
          <value t="str">
            <val>上市航運業</val>
          </value>
        </values>
      </ddeItem>
      <ddeItem name="5608.TW-PreTotalVolume,ChipsField25,ChipsField27,DateofMeetingofShareHolders,CompanyPos,TradingDate" advise="1">
        <values cols="6">
          <value>
            <val>28219</val>
          </value>
          <value t="str">
            <val>--</val>
          </value>
          <value t="str">
            <val>--</val>
          </value>
          <value t="str">
            <val>2021/08/26</val>
          </value>
          <value t="str">
            <val>以輕型散裝船為主的散裝航運業者</val>
          </value>
          <value t="str">
            <val>2022/03/10</val>
          </value>
        </values>
      </ddeItem>
      <ddeItem name="5706.TW-ID,Name,Price,PriceChangeRatio,Low,High,Volume,InOutRatioNumber,Capital,ProfitMargin" advise="1">
        <values cols="10">
          <value t="str">
            <val>5706</val>
          </value>
          <value t="str">
            <val>鳳凰</val>
          </value>
          <value>
            <val>61.9</val>
          </value>
          <value>
            <val>-0.16</val>
          </value>
          <value>
            <val>61.8</val>
          </value>
          <value>
            <val>68</val>
          </value>
          <value>
            <val>597</val>
          </value>
          <value t="str">
            <val>47.57%</val>
          </value>
          <value t="str">
            <val>6.71</val>
          </value>
          <value t="str">
            <val>26.05</val>
          </value>
        </values>
      </ddeItem>
      <ddeItem name="5706.TW-OperatingProfitRatio,NetProfitMargin,TFXRatio,MonthlyNetSalesYoY,ReturnOnAssets,DividendYear,ProfitFourSeason,CashDividendYieldRate,StockNetValue,ExchangeIndustry" advise="1">
        <values cols="10">
          <value t="str">
            <val>-38.81</val>
          </value>
          <value t="str">
            <val>61.83</val>
          </value>
          <value t="str">
            <val>67.26</val>
          </value>
          <value t="str">
            <val>1.91</val>
          </value>
          <value t="str">
            <val>3.23</val>
          </value>
          <value>
            <val>0.3</val>
          </value>
          <value t="str">
            <val>1.04</val>
          </value>
          <value>
            <val>0.48</val>
          </value>
          <value t="str">
            <val>18.32</val>
          </value>
          <value t="str">
            <val>上市觀光</val>
          </value>
        </values>
      </ddeItem>
      <ddeItem name="5706.TW-PreTotalVolume,ChipsField25,ChipsField27,DateofMeetingofShareHolders,CompanyPos,TradingDate" advise="1">
        <values cols="6">
          <value>
            <val>8532</val>
          </value>
          <value t="str">
            <val>2021/08/02</val>
          </value>
          <value t="str">
            <val>--</val>
          </value>
          <value t="str">
            <val>2021/07/16</val>
          </value>
          <value t="str">
            <val>台灣首家上市旅行社，提供國內外全方位旅遊產品</val>
          </value>
          <value t="str">
            <val>2022/03/10</val>
          </value>
        </values>
      </ddeItem>
      <ddeItem name="5876.TW-ID,Name,Price,PriceChangeRatio,Low,High,Volume,InOutRatioNumber,Capital,ProfitMargin" advise="1">
        <values cols="10">
          <value t="str">
            <val>5876</val>
          </value>
          <value t="str">
            <val>上海商銀</val>
          </value>
          <value>
            <val>46.8</val>
          </value>
          <value>
            <val>3.54</val>
          </value>
          <value>
            <val>45.3</val>
          </value>
          <value>
            <val>46.8</val>
          </value>
          <value>
            <val>806</val>
          </value>
          <value t="str">
            <val>64.35%</val>
          </value>
          <value t="str">
            <val>448.16</val>
          </value>
          <value t="str">
            <val>--</val>
          </value>
        </values>
      </ddeItem>
      <ddeItem name="5876.TW-OperatingProfitRatio,NetProfitMargin,TFXRatio,MonthlyNetSalesYoY,ReturnOnAssets,DividendYear,ProfitFourSeason,CashDividendYieldRate,StockNetValue,ExchangeIndustry" advise="1">
        <values cols="10">
          <value t="str">
            <val>--</val>
          </value>
          <value t="str">
            <val>45.27</val>
          </value>
          <value t="str">
            <val>0.43</val>
          </value>
          <value t="str">
            <val>3.06</val>
          </value>
          <value t="str">
            <val>0.67</val>
          </value>
          <value>
            <val>1.7</val>
          </value>
          <value t="str">
            <val>3.14</val>
          </value>
          <value>
            <val>3.63</val>
          </value>
          <value t="str">
            <val>34.85</val>
          </value>
          <value t="str">
            <val>上市金融保險</val>
          </value>
        </values>
      </ddeItem>
      <ddeItem name="5876.TW-PreTotalVolume,ChipsField25,ChipsField27,DateofMeetingofShareHolders,CompanyPos,TradingDate" advise="1">
        <values cols="6">
          <value>
            <val>2594</val>
          </value>
          <value t="str">
            <val>2021/07/28</val>
          </value>
          <value t="str">
            <val>--</val>
          </value>
          <value t="str">
            <val>2021/07/05</val>
          </value>
          <value t="str">
            <val>唯一自大陸遷台復業的民營銀行</val>
          </value>
          <value t="str">
            <val>2022/03/10</val>
          </value>
        </values>
      </ddeItem>
      <ddeItem name="5905.TW-ID,Name,Price,PriceChangeRatio,Low,High,Volume,InOutRatioNumber,Capital,ProfitMargin" advise="1">
        <values cols="10">
          <value t="str">
            <val>5905</val>
          </value>
          <value t="str">
            <val>南仁湖</val>
          </value>
          <value>
            <val>14.05</val>
          </value>
          <value>
            <val>-1.06</val>
          </value>
          <value>
            <val>14.05</val>
          </value>
          <value>
            <val>14.6</val>
          </value>
          <value>
            <val>105</val>
          </value>
          <value t="str">
            <val>41.18%</val>
          </value>
          <value t="str">
            <val>18.98</val>
          </value>
          <value t="str">
            <val>63.44</val>
          </value>
        </values>
      </ddeItem>
      <ddeItem name="5905.TW-OperatingProfitRatio,NetProfitMargin,TFXRatio,MonthlyNetSalesYoY,ReturnOnAssets,DividendYear,ProfitFourSeason,CashDividendYieldRate,StockNetValue,ExchangeIndustry" advise="1">
        <values cols="10">
          <value t="str">
            <val>-41.14</val>
          </value>
          <value t="str">
            <val>-25.66</val>
          </value>
          <value t="str">
            <val>24.62</val>
          </value>
          <value t="str">
            <val>-11.56</val>
          </value>
          <value t="str">
            <val>-2.84</val>
          </value>
          <value>
            <val>0.2</val>
          </value>
          <value t="str">
            <val>-0.60</val>
          </value>
          <value>
            <val>1.42</val>
          </value>
          <value t="str">
            <val>11.79</val>
          </value>
          <value t="str">
            <val>上櫃貿易百貨</val>
          </value>
        </values>
      </ddeItem>
      <ddeItem name="5905.TW-PreTotalVolume,ChipsField25,ChipsField27,DateofMeetingofShareHolders,CompanyPos,TradingDate" advise="1">
        <values cols="6">
          <value>
            <val>526</val>
          </value>
          <value t="str">
            <val>2021/09/10</val>
          </value>
          <value t="str">
            <val>--</val>
          </value>
          <value t="str">
            <val>2021/08/27</val>
          </value>
          <value t="str">
            <val>高速公路休息站及海生館、小墾丁渡假村之經營業者</val>
          </value>
          <value t="str">
            <val>2022/03/10</val>
          </value>
        </values>
      </ddeItem>
      <ddeItem name="6026.TW-ID,Name,Price,PriceChangeRatio,Low,High,Volume,InOutRatioNumber,Capital,ProfitMargin" advise="1">
        <values cols="10">
          <value t="str">
            <val>6026</val>
          </value>
          <value t="str">
            <val>福邦證</val>
          </value>
          <value>
            <val>20.3</val>
          </value>
          <value>
            <val>-0.49</val>
          </value>
          <value>
            <val>20.25</val>
          </value>
          <value>
            <val>20.95</val>
          </value>
          <value>
            <val>312</val>
          </value>
          <value t="str">
            <val>39.91%</val>
          </value>
          <value t="str">
            <val>30.01</val>
          </value>
          <value t="str">
            <val>99.32</val>
          </value>
        </values>
      </ddeItem>
      <ddeItem name="6026.TW-OperatingProfitRatio,NetProfitMargin,TFXRatio,MonthlyNetSalesYoY,ReturnOnAssets,DividendYear,ProfitFourSeason,CashDividendYieldRate,StockNetValue,ExchangeIndustry" advise="1">
        <values cols="10">
          <value t="str">
            <val>70.92</val>
          </value>
          <value t="str">
            <val>66.39</val>
          </value>
          <value t="str">
            <val>-46.78</val>
          </value>
          <value t="str">
            <val>-56.43</val>
          </value>
          <value t="str">
            <val>14.65</val>
          </value>
          <value>
            <val>0</val>
          </value>
          <value t="str">
            <val>5.21</val>
          </value>
          <value>
            <val>0</val>
          </value>
          <value t="str">
            <val>17.14</val>
          </value>
          <value t="str">
            <val>上櫃金融</val>
          </value>
        </values>
      </ddeItem>
      <ddeItem name="6026.TW-PreTotalVolume,ChipsField25,ChipsField27,DateofMeetingofShareHolders,CompanyPos,TradingDate" advise="1">
        <values cols="6">
          <value>
            <val>3272</val>
          </value>
          <value t="str">
            <val>--</val>
          </value>
          <value t="str">
            <val>--</val>
          </value>
          <value t="str">
            <val>2022/06/30</val>
          </value>
          <value t="str">
            <val>台灣小型綜合證券業務商</val>
          </value>
          <value t="str">
            <val>2022/03/10</val>
          </value>
        </values>
      </ddeItem>
      <ddeItem name="6111.TW-ID,Name,Price,PriceChangeRatio,Low,High,Volume,InOutRatioNumber,Capital,ProfitMargin" advise="1">
        <values cols="10">
          <value t="str">
            <val>6111</val>
          </value>
          <value t="str">
            <val>大宇資</val>
          </value>
          <value>
            <val>93.5</val>
          </value>
          <value>
            <val>4.82</val>
          </value>
          <value>
            <val>90.2</val>
          </value>
          <value>
            <val>97</val>
          </value>
          <value>
            <val>94</val>
          </value>
          <value t="str">
            <val>57.62%</val>
          </value>
          <value t="str">
            <val>6.56</val>
          </value>
          <value t="str">
            <val>84.53</val>
          </value>
        </values>
      </ddeItem>
      <ddeItem name="6111.TW-OperatingProfitRatio,NetProfitMargin,TFXRatio,MonthlyNetSalesYoY,ReturnOnAssets,DividendYear,ProfitFourSeason,CashDividendYieldRate,StockNetValue,ExchangeIndustry" advise="1">
        <values cols="10">
          <value t="str">
            <val>19.70</val>
          </value>
          <value t="str">
            <val>-6.20</val>
          </value>
          <value t="str">
            <val>-63.92</val>
          </value>
          <value t="str">
            <val>240.76</val>
          </value>
          <value t="str">
            <val>-1.05</val>
          </value>
          <value>
            <val>0</val>
          </value>
          <value t="str">
            <val>0.13</val>
          </value>
          <value>
            <val>0</val>
          </value>
          <value t="str">
            <val>13.40</val>
          </value>
          <value t="str">
            <val>上櫃文化創意</val>
          </value>
        </values>
      </ddeItem>
      <ddeItem name="6111.TW-PreTotalVolume,ChipsField25,ChipsField27,DateofMeetingofShareHolders,CompanyPos,TradingDate" advise="1">
        <values cols="6">
          <value>
            <val>1064</val>
          </value>
          <value t="str">
            <val>--</val>
          </value>
          <value t="str">
            <val>--</val>
          </value>
          <value t="str">
            <val>2022/05/27</val>
          </value>
          <value t="str">
            <val>台灣以自有品牌自創產品之線上遊戲開發商</val>
          </value>
          <value t="str">
            <val>2022/03/10</val>
          </value>
        </values>
      </ddeItem>
      <ddeItem name="6125.TW-ID,Name,Price,PriceChangeRatio,Low,High,Volume,InOutRatioNumber,Capital,ProfitMargin" advise="1">
        <values cols="10">
          <value t="str">
            <val>6125</val>
          </value>
          <value t="str">
            <val>廣運</val>
          </value>
          <value>
            <val>25.8</val>
          </value>
          <value>
            <val>4.45</val>
          </value>
          <value>
            <val>25.05</val>
          </value>
          <value>
            <val>26.3</val>
          </value>
          <value>
            <val>99</val>
          </value>
          <value t="str">
            <val>61.45%</val>
          </value>
          <value t="str">
            <val>24.90</val>
          </value>
          <value t="str">
            <val>1.83</val>
          </value>
        </values>
      </ddeItem>
      <ddeItem name="6125.TW-OperatingProfitRatio,NetProfitMargin,TFXRatio,MonthlyNetSalesYoY,ReturnOnAssets,DividendYear,ProfitFourSeason,CashDividendYieldRate,StockNetValue,ExchangeIndustry" advise="1">
        <values cols="10">
          <value t="str">
            <val>-20.33</val>
          </value>
          <value t="str">
            <val>-18.13</val>
          </value>
          <value t="str">
            <val>3.81</val>
          </value>
          <value t="str">
            <val>19.30</val>
          </value>
          <value t="str">
            <val>-4.74</val>
          </value>
          <value>
            <val>1.5</val>
          </value>
          <value t="str">
            <val>-0.70</val>
          </value>
          <value>
            <val>5.81</val>
          </value>
          <value t="str">
            <val>13.74</val>
          </value>
          <value t="str">
            <val>上櫃光電</val>
          </value>
        </values>
      </ddeItem>
      <ddeItem name="6125.TW-PreTotalVolume,ChipsField25,ChipsField27,DateofMeetingofShareHolders,CompanyPos,TradingDate" advise="1">
        <values cols="6">
          <value>
            <val>2648</val>
          </value>
          <value t="str">
            <val>2021/09/13</val>
          </value>
          <value t="str">
            <val>--</val>
          </value>
          <value t="str">
            <val>2021/08/27</val>
          </value>
          <value t="str">
            <val>經營自動化物流系統及太陽能電池等業務</val>
          </value>
          <value t="str">
            <val>2022/03/10</val>
          </value>
        </values>
      </ddeItem>
      <ddeItem name="6147.TW-ID,Name,Price,PriceChangeRatio,Low,High,Volume,InOutRatioNumber,Capital,ProfitMargin" advise="1">
        <values cols="10">
          <value t="str">
            <val>6147</val>
          </value>
          <value t="str">
            <val>頎邦</val>
          </value>
          <value>
            <val>71.2</val>
          </value>
          <value>
            <val>-0.56000000000000005</val>
          </value>
          <value>
            <val>70.8</val>
          </value>
          <value>
            <val>73</val>
          </value>
          <value>
            <val>553</val>
          </value>
          <value t="str">
            <val>39.31%</val>
          </value>
          <value t="str">
            <val>73.87</val>
          </value>
          <value t="str">
            <val>32.32</val>
          </value>
        </values>
      </ddeItem>
      <ddeItem name="6147.TW-OperatingProfitRatio,NetProfitMargin,TFXRatio,MonthlyNetSalesYoY,ReturnOnAssets,DividendYear,ProfitFourSeason,CashDividendYieldRate,StockNetValue,ExchangeIndustry" advise="1">
        <values cols="10">
          <value t="str">
            <val>25.46</val>
          </value>
          <value t="str">
            <val>22.66</val>
          </value>
          <value t="str">
            <val>-9.40</val>
          </value>
          <value t="str">
            <val>0.89</val>
          </value>
          <value t="str">
            <val>12.72</val>
          </value>
          <value>
            <val>0</val>
          </value>
          <value t="str">
            <val>9.10</val>
          </value>
          <value>
            <val>0</val>
          </value>
          <value t="str">
            <val>56.42</val>
          </value>
          <value t="str">
            <val>上櫃半導體</val>
          </value>
        </values>
      </ddeItem>
      <ddeItem name="6147.TW-PreTotalVolume,ChipsField25,ChipsField27,DateofMeetingofShareHolders,CompanyPos,TradingDate" advise="1">
        <values cols="6">
          <value>
            <val>8303</val>
          </value>
          <value t="str">
            <val>--</val>
          </value>
          <value t="str">
            <val>--</val>
          </value>
          <value t="str">
            <val>2022/05/27</val>
          </value>
          <value t="str">
            <val>全球最大LCD驅動IC封裝及金凸塊供應商</val>
          </value>
          <value t="str">
            <val>2022/03/10</val>
          </value>
        </values>
      </ddeItem>
      <ddeItem name="6150.TW-ID,Name,Price,PriceChangeRatio,Low,High,Volume,InOutRatioNumber,Capital,ProfitMargin" advise="1">
        <values cols="10">
          <value t="str">
            <val>6150</val>
          </value>
          <value t="str">
            <val>撼訊</val>
          </value>
          <value>
            <val>154</val>
          </value>
          <value>
            <val>4.76</val>
          </value>
          <value>
            <val>153</val>
          </value>
          <value>
            <val>161.5</val>
          </value>
          <value>
            <val>156</val>
          </value>
          <value t="str">
            <val>54.92%</val>
          </value>
          <value t="str">
            <val>4.83</val>
          </value>
          <value t="str">
            <val>20.98</val>
          </value>
        </values>
      </ddeItem>
      <ddeItem name="6150.TW-OperatingProfitRatio,NetProfitMargin,TFXRatio,MonthlyNetSalesYoY,ReturnOnAssets,DividendYear,ProfitFourSeason,CashDividendYieldRate,StockNetValue,ExchangeIndustry" advise="1">
        <values cols="10">
          <value t="str">
            <val>14.94</val>
          </value>
          <value t="str">
            <val>11.87</val>
          </value>
          <value t="str">
            <val>-17.00</val>
          </value>
          <value t="str">
            <val>165.48</val>
          </value>
          <value t="str">
            <val>20.62</val>
          </value>
          <value>
            <val>0.5</val>
          </value>
          <value t="str">
            <val>15.41</val>
          </value>
          <value>
            <val>0.32</val>
          </value>
          <value t="str">
            <val>33.64</val>
          </value>
          <value t="str">
            <val>上櫃電腦及週邊設備</val>
          </value>
        </values>
      </ddeItem>
      <ddeItem name="6150.TW-PreTotalVolume,ChipsField25,ChipsField27,DateofMeetingofShareHolders,CompanyPos,TradingDate" advise="1">
        <values cols="6">
          <value>
            <val>1517</val>
          </value>
          <value t="str">
            <val>2021/08/09</val>
          </value>
          <value t="str">
            <val>--</val>
          </value>
          <value t="str">
            <val>2021/07/22</val>
          </value>
          <value t="str">
            <val>以Power Color品牌行銷全球之第三大繪圖卡供應商</val>
          </value>
          <value t="str">
            <val>2022/03/10</val>
          </value>
        </values>
      </ddeItem>
      <ddeItem name="6185.TW-ID,Name,Price,PriceChangeRatio,Low,High,Volume,InOutRatioNumber,Capital,ProfitMargin" advise="1">
        <values cols="10">
          <value t="str">
            <val>6185</val>
          </value>
          <value t="str">
            <val>幃翔</val>
          </value>
          <value>
            <val>14.1</val>
          </value>
          <value>
            <val>7.22</val>
          </value>
          <value>
            <val>13.2</val>
          </value>
          <value>
            <val>14.45</val>
          </value>
          <value>
            <val>117</val>
          </value>
          <value t="str">
            <val>79.89%</val>
          </value>
          <value t="str">
            <val>14.99</val>
          </value>
          <value t="str">
            <val>20.77</val>
          </value>
        </values>
      </ddeItem>
      <ddeItem name="6185.TW-OperatingProfitRatio,NetProfitMargin,TFXRatio,MonthlyNetSalesYoY,ReturnOnAssets,DividendYear,ProfitFourSeason,CashDividendYieldRate,StockNetValue,ExchangeIndustry" advise="1">
        <values cols="10">
          <value t="str">
            <val>-22.31</val>
          </value>
          <value t="str">
            <val>-19.50</val>
          </value>
          <value t="str">
            <val>-13.15</val>
          </value>
          <value t="str">
            <val>49.82</val>
          </value>
          <value t="str">
            <val>-2.90</val>
          </value>
          <value>
            <val>0.2</val>
          </value>
          <value t="str">
            <val>-0.67</val>
          </value>
          <value>
            <val>1.42</val>
          </value>
          <value t="str">
            <val>13.99</val>
          </value>
          <value t="str">
            <val>上櫃電子零組件</val>
          </value>
        </values>
      </ddeItem>
      <ddeItem name="6185.TW-PreTotalVolume,ChipsField25,ChipsField27,DateofMeetingofShareHolders,CompanyPos,TradingDate" advise="1">
        <values cols="6">
          <value>
            <val>74</val>
          </value>
          <value t="str">
            <val>2022/06/14</val>
          </value>
          <value t="str">
            <val>--</val>
          </value>
          <value t="str">
            <val>2022/06/14</val>
          </value>
          <value t="str">
            <val>BTB、快閃記憶卡類連接器生產廠</val>
          </value>
          <value t="str">
            <val>2022/03/10</val>
          </value>
        </values>
      </ddeItem>
      <ddeItem name="6187.TW-ID,Name,Price,PriceChangeRatio,Low,High,Volume,InOutRatioNumber,Capital,ProfitMargin" advise="1">
        <values cols="10">
          <value t="str">
            <val>6187</val>
          </value>
          <value t="str">
            <val>萬潤</val>
          </value>
          <value>
            <val>132</val>
          </value>
          <value>
            <val>1.93</val>
          </value>
          <value>
            <val>132</val>
          </value>
          <value>
            <val>135.5</val>
          </value>
          <value>
            <val>119</val>
          </value>
          <value t="str">
            <val>42.84%</val>
          </value>
          <value t="str">
            <val>8.33</val>
          </value>
          <value t="str">
            <val>46.74</val>
          </value>
        </values>
      </ddeItem>
      <ddeItem name="6187.TW-OperatingProfitRatio,NetProfitMargin,TFXRatio,MonthlyNetSalesYoY,ReturnOnAssets,DividendYear,ProfitFourSeason,CashDividendYieldRate,StockNetValue,ExchangeIndustry" advise="1">
        <values cols="10">
          <value t="str">
            <val>24.41</val>
          </value>
          <value t="str">
            <val>20.78</val>
          </value>
          <value t="str">
            <val>30.75</val>
          </value>
          <value t="str">
            <val>43.34</val>
          </value>
          <value t="str">
            <val>17.29</val>
          </value>
          <value>
            <val>4.5</val>
          </value>
          <value t="str">
            <val>6.65</val>
          </value>
          <value>
            <val>3.41</val>
          </value>
          <value t="str">
            <val>28.27</val>
          </value>
          <value t="str">
            <val>上櫃其他電子</val>
          </value>
        </values>
      </ddeItem>
      <ddeItem name="6187.TW-PreTotalVolume,ChipsField25,ChipsField27,DateofMeetingofShareHolders,CompanyPos,TradingDate" advise="1">
        <values cols="6">
          <value>
            <val>1102</val>
          </value>
          <value t="str">
            <val>--</val>
          </value>
          <value t="str">
            <val>--</val>
          </value>
          <value t="str">
            <val>2022/06/09</val>
          </value>
          <value t="str">
            <val>被動元件、封測暨光電產業設備廠商</val>
          </value>
          <value t="str">
            <val>2022/03/10</val>
          </value>
        </values>
      </ddeItem>
      <ddeItem name="6227.TW-ID,Name,Price,PriceChangeRatio,Low,High,Volume,InOutRatioNumber,Capital,ProfitMargin" advise="1">
        <values cols="10">
          <value t="str">
            <val>6227</val>
          </value>
          <value t="str">
            <val>茂綸</val>
          </value>
          <value>
            <val>38.75</val>
          </value>
          <value>
            <val>3.33</val>
          </value>
          <value>
            <val>37.549999999999997</val>
          </value>
          <value>
            <val>39.799999999999997</val>
          </value>
          <value>
            <val>73</val>
          </value>
          <value t="str">
            <val>54.44%</val>
          </value>
          <value t="str">
            <val>7.61</val>
          </value>
          <value t="str">
            <val>7.21</val>
          </value>
        </values>
      </ddeItem>
      <ddeItem name="6227.TW-OperatingProfitRatio,NetProfitMargin,TFXRatio,MonthlyNetSalesYoY,ReturnOnAssets,DividendYear,ProfitFourSeason,CashDividendYieldRate,StockNetValue,ExchangeIndustry" advise="1">
        <values cols="10">
          <value t="str">
            <val>3.47</val>
          </value>
          <value t="str">
            <val>2.66</val>
          </value>
          <value t="str">
            <val>-12.06</val>
          </value>
          <value t="str">
            <val>32.44</val>
          </value>
          <value t="str">
            <val>4.81</val>
          </value>
          <value>
            <val>3.35</val>
          </value>
          <value t="str">
            <val>4.36</val>
          </value>
          <value>
            <val>8.65</val>
          </value>
          <value t="str">
            <val>25.01</val>
          </value>
          <value t="str">
            <val>上櫃電子通路</val>
          </value>
        </values>
      </ddeItem>
      <ddeItem name="6227.TW-PreTotalVolume,ChipsField25,ChipsField27,DateofMeetingofShareHolders,CompanyPos,TradingDate" advise="1">
        <values cols="6">
          <value>
            <val>420</val>
          </value>
          <value t="str">
            <val>--</val>
          </value>
          <value t="str">
            <val>--</val>
          </value>
          <value t="str">
            <val>2022/05/26</val>
          </value>
          <value t="str">
            <val>台灣唯一代理Altair產品線的IC通路商</val>
          </value>
          <value t="str">
            <val>2022/03/10</val>
          </value>
        </values>
      </ddeItem>
      <ddeItem name="6235.TW-ID,Name,Price,PriceChangeRatio,Low,High,Volume,InOutRatioNumber,Capital,ProfitMargin" advise="1">
        <values cols="10">
          <value t="str">
            <val>6235</val>
          </value>
          <value t="str">
            <val>華孚</val>
          </value>
          <value>
            <val>31.55</val>
          </value>
          <value>
            <val>9.93</val>
          </value>
          <value>
            <val>29.2</val>
          </value>
          <value>
            <val>31.55</val>
          </value>
          <value>
            <val>73</val>
          </value>
          <value t="str">
            <val>79.62%</val>
          </value>
          <value t="str">
            <val>17.30</val>
          </value>
          <value t="str">
            <val>25.98</val>
          </value>
        </values>
      </ddeItem>
      <ddeItem name="6235.TW-OperatingProfitRatio,NetProfitMargin,TFXRatio,MonthlyNetSalesYoY,ReturnOnAssets,DividendYear,ProfitFourSeason,CashDividendYieldRate,StockNetValue,ExchangeIndustry" advise="1">
        <values cols="10">
          <value t="str">
            <val>4.30</val>
          </value>
          <value t="str">
            <val>5.83</val>
          </value>
          <value t="str">
            <val>-6.49</val>
          </value>
          <value t="str">
            <val>32.96</val>
          </value>
          <value t="str">
            <val>3.69</val>
          </value>
          <value>
            <val>0.3</val>
          </value>
          <value t="str">
            <val>0.97</val>
          </value>
          <value>
            <val>0.95</val>
          </value>
          <value t="str">
            <val>14.29</val>
          </value>
          <value t="str">
            <val>上市電腦及週邊設備</val>
          </value>
        </values>
      </ddeItem>
      <ddeItem name="6235.TW-PreTotalVolume,ChipsField25,ChipsField27,DateofMeetingofShareHolders,CompanyPos,TradingDate" advise="1">
        <values cols="6">
          <value>
            <val>3300</val>
          </value>
          <value t="str">
            <val>2022/04/21</val>
          </value>
          <value t="str">
            <val>--</val>
          </value>
          <value t="str">
            <val>2022/06/21</val>
          </value>
          <value t="str">
            <val>以NB外殼為主的鎂合金廠</val>
          </value>
          <value t="str">
            <val>2022/03/10</val>
          </value>
        </values>
      </ddeItem>
      <ddeItem name="6271.TW-ID,Name,Price,PriceChangeRatio,Low,High,Volume,InOutRatioNumber,Capital,ProfitMargin" advise="1">
        <values cols="10">
          <value t="str">
            <val>6271</val>
          </value>
          <value t="str">
            <val>同欣電</val>
          </value>
          <value>
            <val>272</val>
          </value>
          <value>
            <val>3.82</val>
          </value>
          <value>
            <val>267</val>
          </value>
          <value>
            <val>277</val>
          </value>
          <value>
            <val>151</val>
          </value>
          <value t="str">
            <val>59.25%</val>
          </value>
          <value t="str">
            <val>17.87</val>
          </value>
          <value t="str">
            <val>32.27</val>
          </value>
        </values>
      </ddeItem>
      <ddeItem name="6271.TW-OperatingProfitRatio,NetProfitMargin,TFXRatio,MonthlyNetSalesYoY,ReturnOnAssets,DividendYear,ProfitFourSeason,CashDividendYieldRate,StockNetValue,ExchangeIndustry" advise="1">
        <values cols="10">
          <value t="str">
            <val>23.90</val>
          </value>
          <value t="str">
            <val>19.63</val>
          </value>
          <value t="str">
            <val>-7.00</val>
          </value>
          <value t="str">
            <val>10.71</val>
          </value>
          <value t="str">
            <val>7.84</val>
          </value>
          <value>
            <val>5.5</val>
          </value>
          <value t="str">
            <val>14.03</val>
          </value>
          <value>
            <val>2.02</val>
          </value>
          <value t="str">
            <val>124.50</val>
          </value>
          <value t="str">
            <val>上市半導體</val>
          </value>
        </values>
      </ddeItem>
      <ddeItem name="6271.TW-PreTotalVolume,ChipsField25,ChipsField27,DateofMeetingofShareHolders,CompanyPos,TradingDate" advise="1">
        <values cols="6">
          <value>
            <val>1547</val>
          </value>
          <value t="str">
            <val>2021/08/02</val>
          </value>
          <value t="str">
            <val>--</val>
          </value>
          <value t="str">
            <val>2021/07/07</val>
          </value>
          <value t="str">
            <val>台灣最大LED陶瓷基板廠</val>
          </value>
          <value t="str">
            <val>2022/03/10</val>
          </value>
        </values>
      </ddeItem>
      <ddeItem name="6275.TW-ID,Name,Price,PriceChangeRatio,Low,High,Volume,InOutRatioNumber,Capital,ProfitMargin" advise="1">
        <values cols="10">
          <value t="str">
            <val>6275</val>
          </value>
          <value t="str">
            <val>元山</val>
          </value>
          <value>
            <val>41.6</val>
          </value>
          <value>
            <val>1.46</val>
          </value>
          <value>
            <val>41.1</val>
          </value>
          <value>
            <val>42.7</val>
          </value>
          <value>
            <val>270</val>
          </value>
          <value t="str">
            <val>51.75%</val>
          </value>
          <value t="str">
            <val>7.00</val>
          </value>
          <value t="str">
            <val>17.68</val>
          </value>
        </values>
      </ddeItem>
      <ddeItem name="6275.TW-OperatingProfitRatio,NetProfitMargin,TFXRatio,MonthlyNetSalesYoY,ReturnOnAssets,DividendYear,ProfitFourSeason,CashDividendYieldRate,StockNetValue,ExchangeIndustry" advise="1">
        <values cols="10">
          <value t="str">
            <val>5.82</val>
          </value>
          <value t="str">
            <val>5.01</val>
          </value>
          <value t="str">
            <val>-35.37</val>
          </value>
          <value t="str">
            <val>0.29</val>
          </value>
          <value t="str">
            <val>7.25</val>
          </value>
          <value>
            <val>2.2000000000000002</val>
          </value>
          <value t="str">
            <val>2.86</val>
          </value>
          <value>
            <val>5.29</val>
          </value>
          <value t="str">
            <val>17.50</val>
          </value>
          <value t="str">
            <val>上櫃電子零組件</val>
          </value>
        </values>
      </ddeItem>
      <ddeItem name="6275.TW-PreTotalVolume,ChipsField25,ChipsField27,DateofMeetingofShareHolders,CompanyPos,TradingDate" advise="1">
        <values cols="6">
          <value>
            <val>2757</val>
          </value>
          <value t="str">
            <val>--</val>
          </value>
          <value t="str">
            <val>--</val>
          </value>
          <value t="str">
            <val>2022/05/31</val>
          </value>
          <value t="str">
            <val>以小家電起家，並跨入交直流無刷馬達散熱風扇廠商</val>
          </value>
          <value t="str">
            <val>2022/03/10</val>
          </value>
        </values>
      </ddeItem>
      <ddeItem name="6288.TW-ID,Name,Price,PriceChangeRatio,Low,High,Volume,InOutRatioNumber,Capital,ProfitMargin" advise="1">
        <values cols="10">
          <value t="str">
            <val>6288</val>
          </value>
          <value t="str">
            <val>聯嘉</val>
          </value>
          <value>
            <val>26.15</val>
          </value>
          <value>
            <val>-0.19</val>
          </value>
          <value>
            <val>26</val>
          </value>
          <value>
            <val>26.6</val>
          </value>
          <value>
            <val>67</val>
          </value>
          <value t="str">
            <val>33.33%</val>
          </value>
          <value t="str">
            <val>19.52</val>
          </value>
          <value t="str">
            <val>19.57</val>
          </value>
        </values>
      </ddeItem>
      <ddeItem name="6288.TW-OperatingProfitRatio,NetProfitMargin,TFXRatio,MonthlyNetSalesYoY,ReturnOnAssets,DividendYear,ProfitFourSeason,CashDividendYieldRate,StockNetValue,ExchangeIndustry" advise="1">
        <values cols="10">
          <value t="str">
            <val>1.91</val>
          </value>
          <value t="str">
            <val>0.44</val>
          </value>
          <value t="str">
            <val>-33.11</val>
          </value>
          <value t="str">
            <val>-12.98</val>
          </value>
          <value t="str">
            <val>0.50</val>
          </value>
          <value>
            <val>0.4</val>
          </value>
          <value t="str">
            <val>0.22</val>
          </value>
          <value>
            <val>1.53</val>
          </value>
          <value t="str">
            <val>13.62</val>
          </value>
          <value t="str">
            <val>上市汽車</val>
          </value>
        </values>
      </ddeItem>
      <ddeItem name="6288.TW-PreTotalVolume,ChipsField25,ChipsField27,DateofMeetingofShareHolders,CompanyPos,TradingDate" advise="1">
        <values cols="6">
          <value>
            <val>595</val>
          </value>
          <value t="str">
            <val>--</val>
          </value>
          <value t="str">
            <val>--</val>
          </value>
          <value t="str">
            <val>2022/05/26</val>
          </value>
          <value t="str">
            <val>台灣車用LED模組及元件廠</val>
          </value>
          <value t="str">
            <val>2022/03/10</val>
          </value>
        </values>
      </ddeItem>
      <ddeItem name="6414.TW-ID,Name,Price,PriceChangeRatio,Low,High,Volume,InOutRatioNumber,Capital,ProfitMargin" advise="1">
        <values cols="10">
          <value t="str">
            <val>6414</val>
          </value>
          <value t="str">
            <val>樺漢</val>
          </value>
          <value>
            <val>192</val>
          </value>
          <value>
            <val>0.52</val>
          </value>
          <value>
            <val>191</val>
          </value>
          <value>
            <val>200</val>
          </value>
          <value>
            <val>135</val>
          </value>
          <value t="str">
            <val>47.10%</val>
          </value>
          <value t="str">
            <val>10.67</val>
          </value>
          <value t="str">
            <val>22.50</val>
          </value>
        </values>
      </ddeItem>
      <ddeItem name="6414.TW-OperatingProfitRatio,NetProfitMargin,TFXRatio,MonthlyNetSalesYoY,ReturnOnAssets,DividendYear,ProfitFourSeason,CashDividendYieldRate,StockNetValue,ExchangeIndustry" advise="1">
        <values cols="10">
          <value t="str">
            <val>3.65</val>
          </value>
          <value t="str">
            <val>3.28</val>
          </value>
          <value t="str">
            <val>-14.33</val>
          </value>
          <value t="str">
            <val>15.64</val>
          </value>
          <value t="str">
            <val>2.67</val>
          </value>
          <value>
            <val>5</val>
          </value>
          <value t="str">
            <val>12.77</val>
          </value>
          <value>
            <val>2.6</val>
          </value>
          <value t="str">
            <val>96.41</val>
          </value>
          <value t="str">
            <val>上市電腦及週邊設備</val>
          </value>
        </values>
      </ddeItem>
      <ddeItem name="6414.TW-PreTotalVolume,ChipsField25,ChipsField27,DateofMeetingofShareHolders,CompanyPos,TradingDate" advise="1">
        <values cols="6">
          <value>
            <val>497</val>
          </value>
          <value t="str">
            <val>2021/10/04</val>
          </value>
          <value t="str">
            <val>--</val>
          </value>
          <value t="str">
            <val>2022/01/04</val>
          </value>
          <value t="str">
            <val>鴻海轉投資之工業電腦廠</val>
          </value>
          <value t="str">
            <val>2022/03/10</val>
          </value>
        </values>
      </ddeItem>
      <ddeItem name="6477.TW-ID,Name,Price,PriceChangeRatio,Low,High,Volume,InOutRatioNumber,Capital,ProfitMargin" advise="1">
        <values cols="10">
          <value t="str">
            <val>6477</val>
          </value>
          <value t="str">
            <val>安集</val>
          </value>
          <value>
            <val>56.7</val>
          </value>
          <value>
            <val>-0.18</val>
          </value>
          <value>
            <val>55.8</val>
          </value>
          <value>
            <val>60.7</val>
          </value>
          <value>
            <val>2288</val>
          </value>
          <value t="str">
            <val>45.17%</val>
          </value>
          <value t="str">
            <val>11.46</val>
          </value>
          <value t="str">
            <val>26.51</val>
          </value>
        </values>
      </ddeItem>
      <ddeItem name="6477.TW-OperatingProfitRatio,NetProfitMargin,TFXRatio,MonthlyNetSalesYoY,ReturnOnAssets,DividendYear,ProfitFourSeason,CashDividendYieldRate,StockNetValue,ExchangeIndustry" advise="1">
        <values cols="10">
          <value t="str">
            <val>17.64</val>
          </value>
          <value t="str">
            <val>11.80</val>
          </value>
          <value t="str">
            <val>-0.97</val>
          </value>
          <value t="str">
            <val>341.97</val>
          </value>
          <value t="str">
            <val>2.15</val>
          </value>
          <value>
            <val>0.52</val>
          </value>
          <value t="str">
            <val>1.23</val>
          </value>
          <value>
            <val>0.92</val>
          </value>
          <value t="str">
            <val>23.51</val>
          </value>
          <value t="str">
            <val>上市光電</val>
          </value>
        </values>
      </ddeItem>
      <ddeItem name="6477.TW-PreTotalVolume,ChipsField25,ChipsField27,DateofMeetingofShareHolders,CompanyPos,TradingDate" advise="1">
        <values cols="6">
          <value>
            <val>17276</val>
          </value>
          <value t="str">
            <val>--</val>
          </value>
          <value t="str">
            <val>--</val>
          </value>
          <value t="str">
            <val>2022/05/26</val>
          </value>
          <value t="str">
            <val>台灣太陽能電池模組製造商</val>
          </value>
          <value t="str">
            <val>2022/03/10</val>
          </value>
        </values>
      </ddeItem>
      <ddeItem name="6509.TW-ID,Name,Price,PriceChangeRatio,Low,High,Volume,InOutRatioNumber,Capital,ProfitMargin" advise="1">
        <values cols="10">
          <value t="str">
            <val>6509</val>
          </value>
          <value t="str">
            <val>聚和</val>
          </value>
          <value>
            <val>58.1</val>
          </value>
          <value>
            <val>2.29</val>
          </value>
          <value>
            <val>57.5</val>
          </value>
          <value>
            <val>59.9</val>
          </value>
          <value>
            <val>127</val>
          </value>
          <value t="str">
            <val>51.38%</val>
          </value>
          <value t="str">
            <val>17.32</val>
          </value>
          <value t="str">
            <val>28.15</val>
          </value>
        </values>
      </ddeItem>
      <ddeItem name="6509.TW-OperatingProfitRatio,NetProfitMargin,TFXRatio,MonthlyNetSalesYoY,ReturnOnAssets,DividendYear,ProfitFourSeason,CashDividendYieldRate,StockNetValue,ExchangeIndustry" advise="1">
        <values cols="10">
          <value t="str">
            <val>13.04</val>
          </value>
          <value t="str">
            <val>9.75</val>
          </value>
          <value t="str">
            <val>-39.68</val>
          </value>
          <value t="str">
            <val>8.94</val>
          </value>
          <value t="str">
            <val>6.01</val>
          </value>
          <value>
            <val>1</val>
          </value>
          <value t="str">
            <val>2.30</val>
          </value>
          <value>
            <val>1.72</val>
          </value>
          <value t="str">
            <val>17.42</val>
          </value>
          <value t="str">
            <val>上櫃化工</val>
          </value>
        </values>
      </ddeItem>
      <ddeItem name="6509.TW-PreTotalVolume,ChipsField25,ChipsField27,DateofMeetingofShareHolders,CompanyPos,TradingDate" advise="1">
        <values cols="6">
          <value>
            <val>2139</val>
          </value>
          <value t="str">
            <val>2021/08/05</val>
          </value>
          <value t="str">
            <val>--</val>
          </value>
          <value t="str">
            <val>2021/08/26</val>
          </value>
          <value t="str">
            <val>全球第2大自黏便條紙商、知名造紙化學品廠</val>
          </value>
          <value t="str">
            <val>2022/03/10</val>
          </value>
        </values>
      </ddeItem>
      <ddeItem name="6664.TW-ID,Name,Price,PriceChangeRatio,Low,High,Volume,InOutRatioNumber,Capital,ProfitMargin" advise="1">
        <values cols="10">
          <value t="str">
            <val>6664</val>
          </value>
          <value t="str">
            <val>群翊</val>
          </value>
          <value>
            <val>90.2</val>
          </value>
          <value>
            <val>1.01</val>
          </value>
          <value>
            <val>89</val>
          </value>
          <value>
            <val>93</val>
          </value>
          <value>
            <val>12</val>
          </value>
          <value t="str">
            <val>55.02%</val>
          </value>
          <value t="str">
            <val>5.50</val>
          </value>
          <value t="str">
            <val>39.88</val>
          </value>
        </values>
      </ddeItem>
      <ddeItem name="6664.TW-OperatingProfitRatio,NetProfitMargin,TFXRatio,MonthlyNetSalesYoY,ReturnOnAssets,DividendYear,ProfitFourSeason,CashDividendYieldRate,StockNetValue,ExchangeIndustry" advise="1">
        <values cols="10">
          <value t="str">
            <val>24.56</val>
          </value>
          <value t="str">
            <val>17.60</val>
          </value>
          <value t="str">
            <val>-24.73</val>
          </value>
          <value t="str">
            <val>1.38</val>
          </value>
          <value t="str">
            <val>8.57</val>
          </value>
          <value>
            <val>4.9000000000000004</val>
          </value>
          <value t="str">
            <val>6.12</val>
          </value>
          <value>
            <val>5.43</val>
          </value>
          <value t="str">
            <val>36.47</val>
          </value>
          <value t="str">
            <val>上櫃電子零組件</val>
          </value>
        </values>
      </ddeItem>
      <ddeItem name="6664.TW-PreTotalVolume,ChipsField25,ChipsField27,DateofMeetingofShareHolders,CompanyPos,TradingDate" advise="1">
        <values cols="6">
          <value>
            <val>372</val>
          </value>
          <value t="str">
            <val>--</val>
          </value>
          <value t="str">
            <val>--</val>
          </value>
          <value t="str">
            <val>2022/05/27</val>
          </value>
          <value t="str">
            <val>專業的PCB及光電產業乾製程設備製造商</val>
          </value>
          <value t="str">
            <val>2022/03/10</val>
          </value>
        </values>
      </ddeItem>
      <ddeItem name="8016.TW-ID,Name,Price,PriceChangeRatio,Low,High,Volume,InOutRatioNumber,Capital,ProfitMargin" advise="1">
        <values cols="10">
          <value t="str">
            <val>8016</val>
          </value>
          <value t="str">
            <val>矽創</val>
          </value>
          <value>
            <val>307</val>
          </value>
          <value>
            <val>3.54</val>
          </value>
          <value>
            <val>301</val>
          </value>
          <value>
            <val>314</val>
          </value>
          <value>
            <val>143</val>
          </value>
          <value t="str">
            <val>53.11%</val>
          </value>
          <value t="str">
            <val>12.01</val>
          </value>
          <value t="str">
            <val>54.77</val>
          </value>
        </values>
      </ddeItem>
      <ddeItem name="8016.TW-OperatingProfitRatio,NetProfitMargin,TFXRatio,MonthlyNetSalesYoY,ReturnOnAssets,DividendYear,ProfitFourSeason,CashDividendYieldRate,StockNetValue,ExchangeIndustry" advise="1">
        <values cols="10">
          <value t="str">
            <val>35.99</val>
          </value>
          <value t="str">
            <val>31.29</val>
          </value>
          <value t="str">
            <val>-2.60</val>
          </value>
          <value t="str">
            <val>71.63</val>
          </value>
          <value t="str">
            <val>29.98</val>
          </value>
          <value>
            <val>7.5</val>
          </value>
          <value t="str">
            <val>39.28</val>
          </value>
          <value>
            <val>2.44</val>
          </value>
          <value t="str">
            <val>82.89</val>
          </value>
          <value t="str">
            <val>上市半導體</val>
          </value>
        </values>
      </ddeItem>
      <ddeItem name="8016.TW-PreTotalVolume,ChipsField25,ChipsField27,DateofMeetingofShareHolders,CompanyPos,TradingDate" advise="1">
        <values cols="6">
          <value>
            <val>2269</val>
          </value>
          <value t="str">
            <val>2021/07/15</val>
          </value>
          <value t="str">
            <val>--</val>
          </value>
          <value t="str">
            <val>2021/07/27</val>
          </value>
          <value t="str">
            <val>台灣感測元件及顯示屏驅動IC廠</val>
          </value>
          <value t="str">
            <val>2022/03/10</val>
          </value>
        </values>
      </ddeItem>
      <ddeItem name="8104.TW-ID,Name,Price,PriceChangeRatio,Low,High,Volume,InOutRatioNumber,Capital,ProfitMargin" advise="1">
        <values cols="10">
          <value t="str">
            <val>8104</val>
          </value>
          <value t="str">
            <val>錸寶</val>
          </value>
          <value>
            <val>65.2</val>
          </value>
          <value>
            <val>6.71</val>
          </value>
          <value>
            <val>62.4</val>
          </value>
          <value>
            <val>66.3</val>
          </value>
          <value>
            <val>85</val>
          </value>
          <value t="str">
            <val>60.41%</val>
          </value>
          <value t="str">
            <val>7.45</val>
          </value>
          <value t="str">
            <val>21.32</val>
          </value>
        </values>
      </ddeItem>
      <ddeItem name="8104.TW-OperatingProfitRatio,NetProfitMargin,TFXRatio,MonthlyNetSalesYoY,ReturnOnAssets,DividendYear,ProfitFourSeason,CashDividendYieldRate,StockNetValue,ExchangeIndustry" advise="1">
        <values cols="10">
          <value t="str">
            <val>8.72</val>
          </value>
          <value t="str">
            <val>10.22</val>
          </value>
          <value t="str">
            <val>8.95</val>
          </value>
          <value t="str">
            <val>-19.15</val>
          </value>
          <value t="str">
            <val>4.85</val>
          </value>
          <value>
            <val>2.99</val>
          </value>
          <value t="str">
            <val>3.26</val>
          </value>
          <value>
            <val>4.59</val>
          </value>
          <value t="str">
            <val>29.08</val>
          </value>
          <value t="str">
            <val>上市光電</val>
          </value>
        </values>
      </ddeItem>
      <ddeItem name="8104.TW-PreTotalVolume,ChipsField25,ChipsField27,DateofMeetingofShareHolders,CompanyPos,TradingDate" advise="1">
        <values cols="6">
          <value>
            <val>1278</val>
          </value>
          <value t="str">
            <val>2021/09/14</val>
          </value>
          <value t="str">
            <val>--</val>
          </value>
          <value t="str">
            <val>2021/08/12</val>
          </value>
          <value t="str">
            <val>錸德轉投資的全球PMOLED龍頭廠商</val>
          </value>
          <value t="str">
            <val>2022/03/10</val>
          </value>
        </values>
      </ddeItem>
      <ddeItem name="8105.TW-ID,Name,Price,PriceChangeRatio,Low,High,Volume,InOutRatioNumber,Capital,ProfitMargin" advise="1">
        <values cols="10">
          <value t="str">
            <val>8105</val>
          </value>
          <value t="str">
            <val>凌巨</val>
          </value>
          <value>
            <val>12.05</val>
          </value>
          <value>
            <val>2.99</val>
          </value>
          <value>
            <val>11.9</val>
          </value>
          <value>
            <val>12.2</val>
          </value>
          <value>
            <val>18</val>
          </value>
          <value t="str">
            <val>71.70%</val>
          </value>
          <value t="str">
            <val>44.15</val>
          </value>
          <value t="str">
            <val>8.70</val>
          </value>
        </values>
      </ddeItem>
      <ddeItem name="8105.TW-OperatingProfitRatio,NetProfitMargin,TFXRatio,MonthlyNetSalesYoY,ReturnOnAssets,DividendYear,ProfitFourSeason,CashDividendYieldRate,StockNetValue,ExchangeIndustry" advise="1">
        <values cols="10">
          <value t="str">
            <val>0.47</val>
          </value>
          <value t="str">
            <val>-0.67</val>
          </value>
          <value t="str">
            <val>-16.53</val>
          </value>
          <value t="str">
            <val>31.27</val>
          </value>
          <value t="str">
            <val>-0.34</val>
          </value>
          <value>
            <val>0</val>
          </value>
          <value t="str">
            <val>-1.12</val>
          </value>
          <value>
            <val>0</val>
          </value>
          <value t="str">
            <val>15.84</val>
          </value>
          <value t="str">
            <val>上市光電</val>
          </value>
        </values>
      </ddeItem>
      <ddeItem name="8105.TW-PreTotalVolume,ChipsField25,ChipsField27,DateofMeetingofShareHolders,CompanyPos,TradingDate" advise="1">
        <values cols="6">
          <value>
            <val>525</val>
          </value>
          <value t="str">
            <val>--</val>
          </value>
          <value t="str">
            <val>--</val>
          </value>
          <value t="str">
            <val>2021/08/24</val>
          </value>
          <value t="str">
            <val>凸版集團的子公司，主要提供利基型顯示模組</val>
          </value>
          <value t="str">
            <val>2022/03/10</val>
          </value>
        </values>
      </ddeItem>
      <ddeItem name="8155.TW-ID,Name,Price,PriceChangeRatio,Low,High,Volume,InOutRatioNumber,Capital,ProfitMargin" advise="1">
        <values cols="10">
          <value t="str">
            <val>8155</val>
          </value>
          <value t="str">
            <val>博智</val>
          </value>
          <value>
            <val>191.5</val>
          </value>
          <value>
            <val>9.74</val>
          </value>
          <value>
            <val>179</val>
          </value>
          <value>
            <val>191.5</val>
          </value>
          <value>
            <val>8</val>
          </value>
          <value t="str">
            <val>65.77%</val>
          </value>
          <value t="str">
            <val>4.98</val>
          </value>
          <value t="str">
            <val>23.28</val>
          </value>
        </values>
      </ddeItem>
      <ddeItem name="8155.TW-OperatingProfitRatio,NetProfitMargin,TFXRatio,MonthlyNetSalesYoY,ReturnOnAssets,DividendYear,ProfitFourSeason,CashDividendYieldRate,StockNetValue,ExchangeIndustry" advise="1">
        <values cols="10">
          <value t="str">
            <val>14.35</val>
          </value>
          <value t="str">
            <val>12.28</val>
          </value>
          <value t="str">
            <val>-8.19</val>
          </value>
          <value t="str">
            <val>64.04</val>
          </value>
          <value t="str">
            <val>8.38</val>
          </value>
          <value>
            <val>7</val>
          </value>
          <value t="str">
            <val>6.99</val>
          </value>
          <value>
            <val>3.66</val>
          </value>
          <value t="str">
            <val>36.53</val>
          </value>
          <value t="str">
            <val>上櫃電子零組件</val>
          </value>
        </values>
      </ddeItem>
      <ddeItem name="8155.TW-PreTotalVolume,ChipsField25,ChipsField27,DateofMeetingofShareHolders,CompanyPos,TradingDate" advise="1">
        <values cols="6">
          <value>
            <val>2076</val>
          </value>
          <value t="str">
            <val>2021/07/29</val>
          </value>
          <value t="str">
            <val>--</val>
          </value>
          <value t="str">
            <val>2021/07/28</val>
          </value>
          <value t="str">
            <val>仁寶集團旗下的印刷電路板廠商</val>
          </value>
          <value t="str">
            <val>2022/03/10</val>
          </value>
        </values>
      </ddeItem>
      <ddeItem name="8261.TW-ID,Name,Price,PriceChangeRatio,Low,High,Volume,InOutRatioNumber,Capital,ProfitMargin" advise="1">
        <values cols="10">
          <value t="str">
            <val>8261</val>
          </value>
          <value t="str">
            <val>富鼎</val>
          </value>
          <value>
            <val>105</val>
          </value>
          <value>
            <val>3.45</val>
          </value>
          <value>
            <val>103.5</val>
          </value>
          <value>
            <val>105.5</val>
          </value>
          <value>
            <val>104</val>
          </value>
          <value t="str">
            <val>62.10%</val>
          </value>
          <value t="str">
            <val>8.13</val>
          </value>
          <value t="str">
            <val>29.75</val>
          </value>
        </values>
      </ddeItem>
      <ddeItem name="8261.TW-OperatingProfitRatio,NetProfitMargin,TFXRatio,MonthlyNetSalesYoY,ReturnOnAssets,DividendYear,ProfitFourSeason,CashDividendYieldRate,StockNetValue,ExchangeIndustry" advise="1">
        <values cols="10">
          <value t="str">
            <val>19.72</val>
          </value>
          <value t="str">
            <val>15.50</val>
          </value>
          <value t="str">
            <val>-6.28</val>
          </value>
          <value t="str">
            <val>28.08</val>
          </value>
          <value t="str">
            <val>20.75</val>
          </value>
          <value>
            <val>6</val>
          </value>
          <value t="str">
            <val>8.03</val>
          </value>
          <value>
            <val>5.71</val>
          </value>
          <value t="str">
            <val>27.12</val>
          </value>
          <value t="str">
            <val>上市半導體</val>
          </value>
        </values>
      </ddeItem>
      <ddeItem name="8261.TW-PreTotalVolume,ChipsField25,ChipsField27,DateofMeetingofShareHolders,CompanyPos,TradingDate" advise="1">
        <values cols="6">
          <value>
            <val>1044</val>
          </value>
          <value t="str">
            <val>--</val>
          </value>
          <value t="str">
            <val>--</val>
          </value>
          <value t="str">
            <val>2022/04/13</val>
          </value>
          <value t="str">
            <val>與全球電晶體大廠IR合作之類比IC設計公司</val>
          </value>
          <value t="str">
            <val>2022/03/10</val>
          </value>
        </values>
      </ddeItem>
      <ddeItem name="8367.TW-ID,Name,Price,PriceChangeRatio,Low,High,Volume,InOutRatioNumber,Capital,ProfitMargin" advise="1">
        <values cols="10">
          <value t="str">
            <val>8367</val>
          </value>
          <value t="str">
            <val>建新國際</val>
          </value>
          <value>
            <val>52.4</val>
          </value>
          <value>
            <val>0.38</val>
          </value>
          <value>
            <val>52.4</val>
          </value>
          <value>
            <val>55.5</val>
          </value>
          <value>
            <val>85</val>
          </value>
          <value t="str">
            <val>44.21%</val>
          </value>
          <value t="str">
            <val>8.77</val>
          </value>
          <value t="str">
            <val>35.89</val>
          </value>
        </values>
      </ddeItem>
      <ddeItem name="8367.TW-OperatingProfitRatio,NetProfitMargin,TFXRatio,MonthlyNetSalesYoY,ReturnOnAssets,DividendYear,ProfitFourSeason,CashDividendYieldRate,StockNetValue,ExchangeIndustry" advise="1">
        <values cols="10">
          <value t="str">
            <val>22.41</val>
          </value>
          <value t="str">
            <val>36.55</val>
          </value>
          <value t="str">
            <val>-22.57</val>
          </value>
          <value t="str">
            <val>-3.15</val>
          </value>
          <value t="str">
            <val>8.69</val>
          </value>
          <value>
            <val>2.8</val>
          </value>
          <value t="str">
            <val>7.19</val>
          </value>
          <value>
            <val>5.34</val>
          </value>
          <value t="str">
            <val>31.26</val>
          </value>
          <value t="str">
            <val>上市航運業</val>
          </value>
        </values>
      </ddeItem>
      <ddeItem name="8367.TW-PreTotalVolume,ChipsField25,ChipsField27,DateofMeetingofShareHolders,CompanyPos,TradingDate" advise="1">
        <values cols="6">
          <value>
            <val>958</val>
          </value>
          <value t="str">
            <val>--</val>
          </value>
          <value t="str">
            <val>--</val>
          </value>
          <value t="str">
            <val>2022/05/27</val>
          </value>
          <value t="str">
            <val>台灣從事貨櫃場服務之業者</val>
          </value>
          <value t="str">
            <val>2022/03/10</val>
          </value>
        </values>
      </ddeItem>
      <ddeItem name="8383.TW-ID,Name,Price,PriceChangeRatio,Low,High,Volume,InOutRatioNumber,Capital,ProfitMargin" advise="1">
        <values cols="10">
          <value t="str">
            <val>8383</val>
          </value>
          <value t="str">
            <val>千附</val>
          </value>
          <value>
            <val>39.799999999999997</val>
          </value>
          <value>
            <val>-2.69</val>
          </value>
          <value>
            <val>39.200000000000003</val>
          </value>
          <value>
            <val>40.299999999999997</val>
          </value>
          <value>
            <val>30</val>
          </value>
          <value t="str">
            <val>39.62%</val>
          </value>
          <value t="str">
            <val>11.82</val>
          </value>
          <value t="str">
            <val>25.09</val>
          </value>
        </values>
      </ddeItem>
      <ddeItem name="8383.TW-OperatingProfitRatio,NetProfitMargin,TFXRatio,MonthlyNetSalesYoY,ReturnOnAssets,DividendYear,ProfitFourSeason,CashDividendYieldRate,StockNetValue,ExchangeIndustry" advise="1">
        <values cols="10">
          <value t="str">
            <val>12.99</val>
          </value>
          <value t="str">
            <val>10.92</val>
          </value>
          <value t="str">
            <val>-2.00</val>
          </value>
          <value t="str">
            <val>76.56</val>
          </value>
          <value t="str">
            <val>5.58</val>
          </value>
          <value>
            <val>2.5</val>
          </value>
          <value t="str">
            <val>2.68</val>
          </value>
          <value>
            <val>6.28</val>
          </value>
          <value t="str">
            <val>34.25</val>
          </value>
          <value t="str">
            <val>上櫃其他電子</val>
          </value>
        </values>
      </ddeItem>
      <ddeItem name="8383.TW-PreTotalVolume,ChipsField25,ChipsField27,DateofMeetingofShareHolders,CompanyPos,TradingDate" advise="1">
        <values cols="6">
          <value>
            <val>528</val>
          </value>
          <value t="str">
            <val>--</val>
          </value>
          <value t="str">
            <val>--</val>
          </value>
          <value t="str">
            <val>2022/05/27</val>
          </value>
          <value t="str">
            <val>TFT-LCD及半導體廠無塵室供應商</val>
          </value>
          <value t="str">
            <val>2022/03/10</val>
          </value>
        </values>
      </ddeItem>
      <ddeItem name="8450.TW-ID,Name,Price,PriceChangeRatio,Low,High,Volume,InOutRatioNumber,Capital,ProfitMargin" advise="1">
        <values cols="10">
          <value t="str">
            <val>8450</val>
          </value>
          <value t="str">
            <val>霹靂</val>
          </value>
          <value>
            <val>37.950000000000003</val>
          </value>
          <value>
            <val>5.42</val>
          </value>
          <value>
            <val>36.5</val>
          </value>
          <value>
            <val>39.5</val>
          </value>
          <value>
            <val>75</val>
          </value>
          <value t="str">
            <val>52.06%</val>
          </value>
          <value t="str">
            <val>5.13</val>
          </value>
          <value t="str">
            <val>4.35</val>
          </value>
        </values>
      </ddeItem>
      <ddeItem name="8450.TW-OperatingProfitRatio,NetProfitMargin,TFXRatio,MonthlyNetSalesYoY,ReturnOnAssets,DividendYear,ProfitFourSeason,CashDividendYieldRate,StockNetValue,ExchangeIndustry" advise="1">
        <values cols="10">
          <value t="str">
            <val>-55.05</val>
          </value>
          <value t="str">
            <val>-55.76</val>
          </value>
          <value t="str">
            <val>3.66</val>
          </value>
          <value t="str">
            <val>22.68</val>
          </value>
          <value t="str">
            <val>-13.65</val>
          </value>
          <value>
            <val>0</val>
          </value>
          <value t="str">
            <val>-4.60</val>
          </value>
          <value>
            <val>0</val>
          </value>
          <value t="str">
            <val>22.10</val>
          </value>
          <value t="str">
            <val>上櫃文化創意</val>
          </value>
        </values>
      </ddeItem>
      <ddeItem name="8450.TW-PreTotalVolume,ChipsField25,ChipsField27,DateofMeetingofShareHolders,CompanyPos,TradingDate" advise="1">
        <values cols="6">
          <value>
            <val>557</val>
          </value>
          <value t="str">
            <val>--</val>
          </value>
          <value t="str">
            <val>--</val>
          </value>
          <value t="str">
            <val>2022/05/27</val>
          </value>
          <value t="str">
            <val>台灣布袋戲文創業者</val>
          </value>
          <value t="str">
            <val>2022/03/10</val>
          </value>
        </values>
      </ddeItem>
      <ddeItem name="8478.TW-ID,Name,Price,PriceChangeRatio,Low,High,Volume,InOutRatioNumber,Capital,ProfitMargin" advise="1">
        <values cols="10">
          <value t="str">
            <val>8478</val>
          </value>
          <value t="str">
            <val>東哥遊艇</val>
          </value>
          <value>
            <val>154.5</val>
          </value>
          <value>
            <val>9.9600000000000009</val>
          </value>
          <value>
            <val>143</val>
          </value>
          <value>
            <val>154.5</val>
          </value>
          <value>
            <val>9</val>
          </value>
          <value t="str">
            <val>69.48%</val>
          </value>
          <value t="str">
            <val>8.89</val>
          </value>
          <value t="str">
            <val>35.11</val>
          </value>
        </values>
      </ddeItem>
      <ddeItem name="8478.TW-OperatingProfitRatio,NetProfitMargin,TFXRatio,MonthlyNetSalesYoY,ReturnOnAssets,DividendYear,ProfitFourSeason,CashDividendYieldRate,StockNetValue,ExchangeIndustry" advise="1">
        <values cols="10">
          <value t="str">
            <val>20.85</val>
          </value>
          <value t="str">
            <val>18.77</val>
          </value>
          <value t="str">
            <val>7.48</val>
          </value>
          <value t="str">
            <val>81.20</val>
          </value>
          <value t="str">
            <val>13.20</val>
          </value>
          <value>
            <val>5</val>
          </value>
          <value t="str">
            <val>9.55</val>
          </value>
          <value>
            <val>3.24</val>
          </value>
          <value t="str">
            <val>34.41</val>
          </value>
          <value t="str">
            <val>上市其他</val>
          </value>
        </values>
      </ddeItem>
      <ddeItem name="8478.TW-PreTotalVolume,ChipsField25,ChipsField27,DateofMeetingofShareHolders,CompanyPos,TradingDate" advise="1">
        <values cols="6">
          <value>
            <val>1454</val>
          </value>
          <value t="str">
            <val>--</val>
          </value>
          <value t="str">
            <val>--</val>
          </value>
          <value t="str">
            <val>2022/06/23</val>
          </value>
          <value t="str">
            <val>亞洲地區唯一擁有自有品牌之遊艇製造商</val>
          </value>
          <value t="str">
            <val>2022/03/10</val>
          </value>
        </values>
      </ddeItem>
      <ddeItem name="9105.TW-ID,Name,Price,PriceChangeRatio,Low,High,Volume,InOutRatioNumber,Capital,ProfitMargin" advise="1">
        <values cols="10">
          <value t="str">
            <val>9105</val>
          </value>
          <value t="str">
            <val>泰金寶-DR</val>
          </value>
          <value>
            <val>4.59</val>
          </value>
          <value>
            <val>4.08</val>
          </value>
          <value>
            <val>4.51</val>
          </value>
          <value>
            <val>4.63</val>
          </value>
          <value>
            <val>269</val>
          </value>
          <value t="str">
            <val>67.18%</val>
          </value>
          <value t="str">
            <val>8.39</val>
          </value>
          <value t="str">
            <val>5.54</val>
          </value>
        </values>
      </ddeItem>
      <ddeItem name="9105.TW-OperatingProfitRatio,NetProfitMargin,TFXRatio,MonthlyNetSalesYoY,ReturnOnAssets,DividendYear,ProfitFourSeason,CashDividendYieldRate,StockNetValue,ExchangeIndustry" advise="1">
        <values cols="10">
          <value t="str">
            <val>1.30</val>
          </value>
          <value t="str">
            <val>0.68</val>
          </value>
          <value t="str">
            <val>11.87</val>
          </value>
          <value t="str">
            <val>33.95</val>
          </value>
          <value t="str">
            <val>1.31</val>
          </value>
          <value>
            <val>0.11</val>
          </value>
          <value t="str">
            <val>0.09</val>
          </value>
          <value>
            <val>2.4</val>
          </value>
          <value t="str">
            <val>3.04</val>
          </value>
          <value t="str">
            <val>上市存託憑證</val>
          </value>
        </values>
      </ddeItem>
      <ddeItem name="9105.TW-PreTotalVolume,ChipsField25,ChipsField27,DateofMeetingofShareHolders,CompanyPos,TradingDate" advise="1">
        <values cols="6">
          <value>
            <val>3768</val>
          </value>
          <value t="str">
            <val>2022/03/17</val>
          </value>
          <value t="str">
            <val>2022/03/17</val>
          </value>
          <value t="str">
            <val>2022/04/29</val>
          </value>
          <value t="str">
            <val>金仁寶集團旗下位於泰國電子代工廠</val>
          </value>
          <value t="str">
            <val>2022/03/10</val>
          </value>
        </values>
      </ddeItem>
      <ddeItem name="StdDocumentName" ole="1" advise="1"/>
    </ddeItems>
  </ddeLin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1260F-853D-4640-AE72-30F3DC764DDD}">
  <dimension ref="A1:Z101"/>
  <sheetViews>
    <sheetView tabSelected="1" topLeftCell="N91" workbookViewId="0">
      <selection activeCell="U101" sqref="U101:Z101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tr">
        <f t="array" ref="A2:J2">[1]!'6185.TW-ID,Name,Price,PriceChangeRatio,Low,High,Volume,InOutRatioNumber,Capital,ProfitMargin'</f>
        <v>6185</v>
      </c>
      <c r="B2" t="str">
        <v>幃翔</v>
      </c>
      <c r="C2">
        <v>14.1</v>
      </c>
      <c r="D2">
        <v>7.22</v>
      </c>
      <c r="E2">
        <v>13.2</v>
      </c>
      <c r="F2">
        <v>14.45</v>
      </c>
      <c r="G2">
        <v>117</v>
      </c>
      <c r="H2" t="str">
        <v>79.89%</v>
      </c>
      <c r="I2" t="str">
        <v>14.99</v>
      </c>
      <c r="J2" t="str">
        <v>20.77</v>
      </c>
      <c r="K2" t="str">
        <f t="array" ref="K2:T2">[1]!'6185.TW-OperatingProfitRatio,NetProfitMargin,TFXRatio,MonthlyNetSalesYoY,ReturnOnAssets,DividendYear,ProfitFourSeason,CashDividendYieldRate,StockNetValue,ExchangeIndustry'</f>
        <v>-22.31</v>
      </c>
      <c r="L2" t="str">
        <v>-19.50</v>
      </c>
      <c r="M2" t="str">
        <v>-13.15</v>
      </c>
      <c r="N2" t="str">
        <v>49.82</v>
      </c>
      <c r="O2" t="str">
        <v>-2.90</v>
      </c>
      <c r="P2">
        <v>0.2</v>
      </c>
      <c r="Q2" t="str">
        <v>-0.67</v>
      </c>
      <c r="R2">
        <v>1.42</v>
      </c>
      <c r="S2" t="str">
        <v>13.99</v>
      </c>
      <c r="T2" t="str">
        <v>上櫃電子零組件</v>
      </c>
      <c r="U2">
        <f t="array" ref="U2:Z2">[1]!'6185.TW-PreTotalVolume,ChipsField25,ChipsField27,DateofMeetingofShareHolders,CompanyPos,TradingDate'</f>
        <v>74</v>
      </c>
      <c r="V2" t="str">
        <v>2022/06/14</v>
      </c>
      <c r="W2" t="str">
        <v>--</v>
      </c>
      <c r="X2" t="str">
        <v>2022/06/14</v>
      </c>
      <c r="Y2" t="str">
        <v>BTB、快閃記憶卡類連接器生產廠</v>
      </c>
      <c r="Z2" t="str">
        <v>2022/03/10</v>
      </c>
    </row>
    <row r="3" spans="1:26" x14ac:dyDescent="0.3">
      <c r="A3" t="str">
        <f t="array" ref="A3:J3">[1]!'1714.TW-ID,Name,Price,PriceChangeRatio,Low,High,Volume,InOutRatioNumber,Capital,ProfitMargin'</f>
        <v>1714</v>
      </c>
      <c r="B3" t="str">
        <v>和桐</v>
      </c>
      <c r="C3">
        <v>10.55</v>
      </c>
      <c r="D3">
        <v>4.46</v>
      </c>
      <c r="E3">
        <v>10.15</v>
      </c>
      <c r="F3">
        <v>10.9</v>
      </c>
      <c r="G3">
        <v>1193</v>
      </c>
      <c r="H3" t="str">
        <v>75.51%</v>
      </c>
      <c r="I3" t="str">
        <v>101.68</v>
      </c>
      <c r="J3" t="str">
        <v>16.75</v>
      </c>
      <c r="K3" t="str">
        <f t="array" ref="K3:T3">[1]!'1714.TW-OperatingProfitRatio,NetProfitMargin,TFXRatio,MonthlyNetSalesYoY,ReturnOnAssets,DividendYear,ProfitFourSeason,CashDividendYieldRate,StockNetValue,ExchangeIndustry'</f>
        <v>10.70</v>
      </c>
      <c r="L3" t="str">
        <v>8.89</v>
      </c>
      <c r="M3" t="str">
        <v>-2.33</v>
      </c>
      <c r="N3" t="str">
        <v>23.11</v>
      </c>
      <c r="O3" t="str">
        <v>5.81</v>
      </c>
      <c r="P3">
        <v>0.7</v>
      </c>
      <c r="Q3" t="str">
        <v>0.52</v>
      </c>
      <c r="R3">
        <v>6.64</v>
      </c>
      <c r="S3" t="str">
        <v>12.32</v>
      </c>
      <c r="T3" t="str">
        <v>上市化工</v>
      </c>
      <c r="U3">
        <f t="array" ref="U3:Z3">[1]!'1714.TW-PreTotalVolume,ChipsField25,ChipsField27,DateofMeetingofShareHolders,CompanyPos,TradingDate'</f>
        <v>2455</v>
      </c>
      <c r="V3" t="str">
        <v>2021/08/30</v>
      </c>
      <c r="W3" t="str">
        <v>--</v>
      </c>
      <c r="X3" t="str">
        <v>2021/08/05</v>
      </c>
      <c r="Y3" t="str">
        <v>亞洲最大正烷屬烴供應商</v>
      </c>
      <c r="Z3" t="str">
        <v>2022/03/10</v>
      </c>
    </row>
    <row r="4" spans="1:26" x14ac:dyDescent="0.3">
      <c r="A4" t="str">
        <f t="array" ref="A4:J4">[1]!'6414.TW-ID,Name,Price,PriceChangeRatio,Low,High,Volume,InOutRatioNumber,Capital,ProfitMargin'</f>
        <v>6414</v>
      </c>
      <c r="B4" t="str">
        <v>樺漢</v>
      </c>
      <c r="C4">
        <v>192</v>
      </c>
      <c r="D4">
        <v>0.52</v>
      </c>
      <c r="E4">
        <v>191</v>
      </c>
      <c r="F4">
        <v>200</v>
      </c>
      <c r="G4">
        <v>135</v>
      </c>
      <c r="H4" t="str">
        <v>47.10%</v>
      </c>
      <c r="I4" t="str">
        <v>10.67</v>
      </c>
      <c r="J4" t="str">
        <v>22.50</v>
      </c>
      <c r="K4" t="str">
        <f t="array" ref="K4:T4">[1]!'6414.TW-OperatingProfitRatio,NetProfitMargin,TFXRatio,MonthlyNetSalesYoY,ReturnOnAssets,DividendYear,ProfitFourSeason,CashDividendYieldRate,StockNetValue,ExchangeIndustry'</f>
        <v>3.65</v>
      </c>
      <c r="L4" t="str">
        <v>3.28</v>
      </c>
      <c r="M4" t="str">
        <v>-14.33</v>
      </c>
      <c r="N4" t="str">
        <v>15.64</v>
      </c>
      <c r="O4" t="str">
        <v>2.67</v>
      </c>
      <c r="P4">
        <v>5</v>
      </c>
      <c r="Q4" t="str">
        <v>12.77</v>
      </c>
      <c r="R4">
        <v>2.6</v>
      </c>
      <c r="S4" t="str">
        <v>96.41</v>
      </c>
      <c r="T4" t="str">
        <v>上市電腦及週邊設備</v>
      </c>
      <c r="U4">
        <f t="array" ref="U4:Z4">[1]!'6414.TW-PreTotalVolume,ChipsField25,ChipsField27,DateofMeetingofShareHolders,CompanyPos,TradingDate'</f>
        <v>497</v>
      </c>
      <c r="V4" t="str">
        <v>2021/10/04</v>
      </c>
      <c r="W4" t="str">
        <v>--</v>
      </c>
      <c r="X4" t="str">
        <v>2022/01/04</v>
      </c>
      <c r="Y4" t="str">
        <v>鴻海轉投資之工業電腦廠</v>
      </c>
      <c r="Z4" t="str">
        <v>2022/03/10</v>
      </c>
    </row>
    <row r="5" spans="1:26" x14ac:dyDescent="0.3">
      <c r="A5" t="str">
        <f t="array" ref="A5:J5">[1]!'4763.TW-ID,Name,Price,PriceChangeRatio,Low,High,Volume,InOutRatioNumber,Capital,ProfitMargin'</f>
        <v>4763</v>
      </c>
      <c r="B5" t="str">
        <v>材料-KY</v>
      </c>
      <c r="C5">
        <v>93.7</v>
      </c>
      <c r="D5">
        <v>-8.14</v>
      </c>
      <c r="E5">
        <v>91.8</v>
      </c>
      <c r="F5">
        <v>101.5</v>
      </c>
      <c r="G5">
        <v>23</v>
      </c>
      <c r="H5" t="str">
        <v>30.16%</v>
      </c>
      <c r="I5" t="str">
        <v>5.81</v>
      </c>
      <c r="J5" t="str">
        <v>30.43</v>
      </c>
      <c r="K5" t="str">
        <f t="array" ref="K5:T5">[1]!'4763.TW-OperatingProfitRatio,NetProfitMargin,TFXRatio,MonthlyNetSalesYoY,ReturnOnAssets,DividendYear,ProfitFourSeason,CashDividendYieldRate,StockNetValue,ExchangeIndustry'</f>
        <v>14.79</v>
      </c>
      <c r="L5" t="str">
        <v>15.41</v>
      </c>
      <c r="M5" t="str">
        <v>-28.53</v>
      </c>
      <c r="N5" t="str">
        <v>15.38</v>
      </c>
      <c r="O5" t="str">
        <v>9.87</v>
      </c>
      <c r="P5">
        <v>0</v>
      </c>
      <c r="Q5" t="str">
        <v>9.22</v>
      </c>
      <c r="R5">
        <v>0</v>
      </c>
      <c r="S5" t="str">
        <v>25.63</v>
      </c>
      <c r="T5" t="str">
        <v>上市化工</v>
      </c>
      <c r="U5">
        <f t="array" ref="U5:Z5">[1]!'4763.TW-PreTotalVolume,ChipsField25,ChipsField27,DateofMeetingofShareHolders,CompanyPos,TradingDate'</f>
        <v>242</v>
      </c>
      <c r="V5" t="str">
        <v>--</v>
      </c>
      <c r="W5" t="str">
        <v>--</v>
      </c>
      <c r="X5" t="str">
        <v>2022/05/27</v>
      </c>
      <c r="Y5" t="str">
        <v>全球第五大醋酸纖維絲束大廠</v>
      </c>
      <c r="Z5" t="str">
        <v>2022/03/10</v>
      </c>
    </row>
    <row r="6" spans="1:26" x14ac:dyDescent="0.3">
      <c r="A6" t="str">
        <f t="array" ref="A6:J6">[1]!'3211.TW-ID,Name,Price,PriceChangeRatio,Low,High,Volume,InOutRatioNumber,Capital,ProfitMargin'</f>
        <v>3211</v>
      </c>
      <c r="B6" t="str">
        <v>順達</v>
      </c>
      <c r="C6">
        <v>119.5</v>
      </c>
      <c r="D6">
        <v>7.66</v>
      </c>
      <c r="E6">
        <v>115.5</v>
      </c>
      <c r="F6">
        <v>122</v>
      </c>
      <c r="G6">
        <v>242</v>
      </c>
      <c r="H6" t="str">
        <v>53.08%</v>
      </c>
      <c r="I6" t="str">
        <v>14.97</v>
      </c>
      <c r="J6" t="str">
        <v>7.87</v>
      </c>
      <c r="K6" t="str">
        <f t="array" ref="K6:T6">[1]!'3211.TW-OperatingProfitRatio,NetProfitMargin,TFXRatio,MonthlyNetSalesYoY,ReturnOnAssets,DividendYear,ProfitFourSeason,CashDividendYieldRate,StockNetValue,ExchangeIndustry'</f>
        <v>4.08</v>
      </c>
      <c r="L6" t="str">
        <v>15.93</v>
      </c>
      <c r="M6" t="str">
        <v>8.83</v>
      </c>
      <c r="N6" t="str">
        <v>-9.01</v>
      </c>
      <c r="O6" t="str">
        <v>16.70</v>
      </c>
      <c r="P6">
        <v>15.05</v>
      </c>
      <c r="Q6" t="str">
        <v>22.43</v>
      </c>
      <c r="R6">
        <v>12.59</v>
      </c>
      <c r="S6" t="str">
        <v>64.99</v>
      </c>
      <c r="T6" t="str">
        <v>上櫃電腦及週邊設備</v>
      </c>
      <c r="U6">
        <f t="array" ref="U6:Z6">[1]!'3211.TW-PreTotalVolume,ChipsField25,ChipsField27,DateofMeetingofShareHolders,CompanyPos,TradingDate'</f>
        <v>1826</v>
      </c>
      <c r="V6" t="str">
        <v>2022/04/06</v>
      </c>
      <c r="W6" t="str">
        <v>--</v>
      </c>
      <c r="X6" t="str">
        <v>2022/06/06</v>
      </c>
      <c r="Y6" t="str">
        <v>全球第四大筆記型電腦電池組裝廠</v>
      </c>
      <c r="Z6" t="str">
        <v>2022/03/10</v>
      </c>
    </row>
    <row r="7" spans="1:26" x14ac:dyDescent="0.3">
      <c r="A7" t="str">
        <f t="array" ref="A7:J7">[1]!'2613.TW-ID,Name,Price,PriceChangeRatio,Low,High,Volume,InOutRatioNumber,Capital,ProfitMargin'</f>
        <v>2613</v>
      </c>
      <c r="B7" t="str">
        <v>中櫃</v>
      </c>
      <c r="C7">
        <v>42</v>
      </c>
      <c r="D7">
        <v>6.73</v>
      </c>
      <c r="E7">
        <v>40.450000000000003</v>
      </c>
      <c r="F7">
        <v>43.25</v>
      </c>
      <c r="G7">
        <v>481</v>
      </c>
      <c r="H7" t="str">
        <v>62.34%</v>
      </c>
      <c r="I7" t="str">
        <v>14.84</v>
      </c>
      <c r="J7" t="str">
        <v>17.71</v>
      </c>
      <c r="K7" t="str">
        <f t="array" ref="K7:T7">[1]!'2613.TW-OperatingProfitRatio,NetProfitMargin,TFXRatio,MonthlyNetSalesYoY,ReturnOnAssets,DividendYear,ProfitFourSeason,CashDividendYieldRate,StockNetValue,ExchangeIndustry'</f>
        <v>11.41</v>
      </c>
      <c r="L7" t="str">
        <v>7.18</v>
      </c>
      <c r="M7" t="str">
        <v>-16.98</v>
      </c>
      <c r="N7" t="str">
        <v>10.05</v>
      </c>
      <c r="O7" t="str">
        <v>2.89</v>
      </c>
      <c r="P7">
        <v>1.65</v>
      </c>
      <c r="Q7" t="str">
        <v>1.63</v>
      </c>
      <c r="R7">
        <v>3.93</v>
      </c>
      <c r="S7" t="str">
        <v>23.99</v>
      </c>
      <c r="T7" t="str">
        <v>上市航運業</v>
      </c>
      <c r="U7">
        <f t="array" ref="U7:Z7">[1]!'2613.TW-PreTotalVolume,ChipsField25,ChipsField27,DateofMeetingofShareHolders,CompanyPos,TradingDate'</f>
        <v>2899</v>
      </c>
      <c r="V7" t="str">
        <v>2022/03/11</v>
      </c>
      <c r="W7" t="str">
        <v>--</v>
      </c>
      <c r="X7" t="str">
        <v>2022/05/27</v>
      </c>
      <c r="Y7" t="str">
        <v>在台灣北、中、南擁有貨櫃集散場之公司</v>
      </c>
      <c r="Z7" t="str">
        <v>2022/03/10</v>
      </c>
    </row>
    <row r="8" spans="1:26" x14ac:dyDescent="0.3">
      <c r="A8" t="str">
        <f t="array" ref="A8:J8">[1]!'1477.TW-ID,Name,Price,PriceChangeRatio,Low,High,Volume,InOutRatioNumber,Capital,ProfitMargin'</f>
        <v>1477</v>
      </c>
      <c r="B8" t="str">
        <v>聚陽</v>
      </c>
      <c r="C8">
        <v>197.5</v>
      </c>
      <c r="D8">
        <v>-4.82</v>
      </c>
      <c r="E8">
        <v>192</v>
      </c>
      <c r="F8">
        <v>211</v>
      </c>
      <c r="G8">
        <v>146</v>
      </c>
      <c r="H8" t="str">
        <v>38.98%</v>
      </c>
      <c r="I8" t="str">
        <v>24.19</v>
      </c>
      <c r="J8" t="str">
        <v>22.17</v>
      </c>
      <c r="K8" t="str">
        <f t="array" ref="K8:T8">[1]!'1477.TW-OperatingProfitRatio,NetProfitMargin,TFXRatio,MonthlyNetSalesYoY,ReturnOnAssets,DividendYear,ProfitFourSeason,CashDividendYieldRate,StockNetValue,ExchangeIndustry'</f>
        <v>12.18</v>
      </c>
      <c r="L8" t="str">
        <v>9.44</v>
      </c>
      <c r="M8" t="str">
        <v>-10.50</v>
      </c>
      <c r="N8" t="str">
        <v>41.56</v>
      </c>
      <c r="O8" t="str">
        <v>10.63</v>
      </c>
      <c r="P8">
        <v>8</v>
      </c>
      <c r="Q8" t="str">
        <v>10.64</v>
      </c>
      <c r="R8">
        <v>4.05</v>
      </c>
      <c r="S8" t="str">
        <v>53.92</v>
      </c>
      <c r="T8" t="str">
        <v>上市紡織纖維</v>
      </c>
      <c r="U8">
        <f t="array" ref="U8:Z8">[1]!'1477.TW-PreTotalVolume,ChipsField25,ChipsField27,DateofMeetingofShareHolders,CompanyPos,TradingDate'</f>
        <v>698</v>
      </c>
      <c r="V8" t="str">
        <v>2021/04/16</v>
      </c>
      <c r="W8" t="str">
        <v>--</v>
      </c>
      <c r="X8" t="str">
        <v>2021/08/24</v>
      </c>
      <c r="Y8" t="str">
        <v>全球第五大、台灣第一大成衣代工廠</v>
      </c>
      <c r="Z8" t="str">
        <v>2022/03/10</v>
      </c>
    </row>
    <row r="9" spans="1:26" x14ac:dyDescent="0.3">
      <c r="A9" t="str">
        <f t="array" ref="A9:J9">[1]!'1108.TW-ID,Name,Price,PriceChangeRatio,Low,High,Volume,InOutRatioNumber,Capital,ProfitMargin'</f>
        <v>1108</v>
      </c>
      <c r="B9" t="str">
        <v>幸福</v>
      </c>
      <c r="C9">
        <v>11.7</v>
      </c>
      <c r="D9">
        <v>5.88</v>
      </c>
      <c r="E9">
        <v>11.35</v>
      </c>
      <c r="F9">
        <v>12</v>
      </c>
      <c r="G9">
        <v>33</v>
      </c>
      <c r="H9" t="str">
        <v>58.71%</v>
      </c>
      <c r="I9" t="str">
        <v>40.47</v>
      </c>
      <c r="J9" t="str">
        <v>13.29</v>
      </c>
      <c r="K9" t="str">
        <f t="array" ref="K9:T9">[1]!'1108.TW-OperatingProfitRatio,NetProfitMargin,TFXRatio,MonthlyNetSalesYoY,ReturnOnAssets,DividendYear,ProfitFourSeason,CashDividendYieldRate,StockNetValue,ExchangeIndustry'</f>
        <v>7.83</v>
      </c>
      <c r="L9" t="str">
        <v>5.82</v>
      </c>
      <c r="M9" t="str">
        <v>-35.12</v>
      </c>
      <c r="N9" t="str">
        <v>-24.52</v>
      </c>
      <c r="O9" t="str">
        <v>2.36</v>
      </c>
      <c r="P9">
        <v>0.7</v>
      </c>
      <c r="Q9" t="str">
        <v>0.58</v>
      </c>
      <c r="R9">
        <v>5.98</v>
      </c>
      <c r="S9" t="str">
        <v>11.23</v>
      </c>
      <c r="T9" t="str">
        <v>上市水泥</v>
      </c>
      <c r="U9">
        <f t="array" ref="U9:Z9">[1]!'1108.TW-PreTotalVolume,ChipsField25,ChipsField27,DateofMeetingofShareHolders,CompanyPos,TradingDate'</f>
        <v>194</v>
      </c>
      <c r="V9" t="str">
        <v>2021/08/26</v>
      </c>
      <c r="W9" t="str">
        <v>--</v>
      </c>
      <c r="X9" t="str">
        <v>2021/08/04</v>
      </c>
      <c r="Y9" t="str">
        <v>台灣第三大水泥廠，本業發展轉向大陸河北水泥廠</v>
      </c>
      <c r="Z9" t="str">
        <v>2022/03/10</v>
      </c>
    </row>
    <row r="10" spans="1:26" x14ac:dyDescent="0.3">
      <c r="A10" t="str">
        <f t="array" ref="A10:J10">[1]!'4148.TW-ID,Name,Price,PriceChangeRatio,Low,High,Volume,InOutRatioNumber,Capital,ProfitMargin'</f>
        <v>4148</v>
      </c>
      <c r="B10" t="str">
        <v>全宇生技-KY</v>
      </c>
      <c r="C10">
        <v>57.6</v>
      </c>
      <c r="D10">
        <v>9.92</v>
      </c>
      <c r="E10">
        <v>54.3</v>
      </c>
      <c r="F10">
        <v>57.6</v>
      </c>
      <c r="G10">
        <v>20</v>
      </c>
      <c r="H10" t="str">
        <v>77.60%</v>
      </c>
      <c r="I10" t="str">
        <v>6.40</v>
      </c>
      <c r="J10" t="str">
        <v>24.59</v>
      </c>
      <c r="K10" t="str">
        <f t="array" ref="K10:T10">[1]!'4148.TW-OperatingProfitRatio,NetProfitMargin,TFXRatio,MonthlyNetSalesYoY,ReturnOnAssets,DividendYear,ProfitFourSeason,CashDividendYieldRate,StockNetValue,ExchangeIndustry'</f>
        <v>10.62</v>
      </c>
      <c r="L10" t="str">
        <v>9.51</v>
      </c>
      <c r="M10" t="str">
        <v>78.57</v>
      </c>
      <c r="N10" t="str">
        <v>60.17</v>
      </c>
      <c r="O10" t="str">
        <v>5.47</v>
      </c>
      <c r="P10">
        <v>1</v>
      </c>
      <c r="Q10" t="str">
        <v>2.40</v>
      </c>
      <c r="R10">
        <v>1.74</v>
      </c>
      <c r="S10" t="str">
        <v>29.96</v>
      </c>
      <c r="T10" t="str">
        <v>上市生技醫療</v>
      </c>
      <c r="U10">
        <f t="array" ref="U10:Z10">[1]!'4148.TW-PreTotalVolume,ChipsField25,ChipsField27,DateofMeetingofShareHolders,CompanyPos,TradingDate'</f>
        <v>513</v>
      </c>
      <c r="V10" t="str">
        <v>2021/07/06</v>
      </c>
      <c r="W10" t="str">
        <v>--</v>
      </c>
      <c r="X10" t="str">
        <v>2021/07/13</v>
      </c>
      <c r="Y10" t="str">
        <v>馬來西亞生化複合肥料龍頭廠商</v>
      </c>
      <c r="Z10" t="str">
        <v>2022/03/10</v>
      </c>
    </row>
    <row r="11" spans="1:26" x14ac:dyDescent="0.3">
      <c r="A11" t="str">
        <f t="array" ref="A11:J11">[1]!'2612.TW-ID,Name,Price,PriceChangeRatio,Low,High,Volume,InOutRatioNumber,Capital,ProfitMargin'</f>
        <v>2612</v>
      </c>
      <c r="B11" t="str">
        <v>中航</v>
      </c>
      <c r="C11">
        <v>57.2</v>
      </c>
      <c r="D11">
        <v>10</v>
      </c>
      <c r="E11">
        <v>52.8</v>
      </c>
      <c r="F11">
        <v>57.2</v>
      </c>
      <c r="G11">
        <v>31</v>
      </c>
      <c r="H11" t="str">
        <v>81.61%</v>
      </c>
      <c r="I11" t="str">
        <v>19.75</v>
      </c>
      <c r="J11" t="str">
        <v>21.79</v>
      </c>
      <c r="K11" t="str">
        <f t="array" ref="K11:T11">[1]!'2612.TW-OperatingProfitRatio,NetProfitMargin,TFXRatio,MonthlyNetSalesYoY,ReturnOnAssets,DividendYear,ProfitFourSeason,CashDividendYieldRate,StockNetValue,ExchangeIndustry'</f>
        <v>9.96</v>
      </c>
      <c r="L11" t="str">
        <v>29.01</v>
      </c>
      <c r="M11" t="str">
        <v>-11.08</v>
      </c>
      <c r="N11" t="str">
        <v>26.54</v>
      </c>
      <c r="O11" t="str">
        <v>5.75</v>
      </c>
      <c r="P11">
        <v>2.68</v>
      </c>
      <c r="Q11" t="str">
        <v>5.27</v>
      </c>
      <c r="R11">
        <v>4.6900000000000004</v>
      </c>
      <c r="S11" t="str">
        <v>52.72</v>
      </c>
      <c r="T11" t="str">
        <v>上市航運業</v>
      </c>
      <c r="U11">
        <f t="array" ref="U11:Z11">[1]!'2612.TW-PreTotalVolume,ChipsField25,ChipsField27,DateofMeetingofShareHolders,CompanyPos,TradingDate'</f>
        <v>1505</v>
      </c>
      <c r="V11" t="str">
        <v>--</v>
      </c>
      <c r="W11" t="str">
        <v>--</v>
      </c>
      <c r="X11" t="str">
        <v>2022/05/12</v>
      </c>
      <c r="Y11" t="str">
        <v>台灣散裝航運業者，且是具規模的貨櫃運輸業者</v>
      </c>
      <c r="Z11" t="str">
        <v>2022/03/10</v>
      </c>
    </row>
    <row r="12" spans="1:26" x14ac:dyDescent="0.3">
      <c r="A12" t="str">
        <f t="array" ref="A12:J12">[1]!'2611.TW-ID,Name,Price,PriceChangeRatio,Low,High,Volume,InOutRatioNumber,Capital,ProfitMargin'</f>
        <v>2611</v>
      </c>
      <c r="B12" t="str">
        <v>志信</v>
      </c>
      <c r="C12">
        <v>25.3</v>
      </c>
      <c r="D12">
        <v>1.4</v>
      </c>
      <c r="E12">
        <v>24.85</v>
      </c>
      <c r="F12">
        <v>27</v>
      </c>
      <c r="G12">
        <v>1276</v>
      </c>
      <c r="H12" t="str">
        <v>48.64%</v>
      </c>
      <c r="I12" t="str">
        <v>17.18</v>
      </c>
      <c r="J12" t="str">
        <v>18.19</v>
      </c>
      <c r="K12" t="str">
        <f t="array" ref="K12:T12">[1]!'2611.TW-OperatingProfitRatio,NetProfitMargin,TFXRatio,MonthlyNetSalesYoY,ReturnOnAssets,DividendYear,ProfitFourSeason,CashDividendYieldRate,StockNetValue,ExchangeIndustry'</f>
        <v>-6.48</v>
      </c>
      <c r="L12" t="str">
        <v>50.01</v>
      </c>
      <c r="M12" t="str">
        <v>-21.69</v>
      </c>
      <c r="N12" t="str">
        <v>28.32</v>
      </c>
      <c r="O12" t="str">
        <v>6.49</v>
      </c>
      <c r="P12">
        <v>0</v>
      </c>
      <c r="Q12" t="str">
        <v>2.79</v>
      </c>
      <c r="R12">
        <v>0</v>
      </c>
      <c r="S12" t="str">
        <v>17.45</v>
      </c>
      <c r="T12" t="str">
        <v>上市航運業</v>
      </c>
      <c r="U12">
        <f t="array" ref="U12:Z12">[1]!'2611.TW-PreTotalVolume,ChipsField25,ChipsField27,DateofMeetingofShareHolders,CompanyPos,TradingDate'</f>
        <v>9217</v>
      </c>
      <c r="V12" t="str">
        <v>--</v>
      </c>
      <c r="W12" t="str">
        <v>--</v>
      </c>
      <c r="X12" t="str">
        <v>2021/08/26</v>
      </c>
      <c r="Y12" t="str">
        <v>多角化經營陸運、加油站、營建、飯店業務</v>
      </c>
      <c r="Z12" t="str">
        <v>2022/03/10</v>
      </c>
    </row>
    <row r="13" spans="1:26" x14ac:dyDescent="0.3">
      <c r="A13" t="str">
        <f t="array" ref="A13:J13">[1]!'5538.TW-ID,Name,Price,PriceChangeRatio,Low,High,Volume,InOutRatioNumber,Capital,ProfitMargin'</f>
        <v>5538</v>
      </c>
      <c r="B13" t="str">
        <v>東明-KY</v>
      </c>
      <c r="C13">
        <v>63.2</v>
      </c>
      <c r="D13">
        <v>7.48</v>
      </c>
      <c r="E13">
        <v>59</v>
      </c>
      <c r="F13">
        <v>64.400000000000006</v>
      </c>
      <c r="G13">
        <v>29</v>
      </c>
      <c r="H13" t="str">
        <v>56.50%</v>
      </c>
      <c r="I13" t="str">
        <v>20.12</v>
      </c>
      <c r="J13" t="str">
        <v>20.66</v>
      </c>
      <c r="K13" t="str">
        <f t="array" ref="K13:T13">[1]!'5538.TW-OperatingProfitRatio,NetProfitMargin,TFXRatio,MonthlyNetSalesYoY,ReturnOnAssets,DividendYear,ProfitFourSeason,CashDividendYieldRate,StockNetValue,ExchangeIndustry'</f>
        <v>14.87</v>
      </c>
      <c r="L13" t="str">
        <v>10.91</v>
      </c>
      <c r="M13" t="str">
        <v>-9.89</v>
      </c>
      <c r="N13" t="str">
        <v>97.46</v>
      </c>
      <c r="O13" t="str">
        <v>11.03</v>
      </c>
      <c r="P13">
        <v>1.78</v>
      </c>
      <c r="Q13" t="str">
        <v>7.02</v>
      </c>
      <c r="R13">
        <v>2.82</v>
      </c>
      <c r="S13" t="str">
        <v>30.04</v>
      </c>
      <c r="T13" t="str">
        <v>上市鋼鐵</v>
      </c>
      <c r="U13">
        <f t="array" ref="U13:Z13">[1]!'5538.TW-PreTotalVolume,ChipsField25,ChipsField27,DateofMeetingofShareHolders,CompanyPos,TradingDate'</f>
        <v>317</v>
      </c>
      <c r="V13" t="str">
        <v>2021/08/03</v>
      </c>
      <c r="W13" t="str">
        <v>--</v>
      </c>
      <c r="X13" t="str">
        <v>2021/07/07</v>
      </c>
      <c r="Y13" t="str">
        <v>大陸不鏽鋼緊固件龍頭大廠</v>
      </c>
      <c r="Z13" t="str">
        <v>2022/03/10</v>
      </c>
    </row>
    <row r="14" spans="1:26" x14ac:dyDescent="0.3">
      <c r="A14" t="str">
        <f t="array" ref="A14:J14">[1]!'2606.TW-ID,Name,Price,PriceChangeRatio,Low,High,Volume,InOutRatioNumber,Capital,ProfitMargin'</f>
        <v>2606</v>
      </c>
      <c r="B14" t="str">
        <v>裕民</v>
      </c>
      <c r="C14">
        <v>65.599999999999994</v>
      </c>
      <c r="D14">
        <v>9.6999999999999993</v>
      </c>
      <c r="E14">
        <v>61</v>
      </c>
      <c r="F14">
        <v>65.7</v>
      </c>
      <c r="G14">
        <v>782</v>
      </c>
      <c r="H14" t="str">
        <v>69.57%</v>
      </c>
      <c r="I14" t="str">
        <v>84.51</v>
      </c>
      <c r="J14" t="str">
        <v>31.63</v>
      </c>
      <c r="K14" t="str">
        <f t="array" ref="K14:T14">[1]!'2606.TW-OperatingProfitRatio,NetProfitMargin,TFXRatio,MonthlyNetSalesYoY,ReturnOnAssets,DividendYear,ProfitFourSeason,CashDividendYieldRate,StockNetValue,ExchangeIndustry'</f>
        <v>27.23</v>
      </c>
      <c r="L14" t="str">
        <v>34.92</v>
      </c>
      <c r="M14" t="str">
        <v>-21.78</v>
      </c>
      <c r="N14" t="str">
        <v>10.15</v>
      </c>
      <c r="O14" t="str">
        <v>8.41</v>
      </c>
      <c r="P14">
        <v>3</v>
      </c>
      <c r="Q14" t="str">
        <v>5.79</v>
      </c>
      <c r="R14">
        <v>4.57</v>
      </c>
      <c r="S14" t="str">
        <v>30.60</v>
      </c>
      <c r="T14" t="str">
        <v>上市航運業</v>
      </c>
      <c r="U14">
        <f t="array" ref="U14:Z14">[1]!'2606.TW-PreTotalVolume,ChipsField25,ChipsField27,DateofMeetingofShareHolders,CompanyPos,TradingDate'</f>
        <v>10468</v>
      </c>
      <c r="V14" t="str">
        <v>--</v>
      </c>
      <c r="W14" t="str">
        <v>--</v>
      </c>
      <c r="X14" t="str">
        <v>2022/06/08</v>
      </c>
      <c r="Y14" t="str">
        <v>台灣最大散裝航運公司之一</v>
      </c>
      <c r="Z14" t="str">
        <v>2022/03/10</v>
      </c>
    </row>
    <row r="15" spans="1:26" x14ac:dyDescent="0.3">
      <c r="A15" t="str">
        <f t="array" ref="A15:J15">[1]!'3033.TW-ID,Name,Price,PriceChangeRatio,Low,High,Volume,InOutRatioNumber,Capital,ProfitMargin'</f>
        <v>3033</v>
      </c>
      <c r="B15" t="str">
        <v>威健</v>
      </c>
      <c r="C15">
        <v>31.8</v>
      </c>
      <c r="D15">
        <v>4.78</v>
      </c>
      <c r="E15">
        <v>30.9</v>
      </c>
      <c r="F15">
        <v>32</v>
      </c>
      <c r="G15">
        <v>258</v>
      </c>
      <c r="H15" t="str">
        <v>62.13%</v>
      </c>
      <c r="I15" t="str">
        <v>41.75</v>
      </c>
      <c r="J15" t="str">
        <v>7.01</v>
      </c>
      <c r="K15" t="str">
        <f t="array" ref="K15:T15">[1]!'3033.TW-OperatingProfitRatio,NetProfitMargin,TFXRatio,MonthlyNetSalesYoY,ReturnOnAssets,DividendYear,ProfitFourSeason,CashDividendYieldRate,StockNetValue,ExchangeIndustry'</f>
        <v>3.51</v>
      </c>
      <c r="L15" t="str">
        <v>2.33</v>
      </c>
      <c r="M15" t="str">
        <v>-13.26</v>
      </c>
      <c r="N15" t="str">
        <v>31.06</v>
      </c>
      <c r="O15" t="str">
        <v>5.47</v>
      </c>
      <c r="P15">
        <v>1.33</v>
      </c>
      <c r="Q15" t="str">
        <v>3.88</v>
      </c>
      <c r="R15">
        <v>4.18</v>
      </c>
      <c r="S15" t="str">
        <v>18.28</v>
      </c>
      <c r="T15" t="str">
        <v>上市電子通路</v>
      </c>
      <c r="U15">
        <f t="array" ref="U15:Z15">[1]!'3033.TW-PreTotalVolume,ChipsField25,ChipsField27,DateofMeetingofShareHolders,CompanyPos,TradingDate'</f>
        <v>2358</v>
      </c>
      <c r="V15" t="str">
        <v>2021/07/26</v>
      </c>
      <c r="W15" t="str">
        <v>--</v>
      </c>
      <c r="X15" t="str">
        <v>2021/07/20</v>
      </c>
      <c r="Y15" t="str">
        <v>從事電子零組件與周邊設備之代理經銷商</v>
      </c>
      <c r="Z15" t="str">
        <v>2022/03/10</v>
      </c>
    </row>
    <row r="16" spans="1:26" x14ac:dyDescent="0.3">
      <c r="A16" t="str">
        <f t="array" ref="A16:J16">[1]!'5227.TW-ID,Name,Price,PriceChangeRatio,Low,High,Volume,InOutRatioNumber,Capital,ProfitMargin'</f>
        <v>5227</v>
      </c>
      <c r="B16" t="str">
        <v>立凱-KY</v>
      </c>
      <c r="C16">
        <v>88.5</v>
      </c>
      <c r="D16">
        <v>9.94</v>
      </c>
      <c r="E16">
        <v>82</v>
      </c>
      <c r="F16">
        <v>88.5</v>
      </c>
      <c r="G16">
        <v>2</v>
      </c>
      <c r="H16" t="str">
        <v>83.75%</v>
      </c>
      <c r="I16" t="str">
        <v>6.00</v>
      </c>
      <c r="J16" t="str">
        <v>-31.08</v>
      </c>
      <c r="K16" t="str">
        <f t="array" ref="K16:T16">[1]!'5227.TW-OperatingProfitRatio,NetProfitMargin,TFXRatio,MonthlyNetSalesYoY,ReturnOnAssets,DividendYear,ProfitFourSeason,CashDividendYieldRate,StockNetValue,ExchangeIndustry'</f>
        <v>-94.37</v>
      </c>
      <c r="L16" t="str">
        <v>-253.99</v>
      </c>
      <c r="M16" t="str">
        <v>-75.99</v>
      </c>
      <c r="N16" t="str">
        <v>113.83</v>
      </c>
      <c r="O16" t="str">
        <v>-35.20</v>
      </c>
      <c r="P16">
        <v>0</v>
      </c>
      <c r="Q16" t="str">
        <v>-4.92</v>
      </c>
      <c r="R16">
        <v>0</v>
      </c>
      <c r="S16" t="str">
        <v>6.61</v>
      </c>
      <c r="T16" t="str">
        <v>上櫃電子零組件</v>
      </c>
      <c r="U16">
        <f t="array" ref="U16:Z16">[1]!'5227.TW-PreTotalVolume,ChipsField25,ChipsField27,DateofMeetingofShareHolders,CompanyPos,TradingDate'</f>
        <v>489</v>
      </c>
      <c r="V16" t="str">
        <v>--</v>
      </c>
      <c r="W16" t="str">
        <v>--</v>
      </c>
      <c r="X16" t="str">
        <v>2021/04/15</v>
      </c>
      <c r="Y16" t="str">
        <v>台灣磷酸鐵鋰電池正極材料廠商</v>
      </c>
      <c r="Z16" t="str">
        <v>2022/03/10</v>
      </c>
    </row>
    <row r="17" spans="1:26" x14ac:dyDescent="0.3">
      <c r="A17" t="str">
        <f t="array" ref="A17:J17">[1]!'2637.TW-ID,Name,Price,PriceChangeRatio,Low,High,Volume,InOutRatioNumber,Capital,ProfitMargin'</f>
        <v>2637</v>
      </c>
      <c r="B17" t="str">
        <v>慧洋-KY</v>
      </c>
      <c r="C17">
        <v>99.5</v>
      </c>
      <c r="D17">
        <v>9.94</v>
      </c>
      <c r="E17">
        <v>92.2</v>
      </c>
      <c r="F17">
        <v>99.5</v>
      </c>
      <c r="G17">
        <v>536</v>
      </c>
      <c r="H17" t="str">
        <v>74.85%</v>
      </c>
      <c r="I17" t="str">
        <v>76.37</v>
      </c>
      <c r="J17" t="str">
        <v>44.09</v>
      </c>
      <c r="K17" t="str">
        <f t="array" ref="K17:T17">[1]!'2637.TW-OperatingProfitRatio,NetProfitMargin,TFXRatio,MonthlyNetSalesYoY,ReturnOnAssets,DividendYear,ProfitFourSeason,CashDividendYieldRate,StockNetValue,ExchangeIndustry'</f>
        <v>43.08</v>
      </c>
      <c r="L17" t="str">
        <v>43.01</v>
      </c>
      <c r="M17" t="str">
        <v>-15.91</v>
      </c>
      <c r="N17" t="str">
        <v>55.79</v>
      </c>
      <c r="O17" t="str">
        <v>10.84</v>
      </c>
      <c r="P17">
        <v>0</v>
      </c>
      <c r="Q17" t="str">
        <v>11.05</v>
      </c>
      <c r="R17">
        <v>0</v>
      </c>
      <c r="S17" t="str">
        <v>46.92</v>
      </c>
      <c r="T17" t="str">
        <v>上市航運業</v>
      </c>
      <c r="U17">
        <f t="array" ref="U17:Z17">[1]!'2637.TW-PreTotalVolume,ChipsField25,ChipsField27,DateofMeetingofShareHolders,CompanyPos,TradingDate'</f>
        <v>11223</v>
      </c>
      <c r="V17" t="str">
        <v>--</v>
      </c>
      <c r="W17" t="str">
        <v>--</v>
      </c>
      <c r="X17" t="str">
        <v>2022/05/20</v>
      </c>
      <c r="Y17" t="str">
        <v>台灣具規模的散裝船隊船東之一</v>
      </c>
      <c r="Z17" t="str">
        <v>2022/03/10</v>
      </c>
    </row>
    <row r="18" spans="1:26" x14ac:dyDescent="0.3">
      <c r="A18" t="str">
        <f t="array" ref="A18:J18">[1]!'1513.TW-ID,Name,Price,PriceChangeRatio,Low,High,Volume,InOutRatioNumber,Capital,ProfitMargin'</f>
        <v>1513</v>
      </c>
      <c r="B18" t="str">
        <v>中興電</v>
      </c>
      <c r="C18">
        <v>44.45</v>
      </c>
      <c r="D18">
        <v>5.21</v>
      </c>
      <c r="E18">
        <v>42.8</v>
      </c>
      <c r="F18">
        <v>44.65</v>
      </c>
      <c r="G18">
        <v>159</v>
      </c>
      <c r="H18" t="str">
        <v>69.10%</v>
      </c>
      <c r="I18" t="str">
        <v>47.61</v>
      </c>
      <c r="J18" t="str">
        <v>23.50</v>
      </c>
      <c r="K18" t="str">
        <f t="array" ref="K18:T18">[1]!'1513.TW-OperatingProfitRatio,NetProfitMargin,TFXRatio,MonthlyNetSalesYoY,ReturnOnAssets,DividendYear,ProfitFourSeason,CashDividendYieldRate,StockNetValue,ExchangeIndustry'</f>
        <v>14.39</v>
      </c>
      <c r="L18" t="str">
        <v>10.69</v>
      </c>
      <c r="M18" t="str">
        <v>8.12</v>
      </c>
      <c r="N18" t="str">
        <v>47.43</v>
      </c>
      <c r="O18" t="str">
        <v>4.62</v>
      </c>
      <c r="P18">
        <v>2.2000000000000002</v>
      </c>
      <c r="Q18" t="str">
        <v>4.81</v>
      </c>
      <c r="R18">
        <v>4.95</v>
      </c>
      <c r="S18" t="str">
        <v>23.30</v>
      </c>
      <c r="T18" t="str">
        <v>上市電機機械</v>
      </c>
      <c r="U18">
        <f t="array" ref="U18:Z18">[1]!'1513.TW-PreTotalVolume,ChipsField25,ChipsField27,DateofMeetingofShareHolders,CompanyPos,TradingDate'</f>
        <v>1362</v>
      </c>
      <c r="V18" t="str">
        <v>2021/09/07</v>
      </c>
      <c r="W18" t="str">
        <v>--</v>
      </c>
      <c r="X18" t="str">
        <v>2021/07/30</v>
      </c>
      <c r="Y18" t="str">
        <v>台灣知名重電及機電工程廠商</v>
      </c>
      <c r="Z18" t="str">
        <v>2022/03/10</v>
      </c>
    </row>
    <row r="19" spans="1:26" x14ac:dyDescent="0.3">
      <c r="A19" t="str">
        <f t="array" ref="A19:J19">[1]!'6227.TW-ID,Name,Price,PriceChangeRatio,Low,High,Volume,InOutRatioNumber,Capital,ProfitMargin'</f>
        <v>6227</v>
      </c>
      <c r="B19" t="str">
        <v>茂綸</v>
      </c>
      <c r="C19">
        <v>38.75</v>
      </c>
      <c r="D19">
        <v>3.33</v>
      </c>
      <c r="E19">
        <v>37.549999999999997</v>
      </c>
      <c r="F19">
        <v>39.799999999999997</v>
      </c>
      <c r="G19">
        <v>73</v>
      </c>
      <c r="H19" t="str">
        <v>54.44%</v>
      </c>
      <c r="I19" t="str">
        <v>7.61</v>
      </c>
      <c r="J19" t="str">
        <v>7.21</v>
      </c>
      <c r="K19" t="str">
        <f t="array" ref="K19:T19">[1]!'6227.TW-OperatingProfitRatio,NetProfitMargin,TFXRatio,MonthlyNetSalesYoY,ReturnOnAssets,DividendYear,ProfitFourSeason,CashDividendYieldRate,StockNetValue,ExchangeIndustry'</f>
        <v>3.47</v>
      </c>
      <c r="L19" t="str">
        <v>2.66</v>
      </c>
      <c r="M19" t="str">
        <v>-12.06</v>
      </c>
      <c r="N19" t="str">
        <v>32.44</v>
      </c>
      <c r="O19" t="str">
        <v>4.81</v>
      </c>
      <c r="P19">
        <v>3.35</v>
      </c>
      <c r="Q19" t="str">
        <v>4.36</v>
      </c>
      <c r="R19">
        <v>8.65</v>
      </c>
      <c r="S19" t="str">
        <v>25.01</v>
      </c>
      <c r="T19" t="str">
        <v>上櫃電子通路</v>
      </c>
      <c r="U19">
        <f t="array" ref="U19:Z19">[1]!'6227.TW-PreTotalVolume,ChipsField25,ChipsField27,DateofMeetingofShareHolders,CompanyPos,TradingDate'</f>
        <v>420</v>
      </c>
      <c r="V19" t="str">
        <v>--</v>
      </c>
      <c r="W19" t="str">
        <v>--</v>
      </c>
      <c r="X19" t="str">
        <v>2022/05/26</v>
      </c>
      <c r="Y19" t="str">
        <v>台灣唯一代理Altair產品線的IC通路商</v>
      </c>
      <c r="Z19" t="str">
        <v>2022/03/10</v>
      </c>
    </row>
    <row r="20" spans="1:26" x14ac:dyDescent="0.3">
      <c r="A20" t="str">
        <f t="array" ref="A20:J20">[1]!'2605.TW-ID,Name,Price,PriceChangeRatio,Low,High,Volume,InOutRatioNumber,Capital,ProfitMargin'</f>
        <v>2605</v>
      </c>
      <c r="B20" t="str">
        <v>新興</v>
      </c>
      <c r="C20">
        <v>30</v>
      </c>
      <c r="D20">
        <v>6.57</v>
      </c>
      <c r="E20">
        <v>28.5</v>
      </c>
      <c r="F20">
        <v>30.95</v>
      </c>
      <c r="G20">
        <v>1070</v>
      </c>
      <c r="H20" t="str">
        <v>65.30%</v>
      </c>
      <c r="I20" t="str">
        <v>58.54</v>
      </c>
      <c r="J20" t="str">
        <v>25.55</v>
      </c>
      <c r="K20" t="str">
        <f t="array" ref="K20:T20">[1]!'2605.TW-OperatingProfitRatio,NetProfitMargin,TFXRatio,MonthlyNetSalesYoY,ReturnOnAssets,DividendYear,ProfitFourSeason,CashDividendYieldRate,StockNetValue,ExchangeIndustry'</f>
        <v>19.77</v>
      </c>
      <c r="L20" t="str">
        <v>19.34</v>
      </c>
      <c r="M20" t="str">
        <v>-31.39</v>
      </c>
      <c r="N20" t="str">
        <v>-1.18</v>
      </c>
      <c r="O20" t="str">
        <v>2.49</v>
      </c>
      <c r="P20">
        <v>0.5</v>
      </c>
      <c r="Q20" t="str">
        <v>0.39</v>
      </c>
      <c r="R20">
        <v>1.67</v>
      </c>
      <c r="S20" t="str">
        <v>24.35</v>
      </c>
      <c r="T20" t="str">
        <v>上市航運業</v>
      </c>
      <c r="U20">
        <f t="array" ref="U20:Z20">[1]!'2605.TW-PreTotalVolume,ChipsField25,ChipsField27,DateofMeetingofShareHolders,CompanyPos,TradingDate'</f>
        <v>10804</v>
      </c>
      <c r="V20" t="str">
        <v>2021/07/21</v>
      </c>
      <c r="W20" t="str">
        <v>--</v>
      </c>
      <c r="X20" t="str">
        <v>2021/08/24</v>
      </c>
      <c r="Y20" t="str">
        <v>台灣第二大散裝船商</v>
      </c>
      <c r="Z20" t="str">
        <v>2022/03/10</v>
      </c>
    </row>
    <row r="21" spans="1:26" x14ac:dyDescent="0.3">
      <c r="A21" t="str">
        <f t="array" ref="A21:J21">[1]!'2465.TW-ID,Name,Price,PriceChangeRatio,Low,High,Volume,InOutRatioNumber,Capital,ProfitMargin'</f>
        <v>2465</v>
      </c>
      <c r="B21" t="str">
        <v>麗臺</v>
      </c>
      <c r="C21">
        <v>67.7</v>
      </c>
      <c r="D21">
        <v>0.74</v>
      </c>
      <c r="E21">
        <v>67.599999999999994</v>
      </c>
      <c r="F21">
        <v>72</v>
      </c>
      <c r="G21">
        <v>184</v>
      </c>
      <c r="H21" t="str">
        <v>43.90%</v>
      </c>
      <c r="I21" t="str">
        <v>5.36</v>
      </c>
      <c r="J21" t="str">
        <v>18.69</v>
      </c>
      <c r="K21" t="str">
        <f t="array" ref="K21:T21">[1]!'2465.TW-OperatingProfitRatio,NetProfitMargin,TFXRatio,MonthlyNetSalesYoY,ReturnOnAssets,DividendYear,ProfitFourSeason,CashDividendYieldRate,StockNetValue,ExchangeIndustry'</f>
        <v>6.59</v>
      </c>
      <c r="L21" t="str">
        <v>5.27</v>
      </c>
      <c r="M21" t="str">
        <v>-43.35</v>
      </c>
      <c r="N21" t="str">
        <v>13.92</v>
      </c>
      <c r="O21" t="str">
        <v>19.74</v>
      </c>
      <c r="P21">
        <v>0</v>
      </c>
      <c r="Q21" t="str">
        <v>7.21</v>
      </c>
      <c r="R21">
        <v>0</v>
      </c>
      <c r="S21" t="str">
        <v>12.48</v>
      </c>
      <c r="T21" t="str">
        <v>上市電腦及週邊設備</v>
      </c>
      <c r="U21">
        <f t="array" ref="U21:Z21">[1]!'2465.TW-PreTotalVolume,ChipsField25,ChipsField27,DateofMeetingofShareHolders,CompanyPos,TradingDate'</f>
        <v>969</v>
      </c>
      <c r="V21" t="str">
        <v>--</v>
      </c>
      <c r="W21" t="str">
        <v>--</v>
      </c>
      <c r="X21" t="str">
        <v>2021/08/27</v>
      </c>
      <c r="Y21" t="str">
        <v>台灣繪圖卡廠商</v>
      </c>
      <c r="Z21" t="str">
        <v>2022/03/10</v>
      </c>
    </row>
    <row r="22" spans="1:26" x14ac:dyDescent="0.3">
      <c r="A22" t="str">
        <f t="array" ref="A22:J22">[1]!'8383.TW-ID,Name,Price,PriceChangeRatio,Low,High,Volume,InOutRatioNumber,Capital,ProfitMargin'</f>
        <v>8383</v>
      </c>
      <c r="B22" t="str">
        <v>千附</v>
      </c>
      <c r="C22">
        <v>39.799999999999997</v>
      </c>
      <c r="D22">
        <v>-2.69</v>
      </c>
      <c r="E22">
        <v>39.200000000000003</v>
      </c>
      <c r="F22">
        <v>40.299999999999997</v>
      </c>
      <c r="G22">
        <v>30</v>
      </c>
      <c r="H22" t="str">
        <v>39.62%</v>
      </c>
      <c r="I22" t="str">
        <v>11.82</v>
      </c>
      <c r="J22" t="str">
        <v>25.09</v>
      </c>
      <c r="K22" t="str">
        <f t="array" ref="K22:T22">[1]!'8383.TW-OperatingProfitRatio,NetProfitMargin,TFXRatio,MonthlyNetSalesYoY,ReturnOnAssets,DividendYear,ProfitFourSeason,CashDividendYieldRate,StockNetValue,ExchangeIndustry'</f>
        <v>12.99</v>
      </c>
      <c r="L22" t="str">
        <v>10.92</v>
      </c>
      <c r="M22" t="str">
        <v>-2.00</v>
      </c>
      <c r="N22" t="str">
        <v>76.56</v>
      </c>
      <c r="O22" t="str">
        <v>5.58</v>
      </c>
      <c r="P22">
        <v>2.5</v>
      </c>
      <c r="Q22" t="str">
        <v>2.68</v>
      </c>
      <c r="R22">
        <v>6.28</v>
      </c>
      <c r="S22" t="str">
        <v>34.25</v>
      </c>
      <c r="T22" t="str">
        <v>上櫃其他電子</v>
      </c>
      <c r="U22">
        <f t="array" ref="U22:Z22">[1]!'8383.TW-PreTotalVolume,ChipsField25,ChipsField27,DateofMeetingofShareHolders,CompanyPos,TradingDate'</f>
        <v>528</v>
      </c>
      <c r="V22" t="str">
        <v>--</v>
      </c>
      <c r="W22" t="str">
        <v>--</v>
      </c>
      <c r="X22" t="str">
        <v>2022/05/27</v>
      </c>
      <c r="Y22" t="str">
        <v>TFT-LCD及半導體廠無塵室供應商</v>
      </c>
      <c r="Z22" t="str">
        <v>2022/03/10</v>
      </c>
    </row>
    <row r="23" spans="1:26" x14ac:dyDescent="0.3">
      <c r="A23" t="str">
        <f t="array" ref="A23:J23">[1]!'2399.TW-ID,Name,Price,PriceChangeRatio,Low,High,Volume,InOutRatioNumber,Capital,ProfitMargin'</f>
        <v>2399</v>
      </c>
      <c r="B23" t="str">
        <v>映泰</v>
      </c>
      <c r="C23">
        <v>22.1</v>
      </c>
      <c r="D23">
        <v>3.03</v>
      </c>
      <c r="E23">
        <v>22</v>
      </c>
      <c r="F23">
        <v>23</v>
      </c>
      <c r="G23">
        <v>215</v>
      </c>
      <c r="H23" t="str">
        <v>50.48%</v>
      </c>
      <c r="I23" t="str">
        <v>17.81</v>
      </c>
      <c r="J23" t="str">
        <v>19.50</v>
      </c>
      <c r="K23" t="str">
        <f t="array" ref="K23:T23">[1]!'2399.TW-OperatingProfitRatio,NetProfitMargin,TFXRatio,MonthlyNetSalesYoY,ReturnOnAssets,DividendYear,ProfitFourSeason,CashDividendYieldRate,StockNetValue,ExchangeIndustry'</f>
        <v>6.96</v>
      </c>
      <c r="L23" t="str">
        <v>14.38</v>
      </c>
      <c r="M23" t="str">
        <v>-31.66</v>
      </c>
      <c r="N23" t="str">
        <v>32.39</v>
      </c>
      <c r="O23" t="str">
        <v>9.47</v>
      </c>
      <c r="P23">
        <v>0.4</v>
      </c>
      <c r="Q23" t="str">
        <v>1.75</v>
      </c>
      <c r="R23">
        <v>1.81</v>
      </c>
      <c r="S23" t="str">
        <v>13.18</v>
      </c>
      <c r="T23" t="str">
        <v>上市電腦及週邊設備</v>
      </c>
      <c r="U23">
        <f t="array" ref="U23:Z23">[1]!'2399.TW-PreTotalVolume,ChipsField25,ChipsField27,DateofMeetingofShareHolders,CompanyPos,TradingDate'</f>
        <v>1133</v>
      </c>
      <c r="V23" t="str">
        <v>2021/08/17</v>
      </c>
      <c r="W23" t="str">
        <v>--</v>
      </c>
      <c r="X23" t="str">
        <v>2021/07/29</v>
      </c>
      <c r="Y23" t="str">
        <v>台灣二線主機板廠</v>
      </c>
      <c r="Z23" t="str">
        <v>2022/03/10</v>
      </c>
    </row>
    <row r="24" spans="1:26" x14ac:dyDescent="0.3">
      <c r="A24" t="str">
        <f t="array" ref="A24:J24">[1]!'3016.TW-ID,Name,Price,PriceChangeRatio,Low,High,Volume,InOutRatioNumber,Capital,ProfitMargin'</f>
        <v>3016</v>
      </c>
      <c r="B24" t="str">
        <v>嘉晶</v>
      </c>
      <c r="C24">
        <v>110</v>
      </c>
      <c r="D24">
        <v>10</v>
      </c>
      <c r="E24">
        <v>104</v>
      </c>
      <c r="F24">
        <v>110</v>
      </c>
      <c r="G24">
        <v>14</v>
      </c>
      <c r="H24" t="str">
        <v>83.20%</v>
      </c>
      <c r="I24" t="str">
        <v>28.46</v>
      </c>
      <c r="J24" t="str">
        <v>14.40</v>
      </c>
      <c r="K24" t="str">
        <f t="array" ref="K24:T24">[1]!'3016.TW-OperatingProfitRatio,NetProfitMargin,TFXRatio,MonthlyNetSalesYoY,ReturnOnAssets,DividendYear,ProfitFourSeason,CashDividendYieldRate,StockNetValue,ExchangeIndustry'</f>
        <v>9.20</v>
      </c>
      <c r="L24" t="str">
        <v>7.55</v>
      </c>
      <c r="M24" t="str">
        <v>0.38</v>
      </c>
      <c r="N24" t="str">
        <v>30.57</v>
      </c>
      <c r="O24" t="str">
        <v>6.21</v>
      </c>
      <c r="P24">
        <v>1.2</v>
      </c>
      <c r="Q24" t="str">
        <v>1.36</v>
      </c>
      <c r="R24">
        <v>1.0900000000000001</v>
      </c>
      <c r="S24" t="str">
        <v>16.21</v>
      </c>
      <c r="T24" t="str">
        <v>上市半導體</v>
      </c>
      <c r="U24">
        <f t="array" ref="U24:Z24">[1]!'3016.TW-PreTotalVolume,ChipsField25,ChipsField27,DateofMeetingofShareHolders,CompanyPos,TradingDate'</f>
        <v>1374</v>
      </c>
      <c r="V24" t="str">
        <v>--</v>
      </c>
      <c r="W24" t="str">
        <v>--</v>
      </c>
      <c r="X24" t="str">
        <v>2022/06/21</v>
      </c>
      <c r="Y24" t="str">
        <v>台灣專業磊晶矽晶圓業者</v>
      </c>
      <c r="Z24" t="str">
        <v>2022/03/10</v>
      </c>
    </row>
    <row r="25" spans="1:26" x14ac:dyDescent="0.3">
      <c r="A25" t="str">
        <f t="array" ref="A25:J25">[1]!'1229.TW-ID,Name,Price,PriceChangeRatio,Low,High,Volume,InOutRatioNumber,Capital,ProfitMargin'</f>
        <v>1229</v>
      </c>
      <c r="B25" t="str">
        <v>聯華</v>
      </c>
      <c r="C25">
        <v>65.2</v>
      </c>
      <c r="D25">
        <v>-2.69</v>
      </c>
      <c r="E25">
        <v>64</v>
      </c>
      <c r="F25">
        <v>66.5</v>
      </c>
      <c r="G25">
        <v>283</v>
      </c>
      <c r="H25" t="str">
        <v>39.92%</v>
      </c>
      <c r="I25" t="str">
        <v>140.96</v>
      </c>
      <c r="J25" t="str">
        <v>26.64</v>
      </c>
      <c r="K25" t="str">
        <f t="array" ref="K25:T25">[1]!'1229.TW-OperatingProfitRatio,NetProfitMargin,TFXRatio,MonthlyNetSalesYoY,ReturnOnAssets,DividendYear,ProfitFourSeason,CashDividendYieldRate,StockNetValue,ExchangeIndustry'</f>
        <v>16.34</v>
      </c>
      <c r="L25" t="str">
        <v>52.93</v>
      </c>
      <c r="M25" t="str">
        <v>-26.34</v>
      </c>
      <c r="N25" t="str">
        <v>7.30</v>
      </c>
      <c r="O25" t="str">
        <v>7.20</v>
      </c>
      <c r="P25">
        <v>2.2999999999999998</v>
      </c>
      <c r="Q25" t="str">
        <v>3.44</v>
      </c>
      <c r="R25">
        <v>3.53</v>
      </c>
      <c r="S25" t="str">
        <v>27.74</v>
      </c>
      <c r="T25" t="str">
        <v>上市食品</v>
      </c>
      <c r="U25">
        <f t="array" ref="U25:Z25">[1]!'1229.TW-PreTotalVolume,ChipsField25,ChipsField27,DateofMeetingofShareHolders,CompanyPos,TradingDate'</f>
        <v>2707</v>
      </c>
      <c r="V25" t="str">
        <v>2022/04/21</v>
      </c>
      <c r="W25" t="str">
        <v>--</v>
      </c>
      <c r="X25" t="str">
        <v>2022/06/23</v>
      </c>
      <c r="Y25" t="str">
        <v>神達集團母公司，台灣最大麵粉廠</v>
      </c>
      <c r="Z25" t="str">
        <v>2022/03/10</v>
      </c>
    </row>
    <row r="26" spans="1:26" x14ac:dyDescent="0.3">
      <c r="A26" t="str">
        <f t="array" ref="A26:J26">[1]!'4721.TW-ID,Name,Price,PriceChangeRatio,Low,High,Volume,InOutRatioNumber,Capital,ProfitMargin'</f>
        <v>4721</v>
      </c>
      <c r="B26" t="str">
        <v>美琪瑪</v>
      </c>
      <c r="C26">
        <v>139</v>
      </c>
      <c r="D26">
        <v>1.46</v>
      </c>
      <c r="E26">
        <v>137.5</v>
      </c>
      <c r="F26">
        <v>145.5</v>
      </c>
      <c r="G26">
        <v>209</v>
      </c>
      <c r="H26" t="str">
        <v>50.92%</v>
      </c>
      <c r="I26" t="str">
        <v>7.50</v>
      </c>
      <c r="J26" t="str">
        <v>14.62</v>
      </c>
      <c r="K26" t="str">
        <f t="array" ref="K26:T26">[1]!'4721.TW-OperatingProfitRatio,NetProfitMargin,TFXRatio,MonthlyNetSalesYoY,ReturnOnAssets,DividendYear,ProfitFourSeason,CashDividendYieldRate,StockNetValue,ExchangeIndustry'</f>
        <v>10.91</v>
      </c>
      <c r="L26" t="str">
        <v>9.16</v>
      </c>
      <c r="M26" t="str">
        <v>-11.01</v>
      </c>
      <c r="N26" t="str">
        <v>117.02</v>
      </c>
      <c r="O26" t="str">
        <v>13.11</v>
      </c>
      <c r="P26">
        <v>1.39</v>
      </c>
      <c r="Q26" t="str">
        <v>3.71</v>
      </c>
      <c r="R26">
        <v>1</v>
      </c>
      <c r="S26" t="str">
        <v>17.04</v>
      </c>
      <c r="T26" t="str">
        <v>上櫃化工</v>
      </c>
      <c r="U26">
        <f t="array" ref="U26:Z26">[1]!'4721.TW-PreTotalVolume,ChipsField25,ChipsField27,DateofMeetingofShareHolders,CompanyPos,TradingDate'</f>
        <v>1565</v>
      </c>
      <c r="V26" t="str">
        <v>2021/07/23</v>
      </c>
      <c r="W26" t="str">
        <v>--</v>
      </c>
      <c r="X26" t="str">
        <v>2021/07/07</v>
      </c>
      <c r="Y26" t="str">
        <v>全球最大PTA氧化觸媒供應商，也生產正極材料</v>
      </c>
      <c r="Z26" t="str">
        <v>2022/03/10</v>
      </c>
    </row>
    <row r="27" spans="1:26" x14ac:dyDescent="0.3">
      <c r="A27" t="str">
        <f t="array" ref="A27:J27">[1]!'6235.TW-ID,Name,Price,PriceChangeRatio,Low,High,Volume,InOutRatioNumber,Capital,ProfitMargin'</f>
        <v>6235</v>
      </c>
      <c r="B27" t="str">
        <v>華孚</v>
      </c>
      <c r="C27">
        <v>31.55</v>
      </c>
      <c r="D27">
        <v>9.93</v>
      </c>
      <c r="E27">
        <v>29.2</v>
      </c>
      <c r="F27">
        <v>31.55</v>
      </c>
      <c r="G27">
        <v>73</v>
      </c>
      <c r="H27" t="str">
        <v>79.62%</v>
      </c>
      <c r="I27" t="str">
        <v>17.30</v>
      </c>
      <c r="J27" t="str">
        <v>25.98</v>
      </c>
      <c r="K27" t="str">
        <f t="array" ref="K27:T27">[1]!'6235.TW-OperatingProfitRatio,NetProfitMargin,TFXRatio,MonthlyNetSalesYoY,ReturnOnAssets,DividendYear,ProfitFourSeason,CashDividendYieldRate,StockNetValue,ExchangeIndustry'</f>
        <v>4.30</v>
      </c>
      <c r="L27" t="str">
        <v>5.83</v>
      </c>
      <c r="M27" t="str">
        <v>-6.49</v>
      </c>
      <c r="N27" t="str">
        <v>32.96</v>
      </c>
      <c r="O27" t="str">
        <v>3.69</v>
      </c>
      <c r="P27">
        <v>0.3</v>
      </c>
      <c r="Q27" t="str">
        <v>0.97</v>
      </c>
      <c r="R27">
        <v>0.95</v>
      </c>
      <c r="S27" t="str">
        <v>14.29</v>
      </c>
      <c r="T27" t="str">
        <v>上市電腦及週邊設備</v>
      </c>
      <c r="U27">
        <f t="array" ref="U27:Z27">[1]!'6235.TW-PreTotalVolume,ChipsField25,ChipsField27,DateofMeetingofShareHolders,CompanyPos,TradingDate'</f>
        <v>3300</v>
      </c>
      <c r="V27" t="str">
        <v>2022/04/21</v>
      </c>
      <c r="W27" t="str">
        <v>--</v>
      </c>
      <c r="X27" t="str">
        <v>2022/06/21</v>
      </c>
      <c r="Y27" t="str">
        <v>以NB外殼為主的鎂合金廠</v>
      </c>
      <c r="Z27" t="str">
        <v>2022/03/10</v>
      </c>
    </row>
    <row r="28" spans="1:26" x14ac:dyDescent="0.3">
      <c r="A28" t="str">
        <f t="array" ref="A28:J28">[1]!'2405.TW-ID,Name,Price,PriceChangeRatio,Low,High,Volume,InOutRatioNumber,Capital,ProfitMargin'</f>
        <v>2405</v>
      </c>
      <c r="B28" t="str">
        <v>浩鑫</v>
      </c>
      <c r="C28">
        <v>14.5</v>
      </c>
      <c r="D28">
        <v>9.85</v>
      </c>
      <c r="E28">
        <v>13.5</v>
      </c>
      <c r="F28">
        <v>14.5</v>
      </c>
      <c r="G28">
        <v>38</v>
      </c>
      <c r="H28" t="str">
        <v>82.11%</v>
      </c>
      <c r="I28" t="str">
        <v>34.34</v>
      </c>
      <c r="J28" t="str">
        <v>39.88</v>
      </c>
      <c r="K28" t="str">
        <f t="array" ref="K28:T28">[1]!'2405.TW-OperatingProfitRatio,NetProfitMargin,TFXRatio,MonthlyNetSalesYoY,ReturnOnAssets,DividendYear,ProfitFourSeason,CashDividendYieldRate,StockNetValue,ExchangeIndustry'</f>
        <v>3.93</v>
      </c>
      <c r="L28" t="str">
        <v>1.68</v>
      </c>
      <c r="M28" t="str">
        <v>15.77</v>
      </c>
      <c r="N28" t="str">
        <v>29.78</v>
      </c>
      <c r="O28" t="str">
        <v>0.60</v>
      </c>
      <c r="P28">
        <v>0</v>
      </c>
      <c r="Q28" t="str">
        <v>0.29</v>
      </c>
      <c r="R28">
        <v>0</v>
      </c>
      <c r="S28" t="str">
        <v>9.87</v>
      </c>
      <c r="T28" t="str">
        <v>上市電腦及週邊設備</v>
      </c>
      <c r="U28">
        <f t="array" ref="U28:Z28">[1]!'2405.TW-PreTotalVolume,ChipsField25,ChipsField27,DateofMeetingofShareHolders,CompanyPos,TradingDate'</f>
        <v>1274</v>
      </c>
      <c r="V28" t="str">
        <v>--</v>
      </c>
      <c r="W28" t="str">
        <v>--</v>
      </c>
      <c r="X28" t="str">
        <v>2021/07/05</v>
      </c>
      <c r="Y28" t="str">
        <v>台灣準系統廠</v>
      </c>
      <c r="Z28" t="str">
        <v>2022/03/10</v>
      </c>
    </row>
    <row r="29" spans="1:26" x14ac:dyDescent="0.3">
      <c r="A29" t="str">
        <f t="array" ref="A29:J29">[1]!'5388.TW-ID,Name,Price,PriceChangeRatio,Low,High,Volume,InOutRatioNumber,Capital,ProfitMargin'</f>
        <v>5388</v>
      </c>
      <c r="B29" t="str">
        <v>中磊</v>
      </c>
      <c r="C29">
        <v>74.400000000000006</v>
      </c>
      <c r="D29">
        <v>6.9</v>
      </c>
      <c r="E29">
        <v>72.2</v>
      </c>
      <c r="F29">
        <v>74.5</v>
      </c>
      <c r="G29">
        <v>133</v>
      </c>
      <c r="H29" t="str">
        <v>58.03%</v>
      </c>
      <c r="I29" t="str">
        <v>25.24</v>
      </c>
      <c r="J29" t="str">
        <v>12.91</v>
      </c>
      <c r="K29" t="str">
        <f t="array" ref="K29:T29">[1]!'5388.TW-OperatingProfitRatio,NetProfitMargin,TFXRatio,MonthlyNetSalesYoY,ReturnOnAssets,DividendYear,ProfitFourSeason,CashDividendYieldRate,StockNetValue,ExchangeIndustry'</f>
        <v>2.40</v>
      </c>
      <c r="L29" t="str">
        <v>1.96</v>
      </c>
      <c r="M29" t="str">
        <v>-8.52</v>
      </c>
      <c r="N29" t="str">
        <v>19.92</v>
      </c>
      <c r="O29" t="str">
        <v>2.85</v>
      </c>
      <c r="P29">
        <v>2.4</v>
      </c>
      <c r="Q29" t="str">
        <v>3.44</v>
      </c>
      <c r="R29">
        <v>3.23</v>
      </c>
      <c r="S29" t="str">
        <v>32.68</v>
      </c>
      <c r="T29" t="str">
        <v>上市通信網路</v>
      </c>
      <c r="U29">
        <f t="array" ref="U29:Z29">[1]!'5388.TW-PreTotalVolume,ChipsField25,ChipsField27,DateofMeetingofShareHolders,CompanyPos,TradingDate'</f>
        <v>812</v>
      </c>
      <c r="V29" t="str">
        <v>--</v>
      </c>
      <c r="W29" t="str">
        <v>--</v>
      </c>
      <c r="X29" t="str">
        <v>2022/06/08</v>
      </c>
      <c r="Y29" t="str">
        <v>台灣寬頻及電信設備代工大廠</v>
      </c>
      <c r="Z29" t="str">
        <v>2022/03/10</v>
      </c>
    </row>
    <row r="30" spans="1:26" x14ac:dyDescent="0.3">
      <c r="A30" t="str">
        <f t="array" ref="A30:J30">[1]!'6477.TW-ID,Name,Price,PriceChangeRatio,Low,High,Volume,InOutRatioNumber,Capital,ProfitMargin'</f>
        <v>6477</v>
      </c>
      <c r="B30" t="str">
        <v>安集</v>
      </c>
      <c r="C30">
        <v>56.7</v>
      </c>
      <c r="D30">
        <v>-0.18</v>
      </c>
      <c r="E30">
        <v>55.8</v>
      </c>
      <c r="F30">
        <v>60.7</v>
      </c>
      <c r="G30">
        <v>2288</v>
      </c>
      <c r="H30" t="str">
        <v>45.17%</v>
      </c>
      <c r="I30" t="str">
        <v>11.46</v>
      </c>
      <c r="J30" t="str">
        <v>26.51</v>
      </c>
      <c r="K30" t="str">
        <f t="array" ref="K30:T30">[1]!'6477.TW-OperatingProfitRatio,NetProfitMargin,TFXRatio,MonthlyNetSalesYoY,ReturnOnAssets,DividendYear,ProfitFourSeason,CashDividendYieldRate,StockNetValue,ExchangeIndustry'</f>
        <v>17.64</v>
      </c>
      <c r="L30" t="str">
        <v>11.80</v>
      </c>
      <c r="M30" t="str">
        <v>-0.97</v>
      </c>
      <c r="N30" t="str">
        <v>341.97</v>
      </c>
      <c r="O30" t="str">
        <v>2.15</v>
      </c>
      <c r="P30">
        <v>0.52</v>
      </c>
      <c r="Q30" t="str">
        <v>1.23</v>
      </c>
      <c r="R30">
        <v>0.92</v>
      </c>
      <c r="S30" t="str">
        <v>23.51</v>
      </c>
      <c r="T30" t="str">
        <v>上市光電</v>
      </c>
      <c r="U30">
        <f t="array" ref="U30:Z30">[1]!'6477.TW-PreTotalVolume,ChipsField25,ChipsField27,DateofMeetingofShareHolders,CompanyPos,TradingDate'</f>
        <v>17276</v>
      </c>
      <c r="V30" t="str">
        <v>--</v>
      </c>
      <c r="W30" t="str">
        <v>--</v>
      </c>
      <c r="X30" t="str">
        <v>2022/05/26</v>
      </c>
      <c r="Y30" t="str">
        <v>台灣太陽能電池模組製造商</v>
      </c>
      <c r="Z30" t="str">
        <v>2022/03/10</v>
      </c>
    </row>
    <row r="31" spans="1:26" x14ac:dyDescent="0.3">
      <c r="A31" t="str">
        <f t="array" ref="A31:J31">[1]!'2731.TW-ID,Name,Price,PriceChangeRatio,Low,High,Volume,InOutRatioNumber,Capital,ProfitMargin'</f>
        <v>2731</v>
      </c>
      <c r="B31" t="str">
        <v>雄獅</v>
      </c>
      <c r="C31">
        <v>97.1</v>
      </c>
      <c r="D31">
        <v>0.52</v>
      </c>
      <c r="E31">
        <v>97.1</v>
      </c>
      <c r="F31">
        <v>104</v>
      </c>
      <c r="G31">
        <v>185</v>
      </c>
      <c r="H31" t="str">
        <v>48.70%</v>
      </c>
      <c r="I31" t="str">
        <v>7.53</v>
      </c>
      <c r="J31" t="str">
        <v>15.20</v>
      </c>
      <c r="K31" t="str">
        <f t="array" ref="K31:T31">[1]!'2731.TW-OperatingProfitRatio,NetProfitMargin,TFXRatio,MonthlyNetSalesYoY,ReturnOnAssets,DividendYear,ProfitFourSeason,CashDividendYieldRate,StockNetValue,ExchangeIndustry'</f>
        <v>-68.32</v>
      </c>
      <c r="L31" t="str">
        <v>-30.61</v>
      </c>
      <c r="M31" t="str">
        <v>29.86</v>
      </c>
      <c r="N31" t="str">
        <v>16.37</v>
      </c>
      <c r="O31" t="str">
        <v>-5.98</v>
      </c>
      <c r="P31">
        <v>0</v>
      </c>
      <c r="Q31" t="str">
        <v>-5.80</v>
      </c>
      <c r="R31">
        <v>0</v>
      </c>
      <c r="S31" t="str">
        <v>20.12</v>
      </c>
      <c r="T31" t="str">
        <v>上市觀光</v>
      </c>
      <c r="U31">
        <f t="array" ref="U31:Z31">[1]!'2731.TW-PreTotalVolume,ChipsField25,ChipsField27,DateofMeetingofShareHolders,CompanyPos,TradingDate'</f>
        <v>1009</v>
      </c>
      <c r="V31" t="str">
        <v>--</v>
      </c>
      <c r="W31" t="str">
        <v>--</v>
      </c>
      <c r="X31" t="str">
        <v>2021/08/26</v>
      </c>
      <c r="Y31" t="str">
        <v>台灣營收規模最大之綜合旅行社</v>
      </c>
      <c r="Z31" t="str">
        <v>2022/03/10</v>
      </c>
    </row>
    <row r="32" spans="1:26" x14ac:dyDescent="0.3">
      <c r="A32" t="str">
        <f t="array" ref="A32:J32">[1]!'5608.TW-ID,Name,Price,PriceChangeRatio,Low,High,Volume,InOutRatioNumber,Capital,ProfitMargin'</f>
        <v>5608</v>
      </c>
      <c r="B32" t="str">
        <v>四維航</v>
      </c>
      <c r="C32">
        <v>47.1</v>
      </c>
      <c r="D32">
        <v>4.43</v>
      </c>
      <c r="E32">
        <v>45.75</v>
      </c>
      <c r="F32">
        <v>49.55</v>
      </c>
      <c r="G32">
        <v>1757</v>
      </c>
      <c r="H32" t="str">
        <v>55.76%</v>
      </c>
      <c r="I32" t="str">
        <v>32.93</v>
      </c>
      <c r="J32" t="str">
        <v>46.68</v>
      </c>
      <c r="K32" t="str">
        <f t="array" ref="K32:T32">[1]!'5608.TW-OperatingProfitRatio,NetProfitMargin,TFXRatio,MonthlyNetSalesYoY,ReturnOnAssets,DividendYear,ProfitFourSeason,CashDividendYieldRate,StockNetValue,ExchangeIndustry'</f>
        <v>41.05</v>
      </c>
      <c r="L32" t="str">
        <v>34.58</v>
      </c>
      <c r="M32" t="str">
        <v>-11.82</v>
      </c>
      <c r="N32" t="str">
        <v>93.41</v>
      </c>
      <c r="O32" t="str">
        <v>9.26</v>
      </c>
      <c r="P32">
        <v>0</v>
      </c>
      <c r="Q32" t="str">
        <v>7.17</v>
      </c>
      <c r="R32">
        <v>0</v>
      </c>
      <c r="S32" t="str">
        <v>20.81</v>
      </c>
      <c r="T32" t="str">
        <v>上市航運業</v>
      </c>
      <c r="U32">
        <f t="array" ref="U32:Z32">[1]!'5608.TW-PreTotalVolume,ChipsField25,ChipsField27,DateofMeetingofShareHolders,CompanyPos,TradingDate'</f>
        <v>28219</v>
      </c>
      <c r="V32" t="str">
        <v>--</v>
      </c>
      <c r="W32" t="str">
        <v>--</v>
      </c>
      <c r="X32" t="str">
        <v>2021/08/26</v>
      </c>
      <c r="Y32" t="str">
        <v>以輕型散裝船為主的散裝航運業者</v>
      </c>
      <c r="Z32" t="str">
        <v>2022/03/10</v>
      </c>
    </row>
    <row r="33" spans="1:26" x14ac:dyDescent="0.3">
      <c r="A33" t="str">
        <f t="array" ref="A33:J33">[1]!'4739.TW-ID,Name,Price,PriceChangeRatio,Low,High,Volume,InOutRatioNumber,Capital,ProfitMargin'</f>
        <v>4739</v>
      </c>
      <c r="B33" t="str">
        <v>康普</v>
      </c>
      <c r="C33">
        <v>155</v>
      </c>
      <c r="D33">
        <v>1.31</v>
      </c>
      <c r="E33">
        <v>152</v>
      </c>
      <c r="F33">
        <v>164.5</v>
      </c>
      <c r="G33">
        <v>812</v>
      </c>
      <c r="H33" t="str">
        <v>49.12%</v>
      </c>
      <c r="I33" t="str">
        <v>10.70</v>
      </c>
      <c r="J33" t="str">
        <v>12.85</v>
      </c>
      <c r="K33" t="str">
        <f t="array" ref="K33:T33">[1]!'4739.TW-OperatingProfitRatio,NetProfitMargin,TFXRatio,MonthlyNetSalesYoY,ReturnOnAssets,DividendYear,ProfitFourSeason,CashDividendYieldRate,StockNetValue,ExchangeIndustry'</f>
        <v>7.96</v>
      </c>
      <c r="L33" t="str">
        <v>6.11</v>
      </c>
      <c r="M33" t="str">
        <v>1.38</v>
      </c>
      <c r="N33" t="str">
        <v>41.14</v>
      </c>
      <c r="O33" t="str">
        <v>5.37</v>
      </c>
      <c r="P33">
        <v>3</v>
      </c>
      <c r="Q33" t="str">
        <v>4.70</v>
      </c>
      <c r="R33">
        <v>1.94</v>
      </c>
      <c r="S33" t="str">
        <v>44.70</v>
      </c>
      <c r="T33" t="str">
        <v>上市化工</v>
      </c>
      <c r="U33">
        <f t="array" ref="U33:Z33">[1]!'4739.TW-PreTotalVolume,ChipsField25,ChipsField27,DateofMeetingofShareHolders,CompanyPos,TradingDate'</f>
        <v>10260</v>
      </c>
      <c r="V33" t="str">
        <v>--</v>
      </c>
      <c r="W33" t="str">
        <v>--</v>
      </c>
      <c r="X33" t="str">
        <v>2022/05/27</v>
      </c>
      <c r="Y33" t="str">
        <v>台灣特用化學材、電池材料、PTA氧化觸媒大廠</v>
      </c>
      <c r="Z33" t="str">
        <v>2022/03/10</v>
      </c>
    </row>
    <row r="34" spans="1:26" x14ac:dyDescent="0.3">
      <c r="A34" t="str">
        <f t="array" ref="A34:J34">[1]!'2641.TW-ID,Name,Price,PriceChangeRatio,Low,High,Volume,InOutRatioNumber,Capital,ProfitMargin'</f>
        <v>2641</v>
      </c>
      <c r="B34" t="str">
        <v>正德</v>
      </c>
      <c r="C34">
        <v>27.45</v>
      </c>
      <c r="D34">
        <v>2.23</v>
      </c>
      <c r="E34">
        <v>26.85</v>
      </c>
      <c r="F34">
        <v>29.1</v>
      </c>
      <c r="G34">
        <v>996</v>
      </c>
      <c r="H34" t="str">
        <v>51.80%</v>
      </c>
      <c r="I34" t="str">
        <v>19.01</v>
      </c>
      <c r="J34" t="str">
        <v>33.19</v>
      </c>
      <c r="K34" t="str">
        <f t="array" ref="K34:T34">[1]!'2641.TW-OperatingProfitRatio,NetProfitMargin,TFXRatio,MonthlyNetSalesYoY,ReturnOnAssets,DividendYear,ProfitFourSeason,CashDividendYieldRate,StockNetValue,ExchangeIndustry'</f>
        <v>25.14</v>
      </c>
      <c r="L34" t="str">
        <v>25.28</v>
      </c>
      <c r="M34" t="str">
        <v>-12.62</v>
      </c>
      <c r="N34" t="str">
        <v>91.55</v>
      </c>
      <c r="O34" t="str">
        <v>4.92</v>
      </c>
      <c r="P34">
        <v>0.8</v>
      </c>
      <c r="Q34" t="str">
        <v>1.50</v>
      </c>
      <c r="R34">
        <v>2.91</v>
      </c>
      <c r="S34" t="str">
        <v>14.52</v>
      </c>
      <c r="T34" t="str">
        <v>上櫃航運業</v>
      </c>
      <c r="U34">
        <f t="array" ref="U34:Z34">[1]!'2641.TW-PreTotalVolume,ChipsField25,ChipsField27,DateofMeetingofShareHolders,CompanyPos,TradingDate'</f>
        <v>11553</v>
      </c>
      <c r="V34" t="str">
        <v>--</v>
      </c>
      <c r="W34" t="str">
        <v>--</v>
      </c>
      <c r="X34" t="str">
        <v>2022/05/26</v>
      </c>
      <c r="Y34" t="str">
        <v>以亞洲近洋航線為主力之散裝航運業者</v>
      </c>
      <c r="Z34" t="str">
        <v>2022/03/10</v>
      </c>
    </row>
    <row r="35" spans="1:26" x14ac:dyDescent="0.3">
      <c r="A35" t="str">
        <f t="array" ref="A35:J35">[1]!'2601.TW-ID,Name,Price,PriceChangeRatio,Low,High,Volume,InOutRatioNumber,Capital,ProfitMargin'</f>
        <v>2601</v>
      </c>
      <c r="B35" t="str">
        <v>益航</v>
      </c>
      <c r="C35">
        <v>12.65</v>
      </c>
      <c r="D35">
        <v>2.4300000000000002</v>
      </c>
      <c r="E35">
        <v>12.5</v>
      </c>
      <c r="F35">
        <v>13.1</v>
      </c>
      <c r="G35">
        <v>693</v>
      </c>
      <c r="H35" t="str">
        <v>57.58%</v>
      </c>
      <c r="I35" t="str">
        <v>83.48</v>
      </c>
      <c r="J35" t="str">
        <v>61.85</v>
      </c>
      <c r="K35" t="str">
        <f t="array" ref="K35:T35">[1]!'2601.TW-OperatingProfitRatio,NetProfitMargin,TFXRatio,MonthlyNetSalesYoY,ReturnOnAssets,DividendYear,ProfitFourSeason,CashDividendYieldRate,StockNetValue,ExchangeIndustry'</f>
        <v>11.95</v>
      </c>
      <c r="L35" t="str">
        <v>1.31</v>
      </c>
      <c r="M35" t="str">
        <v>-26.21</v>
      </c>
      <c r="N35" t="str">
        <v>-7.63</v>
      </c>
      <c r="O35" t="str">
        <v>1.36</v>
      </c>
      <c r="P35">
        <v>0</v>
      </c>
      <c r="Q35" t="str">
        <v>0.14</v>
      </c>
      <c r="R35">
        <v>0</v>
      </c>
      <c r="S35" t="str">
        <v>11.83</v>
      </c>
      <c r="T35" t="str">
        <v>上市貿易百貨</v>
      </c>
      <c r="U35">
        <f t="array" ref="U35:Z35">[1]!'2601.TW-PreTotalVolume,ChipsField25,ChipsField27,DateofMeetingofShareHolders,CompanyPos,TradingDate'</f>
        <v>6833</v>
      </c>
      <c r="V35" t="str">
        <v>--</v>
      </c>
      <c r="W35" t="str">
        <v>--</v>
      </c>
      <c r="X35" t="str">
        <v>2021/07/30</v>
      </c>
      <c r="Y35" t="str">
        <v>從事散裝航運，在大陸持有大洋百貨</v>
      </c>
      <c r="Z35" t="str">
        <v>2022/03/10</v>
      </c>
    </row>
    <row r="36" spans="1:26" x14ac:dyDescent="0.3">
      <c r="A36" t="str">
        <f t="array" ref="A36:J36">[1]!'2477.TW-ID,Name,Price,PriceChangeRatio,Low,High,Volume,InOutRatioNumber,Capital,ProfitMargin'</f>
        <v>2477</v>
      </c>
      <c r="B36" t="str">
        <v>美隆電</v>
      </c>
      <c r="C36">
        <v>33.15</v>
      </c>
      <c r="D36">
        <v>6.94</v>
      </c>
      <c r="E36">
        <v>31.6</v>
      </c>
      <c r="F36">
        <v>33.25</v>
      </c>
      <c r="G36">
        <v>60</v>
      </c>
      <c r="H36" t="str">
        <v>65.39%</v>
      </c>
      <c r="I36" t="str">
        <v>19.82</v>
      </c>
      <c r="J36" t="str">
        <v>16.69</v>
      </c>
      <c r="K36" t="str">
        <f t="array" ref="K36:T36">[1]!'2477.TW-OperatingProfitRatio,NetProfitMargin,TFXRatio,MonthlyNetSalesYoY,ReturnOnAssets,DividendYear,ProfitFourSeason,CashDividendYieldRate,StockNetValue,ExchangeIndustry'</f>
        <v>-2.41</v>
      </c>
      <c r="L36" t="str">
        <v>61.12</v>
      </c>
      <c r="M36" t="str">
        <v>-57.91</v>
      </c>
      <c r="N36" t="str">
        <v>6.63</v>
      </c>
      <c r="O36" t="str">
        <v>16.81</v>
      </c>
      <c r="P36">
        <v>1.45</v>
      </c>
      <c r="Q36" t="str">
        <v>8.43</v>
      </c>
      <c r="R36">
        <v>4.37</v>
      </c>
      <c r="S36" t="str">
        <v>21.70</v>
      </c>
      <c r="T36" t="str">
        <v>上市其他電子</v>
      </c>
      <c r="U36">
        <f t="array" ref="U36:Z36">[1]!'2477.TW-PreTotalVolume,ChipsField25,ChipsField27,DateofMeetingofShareHolders,CompanyPos,TradingDate'</f>
        <v>609</v>
      </c>
      <c r="V36" t="str">
        <v>2021/08/10</v>
      </c>
      <c r="W36" t="str">
        <v>--</v>
      </c>
      <c r="X36" t="str">
        <v>2021/07/02</v>
      </c>
      <c r="Y36" t="str">
        <v>台灣最大音箱及揚聲器製造廠之一</v>
      </c>
      <c r="Z36" t="str">
        <v>2022/03/10</v>
      </c>
    </row>
    <row r="37" spans="1:26" x14ac:dyDescent="0.3">
      <c r="A37" t="str">
        <f t="array" ref="A37:J37">[1]!'9105.TW-ID,Name,Price,PriceChangeRatio,Low,High,Volume,InOutRatioNumber,Capital,ProfitMargin'</f>
        <v>9105</v>
      </c>
      <c r="B37" t="str">
        <v>泰金寶-DR</v>
      </c>
      <c r="C37">
        <v>4.59</v>
      </c>
      <c r="D37">
        <v>4.08</v>
      </c>
      <c r="E37">
        <v>4.51</v>
      </c>
      <c r="F37">
        <v>4.63</v>
      </c>
      <c r="G37">
        <v>269</v>
      </c>
      <c r="H37" t="str">
        <v>67.18%</v>
      </c>
      <c r="I37" t="str">
        <v>8.39</v>
      </c>
      <c r="J37" t="str">
        <v>5.54</v>
      </c>
      <c r="K37" t="str">
        <f t="array" ref="K37:T37">[1]!'9105.TW-OperatingProfitRatio,NetProfitMargin,TFXRatio,MonthlyNetSalesYoY,ReturnOnAssets,DividendYear,ProfitFourSeason,CashDividendYieldRate,StockNetValue,ExchangeIndustry'</f>
        <v>1.30</v>
      </c>
      <c r="L37" t="str">
        <v>0.68</v>
      </c>
      <c r="M37" t="str">
        <v>11.87</v>
      </c>
      <c r="N37" t="str">
        <v>33.95</v>
      </c>
      <c r="O37" t="str">
        <v>1.31</v>
      </c>
      <c r="P37">
        <v>0.11</v>
      </c>
      <c r="Q37" t="str">
        <v>0.09</v>
      </c>
      <c r="R37">
        <v>2.4</v>
      </c>
      <c r="S37" t="str">
        <v>3.04</v>
      </c>
      <c r="T37" t="str">
        <v>上市存託憑證</v>
      </c>
      <c r="U37">
        <f t="array" ref="U37:Z37">[1]!'9105.TW-PreTotalVolume,ChipsField25,ChipsField27,DateofMeetingofShareHolders,CompanyPos,TradingDate'</f>
        <v>3768</v>
      </c>
      <c r="V37" t="str">
        <v>2022/03/17</v>
      </c>
      <c r="W37" t="str">
        <v>2022/03/17</v>
      </c>
      <c r="X37" t="str">
        <v>2022/04/29</v>
      </c>
      <c r="Y37" t="str">
        <v>金仁寶集團旗下位於泰國電子代工廠</v>
      </c>
      <c r="Z37" t="str">
        <v>2022/03/10</v>
      </c>
    </row>
    <row r="38" spans="1:26" x14ac:dyDescent="0.3">
      <c r="A38" t="str">
        <f t="array" ref="A38:J38">[1]!'2617.TW-ID,Name,Price,PriceChangeRatio,Low,High,Volume,InOutRatioNumber,Capital,ProfitMargin'</f>
        <v>2617</v>
      </c>
      <c r="B38" t="str">
        <v>台航</v>
      </c>
      <c r="C38">
        <v>37.25</v>
      </c>
      <c r="D38">
        <v>3.62</v>
      </c>
      <c r="E38">
        <v>36.1</v>
      </c>
      <c r="F38">
        <v>39.1</v>
      </c>
      <c r="G38">
        <v>576</v>
      </c>
      <c r="H38" t="str">
        <v>53.42%</v>
      </c>
      <c r="I38" t="str">
        <v>41.73</v>
      </c>
      <c r="J38" t="str">
        <v>38.90</v>
      </c>
      <c r="K38" t="str">
        <f t="array" ref="K38:T38">[1]!'2617.TW-OperatingProfitRatio,NetProfitMargin,TFXRatio,MonthlyNetSalesYoY,ReturnOnAssets,DividendYear,ProfitFourSeason,CashDividendYieldRate,StockNetValue,ExchangeIndustry'</f>
        <v>34.19</v>
      </c>
      <c r="L38" t="str">
        <v>38.74</v>
      </c>
      <c r="M38" t="str">
        <v>-11.40</v>
      </c>
      <c r="N38" t="str">
        <v>19.69</v>
      </c>
      <c r="O38" t="str">
        <v>4.76</v>
      </c>
      <c r="P38">
        <v>0.9</v>
      </c>
      <c r="Q38" t="str">
        <v>2.57</v>
      </c>
      <c r="R38">
        <v>2.42</v>
      </c>
      <c r="S38" t="str">
        <v>35.45</v>
      </c>
      <c r="T38" t="str">
        <v>上市航運業</v>
      </c>
      <c r="U38">
        <f t="array" ref="U38:Z38">[1]!'2617.TW-PreTotalVolume,ChipsField25,ChipsField27,DateofMeetingofShareHolders,CompanyPos,TradingDate'</f>
        <v>7414</v>
      </c>
      <c r="V38" t="str">
        <v>2021/07/27</v>
      </c>
      <c r="W38" t="str">
        <v>--</v>
      </c>
      <c r="X38" t="str">
        <v>2021/07/12</v>
      </c>
      <c r="Y38" t="str">
        <v>大股東為中航之散裝航運業者</v>
      </c>
      <c r="Z38" t="str">
        <v>2022/03/10</v>
      </c>
    </row>
    <row r="39" spans="1:26" x14ac:dyDescent="0.3">
      <c r="A39" t="str">
        <f t="array" ref="A39:J39">[1]!'1476.TW-ID,Name,Price,PriceChangeRatio,Low,High,Volume,InOutRatioNumber,Capital,ProfitMargin'</f>
        <v>1476</v>
      </c>
      <c r="B39" t="str">
        <v>儒鴻</v>
      </c>
      <c r="C39">
        <v>453</v>
      </c>
      <c r="D39">
        <v>-9.94</v>
      </c>
      <c r="E39">
        <v>453</v>
      </c>
      <c r="F39">
        <v>500</v>
      </c>
      <c r="G39">
        <v>22</v>
      </c>
      <c r="H39" t="str">
        <v>21.00%</v>
      </c>
      <c r="I39" t="str">
        <v>27.44</v>
      </c>
      <c r="J39" t="str">
        <v>26.43</v>
      </c>
      <c r="K39" t="str">
        <f t="array" ref="K39:T39">[1]!'1476.TW-OperatingProfitRatio,NetProfitMargin,TFXRatio,MonthlyNetSalesYoY,ReturnOnAssets,DividendYear,ProfitFourSeason,CashDividendYieldRate,StockNetValue,ExchangeIndustry'</f>
        <v>17.81</v>
      </c>
      <c r="L39" t="str">
        <v>14.33</v>
      </c>
      <c r="M39" t="str">
        <v>-24.70</v>
      </c>
      <c r="N39" t="str">
        <v>19.26</v>
      </c>
      <c r="O39" t="str">
        <v>18.54</v>
      </c>
      <c r="P39">
        <v>12</v>
      </c>
      <c r="Q39" t="str">
        <v>18.77</v>
      </c>
      <c r="R39">
        <v>2.65</v>
      </c>
      <c r="S39" t="str">
        <v>77.08</v>
      </c>
      <c r="T39" t="str">
        <v>上市紡織纖維</v>
      </c>
      <c r="U39">
        <f t="array" ref="U39:Z39">[1]!'1476.TW-PreTotalVolume,ChipsField25,ChipsField27,DateofMeetingofShareHolders,CompanyPos,TradingDate'</f>
        <v>1475</v>
      </c>
      <c r="V39" t="str">
        <v>--</v>
      </c>
      <c r="W39" t="str">
        <v>--</v>
      </c>
      <c r="X39" t="str">
        <v>2022/06/14</v>
      </c>
      <c r="Y39" t="str">
        <v>台灣最大針織布及第二大成衣代工廠</v>
      </c>
      <c r="Z39" t="str">
        <v>2022/03/10</v>
      </c>
    </row>
    <row r="40" spans="1:26" x14ac:dyDescent="0.3">
      <c r="A40" t="str">
        <f t="array" ref="A40:J40">[1]!'1597.TW-ID,Name,Price,PriceChangeRatio,Low,High,Volume,InOutRatioNumber,Capital,ProfitMargin'</f>
        <v>1597</v>
      </c>
      <c r="B40" t="str">
        <v>直得</v>
      </c>
      <c r="C40">
        <v>94.5</v>
      </c>
      <c r="D40">
        <v>7.88</v>
      </c>
      <c r="E40">
        <v>88.3</v>
      </c>
      <c r="F40">
        <v>94.8</v>
      </c>
      <c r="G40">
        <v>72</v>
      </c>
      <c r="H40" t="str">
        <v>60.96%</v>
      </c>
      <c r="I40" t="str">
        <v>8.12</v>
      </c>
      <c r="J40" t="str">
        <v>41.67</v>
      </c>
      <c r="K40" t="str">
        <f t="array" ref="K40:T40">[1]!'1597.TW-OperatingProfitRatio,NetProfitMargin,TFXRatio,MonthlyNetSalesYoY,ReturnOnAssets,DividendYear,ProfitFourSeason,CashDividendYieldRate,StockNetValue,ExchangeIndustry'</f>
        <v>26.03</v>
      </c>
      <c r="L40" t="str">
        <v>16.63</v>
      </c>
      <c r="M40" t="str">
        <v>-9.74</v>
      </c>
      <c r="N40" t="str">
        <v>-8.67</v>
      </c>
      <c r="O40" t="str">
        <v>8.60</v>
      </c>
      <c r="P40">
        <v>2.5</v>
      </c>
      <c r="Q40" t="str">
        <v>3.82</v>
      </c>
      <c r="R40">
        <v>2.65</v>
      </c>
      <c r="S40" t="str">
        <v>28.31</v>
      </c>
      <c r="T40" t="str">
        <v>上市電機機械</v>
      </c>
      <c r="U40">
        <f t="array" ref="U40:Z40">[1]!'1597.TW-PreTotalVolume,ChipsField25,ChipsField27,DateofMeetingofShareHolders,CompanyPos,TradingDate'</f>
        <v>835</v>
      </c>
      <c r="V40" t="str">
        <v>--</v>
      </c>
      <c r="W40" t="str">
        <v>--</v>
      </c>
      <c r="X40" t="str">
        <v>2022/05/27</v>
      </c>
      <c r="Y40" t="str">
        <v>全球前3大微型線性滑軌元件廠商</v>
      </c>
      <c r="Z40" t="str">
        <v>2022/03/10</v>
      </c>
    </row>
    <row r="41" spans="1:26" x14ac:dyDescent="0.3">
      <c r="A41" t="str">
        <f t="array" ref="A41:J41">[1]!'2029.TW-ID,Name,Price,PriceChangeRatio,Low,High,Volume,InOutRatioNumber,Capital,ProfitMargin'</f>
        <v>2029</v>
      </c>
      <c r="B41" t="str">
        <v>盛餘</v>
      </c>
      <c r="C41">
        <v>32.75</v>
      </c>
      <c r="D41">
        <v>4.47</v>
      </c>
      <c r="E41">
        <v>31.5</v>
      </c>
      <c r="F41">
        <v>32.799999999999997</v>
      </c>
      <c r="G41">
        <v>100</v>
      </c>
      <c r="H41" t="str">
        <v>67.91%</v>
      </c>
      <c r="I41" t="str">
        <v>32.12</v>
      </c>
      <c r="J41" t="str">
        <v>15.24</v>
      </c>
      <c r="K41" t="str">
        <f t="array" ref="K41:T41">[1]!'2029.TW-OperatingProfitRatio,NetProfitMargin,TFXRatio,MonthlyNetSalesYoY,ReturnOnAssets,DividendYear,ProfitFourSeason,CashDividendYieldRate,StockNetValue,ExchangeIndustry'</f>
        <v>11.12</v>
      </c>
      <c r="L41" t="str">
        <v>9.22</v>
      </c>
      <c r="M41" t="str">
        <v>-13.12</v>
      </c>
      <c r="N41" t="str">
        <v>1.47</v>
      </c>
      <c r="O41" t="str">
        <v>9.08</v>
      </c>
      <c r="P41">
        <v>0.5</v>
      </c>
      <c r="Q41" t="str">
        <v>3.59</v>
      </c>
      <c r="R41">
        <v>1.53</v>
      </c>
      <c r="S41" t="str">
        <v>30.00</v>
      </c>
      <c r="T41" t="str">
        <v>上市鋼鐵</v>
      </c>
      <c r="U41">
        <f t="array" ref="U41:Z41">[1]!'2029.TW-PreTotalVolume,ChipsField25,ChipsField27,DateofMeetingofShareHolders,CompanyPos,TradingDate'</f>
        <v>823</v>
      </c>
      <c r="V41" t="str">
        <v>2021/07/14</v>
      </c>
      <c r="W41" t="str">
        <v>--</v>
      </c>
      <c r="X41" t="str">
        <v>2021/08/06</v>
      </c>
      <c r="Y41" t="str">
        <v>台灣鍍面一貫化處理鋼捲製造商</v>
      </c>
      <c r="Z41" t="str">
        <v>2022/03/10</v>
      </c>
    </row>
    <row r="42" spans="1:26" x14ac:dyDescent="0.3">
      <c r="A42" t="str">
        <f t="array" ref="A42:J42">[1]!'3558.TW-ID,Name,Price,PriceChangeRatio,Low,High,Volume,InOutRatioNumber,Capital,ProfitMargin'</f>
        <v>3558</v>
      </c>
      <c r="B42" t="str">
        <v>神準</v>
      </c>
      <c r="C42">
        <v>119</v>
      </c>
      <c r="D42">
        <v>2.59</v>
      </c>
      <c r="E42">
        <v>117.5</v>
      </c>
      <c r="F42">
        <v>124</v>
      </c>
      <c r="G42">
        <v>42</v>
      </c>
      <c r="H42" t="str">
        <v>55.26%</v>
      </c>
      <c r="I42" t="str">
        <v>4.91</v>
      </c>
      <c r="J42" t="str">
        <v>18.73</v>
      </c>
      <c r="K42" t="str">
        <f t="array" ref="K42:T42">[1]!'3558.TW-OperatingProfitRatio,NetProfitMargin,TFXRatio,MonthlyNetSalesYoY,ReturnOnAssets,DividendYear,ProfitFourSeason,CashDividendYieldRate,StockNetValue,ExchangeIndustry'</f>
        <v>5.71</v>
      </c>
      <c r="L42" t="str">
        <v>5.78</v>
      </c>
      <c r="M42" t="str">
        <v>-20.13</v>
      </c>
      <c r="N42" t="str">
        <v>33.48</v>
      </c>
      <c r="O42" t="str">
        <v>7.37</v>
      </c>
      <c r="P42">
        <v>0</v>
      </c>
      <c r="Q42" t="str">
        <v>9.16</v>
      </c>
      <c r="R42">
        <v>0</v>
      </c>
      <c r="S42" t="str">
        <v>65.00</v>
      </c>
      <c r="T42" t="str">
        <v>上櫃通信網路</v>
      </c>
      <c r="U42">
        <f t="array" ref="U42:Z42">[1]!'3558.TW-PreTotalVolume,ChipsField25,ChipsField27,DateofMeetingofShareHolders,CompanyPos,TradingDate'</f>
        <v>364</v>
      </c>
      <c r="V42" t="str">
        <v>--</v>
      </c>
      <c r="W42" t="str">
        <v>--</v>
      </c>
      <c r="X42" t="str">
        <v>2022/06/17</v>
      </c>
      <c r="Y42" t="str">
        <v>神腦轉投資的無線網路設備大廠</v>
      </c>
      <c r="Z42" t="str">
        <v>2022/03/10</v>
      </c>
    </row>
    <row r="43" spans="1:26" x14ac:dyDescent="0.3">
      <c r="A43" t="str">
        <f t="array" ref="A43:J43">[1]!'6150.TW-ID,Name,Price,PriceChangeRatio,Low,High,Volume,InOutRatioNumber,Capital,ProfitMargin'</f>
        <v>6150</v>
      </c>
      <c r="B43" t="str">
        <v>撼訊</v>
      </c>
      <c r="C43">
        <v>154</v>
      </c>
      <c r="D43">
        <v>4.76</v>
      </c>
      <c r="E43">
        <v>153</v>
      </c>
      <c r="F43">
        <v>161.5</v>
      </c>
      <c r="G43">
        <v>156</v>
      </c>
      <c r="H43" t="str">
        <v>54.92%</v>
      </c>
      <c r="I43" t="str">
        <v>4.83</v>
      </c>
      <c r="J43" t="str">
        <v>20.98</v>
      </c>
      <c r="K43" t="str">
        <f t="array" ref="K43:T43">[1]!'6150.TW-OperatingProfitRatio,NetProfitMargin,TFXRatio,MonthlyNetSalesYoY,ReturnOnAssets,DividendYear,ProfitFourSeason,CashDividendYieldRate,StockNetValue,ExchangeIndustry'</f>
        <v>14.94</v>
      </c>
      <c r="L43" t="str">
        <v>11.87</v>
      </c>
      <c r="M43" t="str">
        <v>-17.00</v>
      </c>
      <c r="N43" t="str">
        <v>165.48</v>
      </c>
      <c r="O43" t="str">
        <v>20.62</v>
      </c>
      <c r="P43">
        <v>0.5</v>
      </c>
      <c r="Q43" t="str">
        <v>15.41</v>
      </c>
      <c r="R43">
        <v>0.32</v>
      </c>
      <c r="S43" t="str">
        <v>33.64</v>
      </c>
      <c r="T43" t="str">
        <v>上櫃電腦及週邊設備</v>
      </c>
      <c r="U43">
        <f t="array" ref="U43:Z43">[1]!'6150.TW-PreTotalVolume,ChipsField25,ChipsField27,DateofMeetingofShareHolders,CompanyPos,TradingDate'</f>
        <v>1517</v>
      </c>
      <c r="V43" t="str">
        <v>2021/08/09</v>
      </c>
      <c r="W43" t="str">
        <v>--</v>
      </c>
      <c r="X43" t="str">
        <v>2021/07/22</v>
      </c>
      <c r="Y43" t="str">
        <v>以Power Color品牌行銷全球之第三大繪圖卡供應商</v>
      </c>
      <c r="Z43" t="str">
        <v>2022/03/10</v>
      </c>
    </row>
    <row r="44" spans="1:26" x14ac:dyDescent="0.3">
      <c r="A44" t="str">
        <f t="array" ref="A44:J44">[1]!'6664.TW-ID,Name,Price,PriceChangeRatio,Low,High,Volume,InOutRatioNumber,Capital,ProfitMargin'</f>
        <v>6664</v>
      </c>
      <c r="B44" t="str">
        <v>群翊</v>
      </c>
      <c r="C44">
        <v>90.2</v>
      </c>
      <c r="D44">
        <v>1.01</v>
      </c>
      <c r="E44">
        <v>89</v>
      </c>
      <c r="F44">
        <v>93</v>
      </c>
      <c r="G44">
        <v>12</v>
      </c>
      <c r="H44" t="str">
        <v>55.02%</v>
      </c>
      <c r="I44" t="str">
        <v>5.50</v>
      </c>
      <c r="J44" t="str">
        <v>39.88</v>
      </c>
      <c r="K44" t="str">
        <f t="array" ref="K44:T44">[1]!'6664.TW-OperatingProfitRatio,NetProfitMargin,TFXRatio,MonthlyNetSalesYoY,ReturnOnAssets,DividendYear,ProfitFourSeason,CashDividendYieldRate,StockNetValue,ExchangeIndustry'</f>
        <v>24.56</v>
      </c>
      <c r="L44" t="str">
        <v>17.60</v>
      </c>
      <c r="M44" t="str">
        <v>-24.73</v>
      </c>
      <c r="N44" t="str">
        <v>1.38</v>
      </c>
      <c r="O44" t="str">
        <v>8.57</v>
      </c>
      <c r="P44">
        <v>4.9000000000000004</v>
      </c>
      <c r="Q44" t="str">
        <v>6.12</v>
      </c>
      <c r="R44">
        <v>5.43</v>
      </c>
      <c r="S44" t="str">
        <v>36.47</v>
      </c>
      <c r="T44" t="str">
        <v>上櫃電子零組件</v>
      </c>
      <c r="U44">
        <f t="array" ref="U44:Z44">[1]!'6664.TW-PreTotalVolume,ChipsField25,ChipsField27,DateofMeetingofShareHolders,CompanyPos,TradingDate'</f>
        <v>372</v>
      </c>
      <c r="V44" t="str">
        <v>--</v>
      </c>
      <c r="W44" t="str">
        <v>--</v>
      </c>
      <c r="X44" t="str">
        <v>2022/05/27</v>
      </c>
      <c r="Y44" t="str">
        <v>專業的PCB及光電產業乾製程設備製造商</v>
      </c>
      <c r="Z44" t="str">
        <v>2022/03/10</v>
      </c>
    </row>
    <row r="45" spans="1:26" x14ac:dyDescent="0.3">
      <c r="A45" t="str">
        <f t="array" ref="A45:J45">[1]!'2743.TW-ID,Name,Price,PriceChangeRatio,Low,High,Volume,InOutRatioNumber,Capital,ProfitMargin'</f>
        <v>2743</v>
      </c>
      <c r="B45" t="str">
        <v>山富</v>
      </c>
      <c r="C45">
        <v>36.9</v>
      </c>
      <c r="D45">
        <v>4.38</v>
      </c>
      <c r="E45">
        <v>36</v>
      </c>
      <c r="F45">
        <v>38.65</v>
      </c>
      <c r="G45">
        <v>26</v>
      </c>
      <c r="H45" t="str">
        <v>54.40%</v>
      </c>
      <c r="I45" t="str">
        <v>3.20</v>
      </c>
      <c r="J45" t="str">
        <v>21.69</v>
      </c>
      <c r="K45" t="str">
        <f t="array" ref="K45:T45">[1]!'2743.TW-OperatingProfitRatio,NetProfitMargin,TFXRatio,MonthlyNetSalesYoY,ReturnOnAssets,DividendYear,ProfitFourSeason,CashDividendYieldRate,StockNetValue,ExchangeIndustry'</f>
        <v>-53.60</v>
      </c>
      <c r="L45" t="str">
        <v>-29.40</v>
      </c>
      <c r="M45" t="str">
        <v>63.55</v>
      </c>
      <c r="N45" t="str">
        <v>43.32</v>
      </c>
      <c r="O45" t="str">
        <v>-5.49</v>
      </c>
      <c r="P45">
        <v>0</v>
      </c>
      <c r="Q45" t="str">
        <v>-1.01</v>
      </c>
      <c r="R45">
        <v>0</v>
      </c>
      <c r="S45" t="str">
        <v>15.02</v>
      </c>
      <c r="T45" t="str">
        <v>上櫃觀光</v>
      </c>
      <c r="U45">
        <f t="array" ref="U45:Z45">[1]!'2743.TW-PreTotalVolume,ChipsField25,ChipsField27,DateofMeetingofShareHolders,CompanyPos,TradingDate'</f>
        <v>488</v>
      </c>
      <c r="V45" t="str">
        <v>--</v>
      </c>
      <c r="W45" t="str">
        <v>--</v>
      </c>
      <c r="X45" t="str">
        <v>2021/07/22</v>
      </c>
      <c r="Y45" t="str">
        <v>年出團達12000團以上之知名旅行社</v>
      </c>
      <c r="Z45" t="str">
        <v>2022/03/10</v>
      </c>
    </row>
    <row r="46" spans="1:26" x14ac:dyDescent="0.3">
      <c r="A46" t="str">
        <f t="array" ref="A46:J46">[1]!'1467.TW-ID,Name,Price,PriceChangeRatio,Low,High,Volume,InOutRatioNumber,Capital,ProfitMargin'</f>
        <v>1467</v>
      </c>
      <c r="B46" t="str">
        <v>南緯</v>
      </c>
      <c r="C46">
        <v>14.2</v>
      </c>
      <c r="D46">
        <v>-3.07</v>
      </c>
      <c r="E46">
        <v>14.2</v>
      </c>
      <c r="F46">
        <v>14.9</v>
      </c>
      <c r="G46">
        <v>144</v>
      </c>
      <c r="H46" t="str">
        <v>33.37%</v>
      </c>
      <c r="I46" t="str">
        <v>23.36</v>
      </c>
      <c r="J46" t="str">
        <v>20.77</v>
      </c>
      <c r="K46" t="str">
        <f t="array" ref="K46:T46">[1]!'1467.TW-OperatingProfitRatio,NetProfitMargin,TFXRatio,MonthlyNetSalesYoY,ReturnOnAssets,DividendYear,ProfitFourSeason,CashDividendYieldRate,StockNetValue,ExchangeIndustry'</f>
        <v>1.44</v>
      </c>
      <c r="L46" t="str">
        <v>-1.55</v>
      </c>
      <c r="M46" t="str">
        <v>-9.25</v>
      </c>
      <c r="N46" t="str">
        <v>-20.28</v>
      </c>
      <c r="O46" t="str">
        <v>-0.32</v>
      </c>
      <c r="P46">
        <v>0.7</v>
      </c>
      <c r="Q46" t="str">
        <v>0.02</v>
      </c>
      <c r="R46">
        <v>4.93</v>
      </c>
      <c r="S46" t="str">
        <v>12.45</v>
      </c>
      <c r="T46" t="str">
        <v>上市紡織纖維</v>
      </c>
      <c r="U46">
        <f t="array" ref="U46:Z46">[1]!'1467.TW-PreTotalVolume,ChipsField25,ChipsField27,DateofMeetingofShareHolders,CompanyPos,TradingDate'</f>
        <v>1040</v>
      </c>
      <c r="V46" t="str">
        <v>2021/09/13</v>
      </c>
      <c r="W46" t="str">
        <v>--</v>
      </c>
      <c r="X46" t="str">
        <v>2021/07/12</v>
      </c>
      <c r="Y46" t="str">
        <v>為品牌大廠代工及與Wal-mart合作的成衣廠</v>
      </c>
      <c r="Z46" t="str">
        <v>2022/03/10</v>
      </c>
    </row>
    <row r="47" spans="1:26" x14ac:dyDescent="0.3">
      <c r="A47" t="str">
        <f t="array" ref="A47:J47">[1]!'6111.TW-ID,Name,Price,PriceChangeRatio,Low,High,Volume,InOutRatioNumber,Capital,ProfitMargin'</f>
        <v>6111</v>
      </c>
      <c r="B47" t="str">
        <v>大宇資</v>
      </c>
      <c r="C47">
        <v>93.5</v>
      </c>
      <c r="D47">
        <v>4.82</v>
      </c>
      <c r="E47">
        <v>90.2</v>
      </c>
      <c r="F47">
        <v>97</v>
      </c>
      <c r="G47">
        <v>94</v>
      </c>
      <c r="H47" t="str">
        <v>57.62%</v>
      </c>
      <c r="I47" t="str">
        <v>6.56</v>
      </c>
      <c r="J47" t="str">
        <v>84.53</v>
      </c>
      <c r="K47" t="str">
        <f t="array" ref="K47:T47">[1]!'6111.TW-OperatingProfitRatio,NetProfitMargin,TFXRatio,MonthlyNetSalesYoY,ReturnOnAssets,DividendYear,ProfitFourSeason,CashDividendYieldRate,StockNetValue,ExchangeIndustry'</f>
        <v>19.70</v>
      </c>
      <c r="L47" t="str">
        <v>-6.20</v>
      </c>
      <c r="M47" t="str">
        <v>-63.92</v>
      </c>
      <c r="N47" t="str">
        <v>240.76</v>
      </c>
      <c r="O47" t="str">
        <v>-1.05</v>
      </c>
      <c r="P47">
        <v>0</v>
      </c>
      <c r="Q47" t="str">
        <v>0.13</v>
      </c>
      <c r="R47">
        <v>0</v>
      </c>
      <c r="S47" t="str">
        <v>13.40</v>
      </c>
      <c r="T47" t="str">
        <v>上櫃文化創意</v>
      </c>
      <c r="U47">
        <f t="array" ref="U47:Z47">[1]!'6111.TW-PreTotalVolume,ChipsField25,ChipsField27,DateofMeetingofShareHolders,CompanyPos,TradingDate'</f>
        <v>1064</v>
      </c>
      <c r="V47" t="str">
        <v>--</v>
      </c>
      <c r="W47" t="str">
        <v>--</v>
      </c>
      <c r="X47" t="str">
        <v>2022/05/27</v>
      </c>
      <c r="Y47" t="str">
        <v>台灣以自有品牌自創產品之線上遊戲開發商</v>
      </c>
      <c r="Z47" t="str">
        <v>2022/03/10</v>
      </c>
    </row>
    <row r="48" spans="1:26" x14ac:dyDescent="0.3">
      <c r="A48" t="str">
        <f t="array" ref="A48:J48">[1]!'3526.TW-ID,Name,Price,PriceChangeRatio,Low,High,Volume,InOutRatioNumber,Capital,ProfitMargin'</f>
        <v>3526</v>
      </c>
      <c r="B48" t="str">
        <v>凡甲</v>
      </c>
      <c r="C48">
        <v>196</v>
      </c>
      <c r="D48">
        <v>5.09</v>
      </c>
      <c r="E48">
        <v>188.5</v>
      </c>
      <c r="F48">
        <v>200.5</v>
      </c>
      <c r="G48">
        <v>110</v>
      </c>
      <c r="H48" t="str">
        <v>58.17%</v>
      </c>
      <c r="I48" t="str">
        <v>5.85</v>
      </c>
      <c r="J48" t="str">
        <v>46.50</v>
      </c>
      <c r="K48" t="str">
        <f t="array" ref="K48:T48">[1]!'3526.TW-OperatingProfitRatio,NetProfitMargin,TFXRatio,MonthlyNetSalesYoY,ReturnOnAssets,DividendYear,ProfitFourSeason,CashDividendYieldRate,StockNetValue,ExchangeIndustry'</f>
        <v>26.73</v>
      </c>
      <c r="L48" t="str">
        <v>24.54</v>
      </c>
      <c r="M48" t="str">
        <v>-26.40</v>
      </c>
      <c r="N48" t="str">
        <v>29.68</v>
      </c>
      <c r="O48" t="str">
        <v>13.05</v>
      </c>
      <c r="P48">
        <v>11.16</v>
      </c>
      <c r="Q48" t="str">
        <v>9.74</v>
      </c>
      <c r="R48">
        <v>5.69</v>
      </c>
      <c r="S48" t="str">
        <v>39.26</v>
      </c>
      <c r="T48" t="str">
        <v>上櫃電子零組件</v>
      </c>
      <c r="U48">
        <f t="array" ref="U48:Z48">[1]!'3526.TW-PreTotalVolume,ChipsField25,ChipsField27,DateofMeetingofShareHolders,CompanyPos,TradingDate'</f>
        <v>1444</v>
      </c>
      <c r="V48" t="str">
        <v>--</v>
      </c>
      <c r="W48" t="str">
        <v>--</v>
      </c>
      <c r="X48" t="str">
        <v>2022/06/23</v>
      </c>
      <c r="Y48" t="str">
        <v>以NB為主要應用的連接器廠</v>
      </c>
      <c r="Z48" t="str">
        <v>2022/03/10</v>
      </c>
    </row>
    <row r="49" spans="1:26" x14ac:dyDescent="0.3">
      <c r="A49" t="str">
        <f t="array" ref="A49:J49">[1]!'8450.TW-ID,Name,Price,PriceChangeRatio,Low,High,Volume,InOutRatioNumber,Capital,ProfitMargin'</f>
        <v>8450</v>
      </c>
      <c r="B49" t="str">
        <v>霹靂</v>
      </c>
      <c r="C49">
        <v>37.950000000000003</v>
      </c>
      <c r="D49">
        <v>5.42</v>
      </c>
      <c r="E49">
        <v>36.5</v>
      </c>
      <c r="F49">
        <v>39.5</v>
      </c>
      <c r="G49">
        <v>75</v>
      </c>
      <c r="H49" t="str">
        <v>52.06%</v>
      </c>
      <c r="I49" t="str">
        <v>5.13</v>
      </c>
      <c r="J49" t="str">
        <v>4.35</v>
      </c>
      <c r="K49" t="str">
        <f t="array" ref="K49:T49">[1]!'8450.TW-OperatingProfitRatio,NetProfitMargin,TFXRatio,MonthlyNetSalesYoY,ReturnOnAssets,DividendYear,ProfitFourSeason,CashDividendYieldRate,StockNetValue,ExchangeIndustry'</f>
        <v>-55.05</v>
      </c>
      <c r="L49" t="str">
        <v>-55.76</v>
      </c>
      <c r="M49" t="str">
        <v>3.66</v>
      </c>
      <c r="N49" t="str">
        <v>22.68</v>
      </c>
      <c r="O49" t="str">
        <v>-13.65</v>
      </c>
      <c r="P49">
        <v>0</v>
      </c>
      <c r="Q49" t="str">
        <v>-4.60</v>
      </c>
      <c r="R49">
        <v>0</v>
      </c>
      <c r="S49" t="str">
        <v>22.10</v>
      </c>
      <c r="T49" t="str">
        <v>上櫃文化創意</v>
      </c>
      <c r="U49">
        <f t="array" ref="U49:Z49">[1]!'8450.TW-PreTotalVolume,ChipsField25,ChipsField27,DateofMeetingofShareHolders,CompanyPos,TradingDate'</f>
        <v>557</v>
      </c>
      <c r="V49" t="str">
        <v>--</v>
      </c>
      <c r="W49" t="str">
        <v>--</v>
      </c>
      <c r="X49" t="str">
        <v>2022/05/27</v>
      </c>
      <c r="Y49" t="str">
        <v>台灣布袋戲文創業者</v>
      </c>
      <c r="Z49" t="str">
        <v>2022/03/10</v>
      </c>
    </row>
    <row r="50" spans="1:26" x14ac:dyDescent="0.3">
      <c r="A50" t="str">
        <f t="array" ref="A50:J50">[1]!'1773.TW-ID,Name,Price,PriceChangeRatio,Low,High,Volume,InOutRatioNumber,Capital,ProfitMargin'</f>
        <v>1773</v>
      </c>
      <c r="B50" t="str">
        <v>勝一</v>
      </c>
      <c r="C50">
        <v>202.5</v>
      </c>
      <c r="D50">
        <v>6.58</v>
      </c>
      <c r="E50">
        <v>194.5</v>
      </c>
      <c r="F50">
        <v>203</v>
      </c>
      <c r="G50">
        <v>67</v>
      </c>
      <c r="H50" t="str">
        <v>63.84%</v>
      </c>
      <c r="I50" t="str">
        <v>20.00</v>
      </c>
      <c r="J50" t="str">
        <v>28.11</v>
      </c>
      <c r="K50" t="str">
        <f t="array" ref="K50:T50">[1]!'1773.TW-OperatingProfitRatio,NetProfitMargin,TFXRatio,MonthlyNetSalesYoY,ReturnOnAssets,DividendYear,ProfitFourSeason,CashDividendYieldRate,StockNetValue,ExchangeIndustry'</f>
        <v>17.12</v>
      </c>
      <c r="L50" t="str">
        <v>14.51</v>
      </c>
      <c r="M50" t="str">
        <v>-16.03</v>
      </c>
      <c r="N50" t="str">
        <v>30.48</v>
      </c>
      <c r="O50" t="str">
        <v>16.88</v>
      </c>
      <c r="P50">
        <v>5.5</v>
      </c>
      <c r="Q50" t="str">
        <v>8.51</v>
      </c>
      <c r="R50">
        <v>2.72</v>
      </c>
      <c r="S50" t="str">
        <v>33.92</v>
      </c>
      <c r="T50" t="str">
        <v>上市化工</v>
      </c>
      <c r="U50">
        <f t="array" ref="U50:Z50">[1]!'1773.TW-PreTotalVolume,ChipsField25,ChipsField27,DateofMeetingofShareHolders,CompanyPos,TradingDate'</f>
        <v>781</v>
      </c>
      <c r="V50" t="str">
        <v>--</v>
      </c>
      <c r="W50" t="str">
        <v>--</v>
      </c>
      <c r="X50" t="str">
        <v>2022/05/25</v>
      </c>
      <c r="Y50" t="str">
        <v>台灣第2大溶劑廠商</v>
      </c>
      <c r="Z50" t="str">
        <v>2022/03/10</v>
      </c>
    </row>
    <row r="51" spans="1:26" x14ac:dyDescent="0.3">
      <c r="A51" t="str">
        <f t="array" ref="A51:J51">[1]!'1711.TW-ID,Name,Price,PriceChangeRatio,Low,High,Volume,InOutRatioNumber,Capital,ProfitMargin'</f>
        <v>1711</v>
      </c>
      <c r="B51" t="str">
        <v>永光</v>
      </c>
      <c r="C51">
        <v>26.45</v>
      </c>
      <c r="D51">
        <v>4.34</v>
      </c>
      <c r="E51">
        <v>25.75</v>
      </c>
      <c r="F51">
        <v>26.6</v>
      </c>
      <c r="G51">
        <v>194</v>
      </c>
      <c r="H51" t="str">
        <v>58.86%</v>
      </c>
      <c r="I51" t="str">
        <v>54.78</v>
      </c>
      <c r="J51" t="str">
        <v>24.49</v>
      </c>
      <c r="K51" t="str">
        <f t="array" ref="K51:T51">[1]!'1711.TW-OperatingProfitRatio,NetProfitMargin,TFXRatio,MonthlyNetSalesYoY,ReturnOnAssets,DividendYear,ProfitFourSeason,CashDividendYieldRate,StockNetValue,ExchangeIndustry'</f>
        <v>7.08</v>
      </c>
      <c r="L51" t="str">
        <v>5.90</v>
      </c>
      <c r="M51" t="str">
        <v>-24.29</v>
      </c>
      <c r="N51" t="str">
        <v>6.13</v>
      </c>
      <c r="O51" t="str">
        <v>3.20</v>
      </c>
      <c r="P51">
        <v>0</v>
      </c>
      <c r="Q51" t="str">
        <v>0.88</v>
      </c>
      <c r="R51">
        <v>0</v>
      </c>
      <c r="S51" t="str">
        <v>15.80</v>
      </c>
      <c r="T51" t="str">
        <v>上市化工</v>
      </c>
      <c r="U51">
        <f t="array" ref="U51:Z51">[1]!'1711.TW-PreTotalVolume,ChipsField25,ChipsField27,DateofMeetingofShareHolders,CompanyPos,TradingDate'</f>
        <v>2774</v>
      </c>
      <c r="V51" t="str">
        <v>--</v>
      </c>
      <c r="W51" t="str">
        <v>--</v>
      </c>
      <c r="X51" t="str">
        <v>2022/05/26</v>
      </c>
      <c r="Y51" t="str">
        <v>全球前五大、亞洲最大染料廠</v>
      </c>
      <c r="Z51" t="str">
        <v>2022/03/10</v>
      </c>
    </row>
    <row r="52" spans="1:26" x14ac:dyDescent="0.3">
      <c r="A52" t="str">
        <f t="array" ref="A52:J52">[1]!'4722.TW-ID,Name,Price,PriceChangeRatio,Low,High,Volume,InOutRatioNumber,Capital,ProfitMargin'</f>
        <v>4722</v>
      </c>
      <c r="B52" t="str">
        <v>國精化</v>
      </c>
      <c r="C52">
        <v>43.1</v>
      </c>
      <c r="D52">
        <v>-0.81</v>
      </c>
      <c r="E52">
        <v>42.65</v>
      </c>
      <c r="F52">
        <v>44.8</v>
      </c>
      <c r="G52">
        <v>39</v>
      </c>
      <c r="H52" t="str">
        <v>37.14%</v>
      </c>
      <c r="I52" t="str">
        <v>10.00</v>
      </c>
      <c r="J52" t="str">
        <v>20.82</v>
      </c>
      <c r="K52" t="str">
        <f t="array" ref="K52:T52">[1]!'4722.TW-OperatingProfitRatio,NetProfitMargin,TFXRatio,MonthlyNetSalesYoY,ReturnOnAssets,DividendYear,ProfitFourSeason,CashDividendYieldRate,StockNetValue,ExchangeIndustry'</f>
        <v>9.69</v>
      </c>
      <c r="L52" t="str">
        <v>7.61</v>
      </c>
      <c r="M52" t="str">
        <v>-27.47</v>
      </c>
      <c r="N52" t="str">
        <v>30.18</v>
      </c>
      <c r="O52" t="str">
        <v>9.41</v>
      </c>
      <c r="P52">
        <v>2.2000000000000002</v>
      </c>
      <c r="Q52" t="str">
        <v>3.75</v>
      </c>
      <c r="R52">
        <v>5.0999999999999996</v>
      </c>
      <c r="S52" t="str">
        <v>27.83</v>
      </c>
      <c r="T52" t="str">
        <v>上市化工</v>
      </c>
      <c r="U52">
        <f t="array" ref="U52:Z52">[1]!'4722.TW-PreTotalVolume,ChipsField25,ChipsField27,DateofMeetingofShareHolders,CompanyPos,TradingDate'</f>
        <v>999</v>
      </c>
      <c r="V52" t="str">
        <v>--</v>
      </c>
      <c r="W52" t="str">
        <v>--</v>
      </c>
      <c r="X52" t="str">
        <v>2022/05/30</v>
      </c>
      <c r="Y52" t="str">
        <v>台灣不飽和聚酯樹脂大廠</v>
      </c>
      <c r="Z52" t="str">
        <v>2022/03/10</v>
      </c>
    </row>
    <row r="53" spans="1:26" x14ac:dyDescent="0.3">
      <c r="A53" t="str">
        <f t="array" ref="A53:J53">[1]!'8261.TW-ID,Name,Price,PriceChangeRatio,Low,High,Volume,InOutRatioNumber,Capital,ProfitMargin'</f>
        <v>8261</v>
      </c>
      <c r="B53" t="str">
        <v>富鼎</v>
      </c>
      <c r="C53">
        <v>105</v>
      </c>
      <c r="D53">
        <v>3.45</v>
      </c>
      <c r="E53">
        <v>103.5</v>
      </c>
      <c r="F53">
        <v>105.5</v>
      </c>
      <c r="G53">
        <v>104</v>
      </c>
      <c r="H53" t="str">
        <v>62.10%</v>
      </c>
      <c r="I53" t="str">
        <v>8.13</v>
      </c>
      <c r="J53" t="str">
        <v>29.75</v>
      </c>
      <c r="K53" t="str">
        <f t="array" ref="K53:T53">[1]!'8261.TW-OperatingProfitRatio,NetProfitMargin,TFXRatio,MonthlyNetSalesYoY,ReturnOnAssets,DividendYear,ProfitFourSeason,CashDividendYieldRate,StockNetValue,ExchangeIndustry'</f>
        <v>19.72</v>
      </c>
      <c r="L53" t="str">
        <v>15.50</v>
      </c>
      <c r="M53" t="str">
        <v>-6.28</v>
      </c>
      <c r="N53" t="str">
        <v>28.08</v>
      </c>
      <c r="O53" t="str">
        <v>20.75</v>
      </c>
      <c r="P53">
        <v>6</v>
      </c>
      <c r="Q53" t="str">
        <v>8.03</v>
      </c>
      <c r="R53">
        <v>5.71</v>
      </c>
      <c r="S53" t="str">
        <v>27.12</v>
      </c>
      <c r="T53" t="str">
        <v>上市半導體</v>
      </c>
      <c r="U53">
        <f t="array" ref="U53:Z53">[1]!'8261.TW-PreTotalVolume,ChipsField25,ChipsField27,DateofMeetingofShareHolders,CompanyPos,TradingDate'</f>
        <v>1044</v>
      </c>
      <c r="V53" t="str">
        <v>--</v>
      </c>
      <c r="W53" t="str">
        <v>--</v>
      </c>
      <c r="X53" t="str">
        <v>2022/04/13</v>
      </c>
      <c r="Y53" t="str">
        <v>與全球電晶體大廠IR合作之類比IC設計公司</v>
      </c>
      <c r="Z53" t="str">
        <v>2022/03/10</v>
      </c>
    </row>
    <row r="54" spans="1:26" x14ac:dyDescent="0.3">
      <c r="A54" t="str">
        <f t="array" ref="A54:J54">[1]!'4931.TW-ID,Name,Price,PriceChangeRatio,Low,High,Volume,InOutRatioNumber,Capital,ProfitMargin'</f>
        <v>4931</v>
      </c>
      <c r="B54" t="str">
        <v>新盛力</v>
      </c>
      <c r="C54">
        <v>26.85</v>
      </c>
      <c r="D54">
        <v>1.51</v>
      </c>
      <c r="E54">
        <v>26.6</v>
      </c>
      <c r="F54">
        <v>28.5</v>
      </c>
      <c r="G54">
        <v>73</v>
      </c>
      <c r="H54" t="str">
        <v>44.26%</v>
      </c>
      <c r="I54" t="str">
        <v>6.44</v>
      </c>
      <c r="J54" t="str">
        <v>13.08</v>
      </c>
      <c r="K54" t="str">
        <f t="array" ref="K54:T54">[1]!'4931.TW-OperatingProfitRatio,NetProfitMargin,TFXRatio,MonthlyNetSalesYoY,ReturnOnAssets,DividendYear,ProfitFourSeason,CashDividendYieldRate,StockNetValue,ExchangeIndustry'</f>
        <v>-2.50</v>
      </c>
      <c r="L54" t="str">
        <v>-2.38</v>
      </c>
      <c r="M54" t="str">
        <v>-41.99</v>
      </c>
      <c r="N54" t="str">
        <v>54.81</v>
      </c>
      <c r="O54" t="str">
        <v>-1.61</v>
      </c>
      <c r="P54">
        <v>0.89</v>
      </c>
      <c r="Q54" t="str">
        <v>-0.14</v>
      </c>
      <c r="R54">
        <v>3.31</v>
      </c>
      <c r="S54" t="str">
        <v>14.20</v>
      </c>
      <c r="T54" t="str">
        <v>上櫃電腦及週邊設備</v>
      </c>
      <c r="U54">
        <f t="array" ref="U54:Z54">[1]!'4931.TW-PreTotalVolume,ChipsField25,ChipsField27,DateofMeetingofShareHolders,CompanyPos,TradingDate'</f>
        <v>1234</v>
      </c>
      <c r="V54" t="str">
        <v>2021/09/28</v>
      </c>
      <c r="W54" t="str">
        <v>--</v>
      </c>
      <c r="X54" t="str">
        <v>2021/08/27</v>
      </c>
      <c r="Y54" t="str">
        <v>台灣鋰電池模組之生產商</v>
      </c>
      <c r="Z54" t="str">
        <v>2022/03/10</v>
      </c>
    </row>
    <row r="55" spans="1:26" x14ac:dyDescent="0.3">
      <c r="A55" t="str">
        <f t="array" ref="A55:J55">[1]!'1560.TW-ID,Name,Price,PriceChangeRatio,Low,High,Volume,InOutRatioNumber,Capital,ProfitMargin'</f>
        <v>1560</v>
      </c>
      <c r="B55" t="str">
        <v>中砂</v>
      </c>
      <c r="C55">
        <v>119.5</v>
      </c>
      <c r="D55">
        <v>9.6300000000000008</v>
      </c>
      <c r="E55">
        <v>113</v>
      </c>
      <c r="F55">
        <v>119.5</v>
      </c>
      <c r="G55">
        <v>20</v>
      </c>
      <c r="H55" t="str">
        <v>75.58%</v>
      </c>
      <c r="I55" t="str">
        <v>14.28</v>
      </c>
      <c r="J55" t="str">
        <v>30.90</v>
      </c>
      <c r="K55" t="str">
        <f t="array" ref="K55:T55">[1]!'1560.TW-OperatingProfitRatio,NetProfitMargin,TFXRatio,MonthlyNetSalesYoY,ReturnOnAssets,DividendYear,ProfitFourSeason,CashDividendYieldRate,StockNetValue,ExchangeIndustry'</f>
        <v>15.49</v>
      </c>
      <c r="L55" t="str">
        <v>11.97</v>
      </c>
      <c r="M55" t="str">
        <v>-0.09</v>
      </c>
      <c r="N55" t="str">
        <v>12.88</v>
      </c>
      <c r="O55" t="str">
        <v>7.69</v>
      </c>
      <c r="P55">
        <v>0</v>
      </c>
      <c r="Q55" t="str">
        <v>4.78</v>
      </c>
      <c r="R55">
        <v>0</v>
      </c>
      <c r="S55" t="str">
        <v>33.29</v>
      </c>
      <c r="T55" t="str">
        <v>上市電機機械</v>
      </c>
      <c r="U55">
        <f t="array" ref="U55:Z55">[1]!'1560.TW-PreTotalVolume,ChipsField25,ChipsField27,DateofMeetingofShareHolders,CompanyPos,TradingDate'</f>
        <v>4175</v>
      </c>
      <c r="V55" t="str">
        <v>--</v>
      </c>
      <c r="W55" t="str">
        <v>--</v>
      </c>
      <c r="X55" t="str">
        <v>2022/06/22</v>
      </c>
      <c r="Y55" t="str">
        <v>台灣從事砂輪及再生晶圓生產製造廠商</v>
      </c>
      <c r="Z55" t="str">
        <v>2022/03/10</v>
      </c>
    </row>
    <row r="56" spans="1:26" x14ac:dyDescent="0.3">
      <c r="A56" t="str">
        <f t="array" ref="A56:J56">[1]!'8016.TW-ID,Name,Price,PriceChangeRatio,Low,High,Volume,InOutRatioNumber,Capital,ProfitMargin'</f>
        <v>8016</v>
      </c>
      <c r="B56" t="str">
        <v>矽創</v>
      </c>
      <c r="C56">
        <v>307</v>
      </c>
      <c r="D56">
        <v>3.54</v>
      </c>
      <c r="E56">
        <v>301</v>
      </c>
      <c r="F56">
        <v>314</v>
      </c>
      <c r="G56">
        <v>143</v>
      </c>
      <c r="H56" t="str">
        <v>53.11%</v>
      </c>
      <c r="I56" t="str">
        <v>12.01</v>
      </c>
      <c r="J56" t="str">
        <v>54.77</v>
      </c>
      <c r="K56" t="str">
        <f t="array" ref="K56:T56">[1]!'8016.TW-OperatingProfitRatio,NetProfitMargin,TFXRatio,MonthlyNetSalesYoY,ReturnOnAssets,DividendYear,ProfitFourSeason,CashDividendYieldRate,StockNetValue,ExchangeIndustry'</f>
        <v>35.99</v>
      </c>
      <c r="L56" t="str">
        <v>31.29</v>
      </c>
      <c r="M56" t="str">
        <v>-2.60</v>
      </c>
      <c r="N56" t="str">
        <v>71.63</v>
      </c>
      <c r="O56" t="str">
        <v>29.98</v>
      </c>
      <c r="P56">
        <v>7.5</v>
      </c>
      <c r="Q56" t="str">
        <v>39.28</v>
      </c>
      <c r="R56">
        <v>2.44</v>
      </c>
      <c r="S56" t="str">
        <v>82.89</v>
      </c>
      <c r="T56" t="str">
        <v>上市半導體</v>
      </c>
      <c r="U56">
        <f t="array" ref="U56:Z56">[1]!'8016.TW-PreTotalVolume,ChipsField25,ChipsField27,DateofMeetingofShareHolders,CompanyPos,TradingDate'</f>
        <v>2269</v>
      </c>
      <c r="V56" t="str">
        <v>2021/07/15</v>
      </c>
      <c r="W56" t="str">
        <v>--</v>
      </c>
      <c r="X56" t="str">
        <v>2021/07/27</v>
      </c>
      <c r="Y56" t="str">
        <v>台灣感測元件及顯示屏驅動IC廠</v>
      </c>
      <c r="Z56" t="str">
        <v>2022/03/10</v>
      </c>
    </row>
    <row r="57" spans="1:26" x14ac:dyDescent="0.3">
      <c r="A57" t="str">
        <f t="array" ref="A57:J57">[1]!'2369.TW-ID,Name,Price,PriceChangeRatio,Low,High,Volume,InOutRatioNumber,Capital,ProfitMargin'</f>
        <v>2369</v>
      </c>
      <c r="B57" t="str">
        <v>菱生</v>
      </c>
      <c r="C57">
        <v>22.9</v>
      </c>
      <c r="D57">
        <v>3.15</v>
      </c>
      <c r="E57">
        <v>22.7</v>
      </c>
      <c r="F57">
        <v>23.15</v>
      </c>
      <c r="G57">
        <v>292</v>
      </c>
      <c r="H57" t="str">
        <v>44.95%</v>
      </c>
      <c r="I57" t="str">
        <v>38.01</v>
      </c>
      <c r="J57" t="str">
        <v>18.92</v>
      </c>
      <c r="K57" t="str">
        <f t="array" ref="K57:T57">[1]!'2369.TW-OperatingProfitRatio,NetProfitMargin,TFXRatio,MonthlyNetSalesYoY,ReturnOnAssets,DividendYear,ProfitFourSeason,CashDividendYieldRate,StockNetValue,ExchangeIndustry'</f>
        <v>11.27</v>
      </c>
      <c r="L57" t="str">
        <v>10.96</v>
      </c>
      <c r="M57" t="str">
        <v>-13.12</v>
      </c>
      <c r="N57" t="str">
        <v>5.57</v>
      </c>
      <c r="O57" t="str">
        <v>7.65</v>
      </c>
      <c r="P57">
        <v>0</v>
      </c>
      <c r="Q57" t="str">
        <v>1.45</v>
      </c>
      <c r="R57">
        <v>0</v>
      </c>
      <c r="S57" t="str">
        <v>14.85</v>
      </c>
      <c r="T57" t="str">
        <v>上市半導體</v>
      </c>
      <c r="U57">
        <f t="array" ref="U57:Z57">[1]!'2369.TW-PreTotalVolume,ChipsField25,ChipsField27,DateofMeetingofShareHolders,CompanyPos,TradingDate'</f>
        <v>1902</v>
      </c>
      <c r="V57" t="str">
        <v>--</v>
      </c>
      <c r="W57" t="str">
        <v>--</v>
      </c>
      <c r="X57" t="str">
        <v>2021/08/26</v>
      </c>
      <c r="Y57" t="str">
        <v>客戶以類比IC為主的小型封裝廠</v>
      </c>
      <c r="Z57" t="str">
        <v>2022/03/10</v>
      </c>
    </row>
    <row r="58" spans="1:26" x14ac:dyDescent="0.3">
      <c r="A58" t="str">
        <f t="array" ref="A58:J58">[1]!'3583.TW-ID,Name,Price,PriceChangeRatio,Low,High,Volume,InOutRatioNumber,Capital,ProfitMargin'</f>
        <v>3583</v>
      </c>
      <c r="B58" t="str">
        <v>辛耘</v>
      </c>
      <c r="C58">
        <v>85.1</v>
      </c>
      <c r="D58">
        <v>3.28</v>
      </c>
      <c r="E58">
        <v>84.5</v>
      </c>
      <c r="F58">
        <v>87.3</v>
      </c>
      <c r="G58">
        <v>118</v>
      </c>
      <c r="H58" t="str">
        <v>51.23%</v>
      </c>
      <c r="I58" t="str">
        <v>8.11</v>
      </c>
      <c r="J58" t="str">
        <v>36.45</v>
      </c>
      <c r="K58" t="str">
        <f t="array" ref="K58:T58">[1]!'3583.TW-OperatingProfitRatio,NetProfitMargin,TFXRatio,MonthlyNetSalesYoY,ReturnOnAssets,DividendYear,ProfitFourSeason,CashDividendYieldRate,StockNetValue,ExchangeIndustry'</f>
        <v>11.85</v>
      </c>
      <c r="L58" t="str">
        <v>8.97</v>
      </c>
      <c r="M58" t="str">
        <v>2.77</v>
      </c>
      <c r="N58" t="str">
        <v>77.09</v>
      </c>
      <c r="O58" t="str">
        <v>6.44</v>
      </c>
      <c r="P58">
        <v>2.5</v>
      </c>
      <c r="Q58" t="str">
        <v>5.23</v>
      </c>
      <c r="R58">
        <v>2.94</v>
      </c>
      <c r="S58" t="str">
        <v>38.95</v>
      </c>
      <c r="T58" t="str">
        <v>上市半導體</v>
      </c>
      <c r="U58">
        <f t="array" ref="U58:Z58">[1]!'3583.TW-PreTotalVolume,ChipsField25,ChipsField27,DateofMeetingofShareHolders,CompanyPos,TradingDate'</f>
        <v>851</v>
      </c>
      <c r="V58" t="str">
        <v>2022/06/23</v>
      </c>
      <c r="W58" t="str">
        <v>--</v>
      </c>
      <c r="X58" t="str">
        <v>2022/06/16</v>
      </c>
      <c r="Y58" t="str">
        <v>半導體製程設備及再生晶圓廠商</v>
      </c>
      <c r="Z58" t="str">
        <v>2022/03/10</v>
      </c>
    </row>
    <row r="59" spans="1:26" x14ac:dyDescent="0.3">
      <c r="A59" t="str">
        <f t="array" ref="A59:J59">[1]!'3665.TW-ID,Name,Price,PriceChangeRatio,Low,High,Volume,InOutRatioNumber,Capital,ProfitMargin'</f>
        <v>3665</v>
      </c>
      <c r="B59" t="str">
        <v>貿聯-KY</v>
      </c>
      <c r="C59">
        <v>309</v>
      </c>
      <c r="D59">
        <v>5.82</v>
      </c>
      <c r="E59">
        <v>295.5</v>
      </c>
      <c r="F59">
        <v>317</v>
      </c>
      <c r="G59">
        <v>202</v>
      </c>
      <c r="H59" t="str">
        <v>56.37%</v>
      </c>
      <c r="I59" t="str">
        <v>15.25</v>
      </c>
      <c r="J59" t="str">
        <v>23.27</v>
      </c>
      <c r="K59" t="str">
        <f t="array" ref="K59:T59">[1]!'3665.TW-OperatingProfitRatio,NetProfitMargin,TFXRatio,MonthlyNetSalesYoY,ReturnOnAssets,DividendYear,ProfitFourSeason,CashDividendYieldRate,StockNetValue,ExchangeIndustry'</f>
        <v>9.18</v>
      </c>
      <c r="L59" t="str">
        <v>7.09</v>
      </c>
      <c r="M59" t="str">
        <v>26.65</v>
      </c>
      <c r="N59" t="str">
        <v>121.01</v>
      </c>
      <c r="O59" t="str">
        <v>6.55</v>
      </c>
      <c r="P59">
        <v>8.1</v>
      </c>
      <c r="Q59" t="str">
        <v>15.51</v>
      </c>
      <c r="R59">
        <v>2.62</v>
      </c>
      <c r="S59" t="str">
        <v>102.98</v>
      </c>
      <c r="T59" t="str">
        <v>上市其他電子</v>
      </c>
      <c r="U59">
        <f t="array" ref="U59:Z59">[1]!'3665.TW-PreTotalVolume,ChipsField25,ChipsField27,DateofMeetingofShareHolders,CompanyPos,TradingDate'</f>
        <v>2589</v>
      </c>
      <c r="V59" t="str">
        <v>2021/07/08</v>
      </c>
      <c r="W59" t="str">
        <v>--</v>
      </c>
      <c r="X59" t="str">
        <v>2021/07/05</v>
      </c>
      <c r="Y59" t="str">
        <v>Tesla電池線束主力供應商</v>
      </c>
      <c r="Z59" t="str">
        <v>2022/03/10</v>
      </c>
    </row>
    <row r="60" spans="1:26" x14ac:dyDescent="0.3">
      <c r="A60" t="str">
        <f t="array" ref="A60:J60">[1]!'2538.TW-ID,Name,Price,PriceChangeRatio,Low,High,Volume,InOutRatioNumber,Capital,ProfitMargin'</f>
        <v>2538</v>
      </c>
      <c r="B60" t="str">
        <v>基泰</v>
      </c>
      <c r="C60">
        <v>12.15</v>
      </c>
      <c r="D60">
        <v>0</v>
      </c>
      <c r="E60">
        <v>12.15</v>
      </c>
      <c r="F60">
        <v>12.4</v>
      </c>
      <c r="G60">
        <v>7</v>
      </c>
      <c r="H60" t="str">
        <v>28.60%</v>
      </c>
      <c r="I60" t="str">
        <v>43.84</v>
      </c>
      <c r="J60" t="str">
        <v>57.93</v>
      </c>
      <c r="K60" t="str">
        <f t="array" ref="K60:T60">[1]!'2538.TW-OperatingProfitRatio,NetProfitMargin,TFXRatio,MonthlyNetSalesYoY,ReturnOnAssets,DividendYear,ProfitFourSeason,CashDividendYieldRate,StockNetValue,ExchangeIndustry'</f>
        <v>-23.03</v>
      </c>
      <c r="L60" t="str">
        <v>-68.86</v>
      </c>
      <c r="M60" t="str">
        <v>8.65</v>
      </c>
      <c r="N60" t="str">
        <v>-31.36</v>
      </c>
      <c r="O60" t="str">
        <v>-0.25</v>
      </c>
      <c r="P60">
        <v>0.5</v>
      </c>
      <c r="Q60" t="str">
        <v>-0.36</v>
      </c>
      <c r="R60">
        <v>4.12</v>
      </c>
      <c r="S60" t="str">
        <v>13.49</v>
      </c>
      <c r="T60" t="str">
        <v>上市建材營造</v>
      </c>
      <c r="U60">
        <f t="array" ref="U60:Z60">[1]!'2538.TW-PreTotalVolume,ChipsField25,ChipsField27,DateofMeetingofShareHolders,CompanyPos,TradingDate'</f>
        <v>519</v>
      </c>
      <c r="V60" t="str">
        <v>2021/08/17</v>
      </c>
      <c r="W60" t="str">
        <v>--</v>
      </c>
      <c r="X60" t="str">
        <v>2021/07/29</v>
      </c>
      <c r="Y60" t="str">
        <v>推案集中於大台北地區之建商</v>
      </c>
      <c r="Z60" t="str">
        <v>2022/03/10</v>
      </c>
    </row>
    <row r="61" spans="1:26" x14ac:dyDescent="0.3">
      <c r="A61" t="str">
        <f t="array" ref="A61:J61">[1]!'2108.TW-ID,Name,Price,PriceChangeRatio,Low,High,Volume,InOutRatioNumber,Capital,ProfitMargin'</f>
        <v>2108</v>
      </c>
      <c r="B61" t="str">
        <v>南帝</v>
      </c>
      <c r="C61">
        <v>81.3</v>
      </c>
      <c r="D61">
        <v>6.27</v>
      </c>
      <c r="E61">
        <v>80.2</v>
      </c>
      <c r="F61">
        <v>82</v>
      </c>
      <c r="G61">
        <v>378</v>
      </c>
      <c r="H61" t="str">
        <v>56.42%</v>
      </c>
      <c r="I61" t="str">
        <v>49.24</v>
      </c>
      <c r="J61" t="str">
        <v>52.05</v>
      </c>
      <c r="K61" t="str">
        <f t="array" ref="K61:T61">[1]!'2108.TW-OperatingProfitRatio,NetProfitMargin,TFXRatio,MonthlyNetSalesYoY,ReturnOnAssets,DividendYear,ProfitFourSeason,CashDividendYieldRate,StockNetValue,ExchangeIndustry'</f>
        <v>42.15</v>
      </c>
      <c r="L61" t="str">
        <v>31.87</v>
      </c>
      <c r="M61" t="str">
        <v>-12.07</v>
      </c>
      <c r="N61" t="str">
        <v>-50.18</v>
      </c>
      <c r="O61" t="str">
        <v>42.65</v>
      </c>
      <c r="P61">
        <v>7</v>
      </c>
      <c r="Q61" t="str">
        <v>14.92</v>
      </c>
      <c r="R61">
        <v>8.61</v>
      </c>
      <c r="S61" t="str">
        <v>32.91</v>
      </c>
      <c r="T61" t="str">
        <v>上市橡膠</v>
      </c>
      <c r="U61">
        <f t="array" ref="U61:Z61">[1]!'2108.TW-PreTotalVolume,ChipsField25,ChipsField27,DateofMeetingofShareHolders,CompanyPos,TradingDate'</f>
        <v>5607</v>
      </c>
      <c r="V61" t="str">
        <v>2022/03/24</v>
      </c>
      <c r="W61" t="str">
        <v>--</v>
      </c>
      <c r="X61" t="str">
        <v>2022/05/26</v>
      </c>
      <c r="Y61" t="str">
        <v>全球前五大NBR乳膠廠</v>
      </c>
      <c r="Z61" t="str">
        <v>2022/03/10</v>
      </c>
    </row>
    <row r="62" spans="1:26" x14ac:dyDescent="0.3">
      <c r="A62" t="str">
        <f t="array" ref="A62:J62">[1]!'5258.TW-ID,Name,Price,PriceChangeRatio,Low,High,Volume,InOutRatioNumber,Capital,ProfitMargin'</f>
        <v>5258</v>
      </c>
      <c r="B62" t="str">
        <v>虹堡</v>
      </c>
      <c r="C62">
        <v>38.1</v>
      </c>
      <c r="D62">
        <v>3.25</v>
      </c>
      <c r="E62">
        <v>37.6</v>
      </c>
      <c r="F62">
        <v>39.15</v>
      </c>
      <c r="G62">
        <v>75</v>
      </c>
      <c r="H62" t="str">
        <v>43.64%</v>
      </c>
      <c r="I62" t="str">
        <v>8.95</v>
      </c>
      <c r="J62" t="str">
        <v>27.41</v>
      </c>
      <c r="K62" t="str">
        <f t="array" ref="K62:T62">[1]!'5258.TW-OperatingProfitRatio,NetProfitMargin,TFXRatio,MonthlyNetSalesYoY,ReturnOnAssets,DividendYear,ProfitFourSeason,CashDividendYieldRate,StockNetValue,ExchangeIndustry'</f>
        <v>5.54</v>
      </c>
      <c r="L62" t="str">
        <v>4.11</v>
      </c>
      <c r="M62" t="str">
        <v>-20.34</v>
      </c>
      <c r="N62" t="str">
        <v>144.56</v>
      </c>
      <c r="O62" t="str">
        <v>3.33</v>
      </c>
      <c r="P62">
        <v>0.6</v>
      </c>
      <c r="Q62" t="str">
        <v>1.94</v>
      </c>
      <c r="R62">
        <v>1.57</v>
      </c>
      <c r="S62" t="str">
        <v>16.98</v>
      </c>
      <c r="T62" t="str">
        <v>上市電腦及週邊設備</v>
      </c>
      <c r="U62">
        <f t="array" ref="U62:Z62">[1]!'5258.TW-PreTotalVolume,ChipsField25,ChipsField27,DateofMeetingofShareHolders,CompanyPos,TradingDate'</f>
        <v>870</v>
      </c>
      <c r="V62" t="str">
        <v>2021/11/23</v>
      </c>
      <c r="W62" t="str">
        <v>--</v>
      </c>
      <c r="X62" t="str">
        <v>2021/08/24</v>
      </c>
      <c r="Y62" t="str">
        <v>台灣POS設備製造商</v>
      </c>
      <c r="Z62" t="str">
        <v>2022/03/10</v>
      </c>
    </row>
    <row r="63" spans="1:26" x14ac:dyDescent="0.3">
      <c r="A63" t="str">
        <f t="array" ref="A63:J63">[1]!'5905.TW-ID,Name,Price,PriceChangeRatio,Low,High,Volume,InOutRatioNumber,Capital,ProfitMargin'</f>
        <v>5905</v>
      </c>
      <c r="B63" t="str">
        <v>南仁湖</v>
      </c>
      <c r="C63">
        <v>14.05</v>
      </c>
      <c r="D63">
        <v>-1.06</v>
      </c>
      <c r="E63">
        <v>14.05</v>
      </c>
      <c r="F63">
        <v>14.6</v>
      </c>
      <c r="G63">
        <v>105</v>
      </c>
      <c r="H63" t="str">
        <v>41.18%</v>
      </c>
      <c r="I63" t="str">
        <v>18.98</v>
      </c>
      <c r="J63" t="str">
        <v>63.44</v>
      </c>
      <c r="K63" t="str">
        <f t="array" ref="K63:T63">[1]!'5905.TW-OperatingProfitRatio,NetProfitMargin,TFXRatio,MonthlyNetSalesYoY,ReturnOnAssets,DividendYear,ProfitFourSeason,CashDividendYieldRate,StockNetValue,ExchangeIndustry'</f>
        <v>-41.14</v>
      </c>
      <c r="L63" t="str">
        <v>-25.66</v>
      </c>
      <c r="M63" t="str">
        <v>24.62</v>
      </c>
      <c r="N63" t="str">
        <v>-11.56</v>
      </c>
      <c r="O63" t="str">
        <v>-2.84</v>
      </c>
      <c r="P63">
        <v>0.2</v>
      </c>
      <c r="Q63" t="str">
        <v>-0.60</v>
      </c>
      <c r="R63">
        <v>1.42</v>
      </c>
      <c r="S63" t="str">
        <v>11.79</v>
      </c>
      <c r="T63" t="str">
        <v>上櫃貿易百貨</v>
      </c>
      <c r="U63">
        <f t="array" ref="U63:Z63">[1]!'5905.TW-PreTotalVolume,ChipsField25,ChipsField27,DateofMeetingofShareHolders,CompanyPos,TradingDate'</f>
        <v>526</v>
      </c>
      <c r="V63" t="str">
        <v>2021/09/10</v>
      </c>
      <c r="W63" t="str">
        <v>--</v>
      </c>
      <c r="X63" t="str">
        <v>2021/08/27</v>
      </c>
      <c r="Y63" t="str">
        <v>高速公路休息站及海生館、小墾丁渡假村之經營業者</v>
      </c>
      <c r="Z63" t="str">
        <v>2022/03/10</v>
      </c>
    </row>
    <row r="64" spans="1:26" x14ac:dyDescent="0.3">
      <c r="A64" t="str">
        <f t="array" ref="A64:J64">[1]!'2314.TW-ID,Name,Price,PriceChangeRatio,Low,High,Volume,InOutRatioNumber,Capital,ProfitMargin'</f>
        <v>2314</v>
      </c>
      <c r="B64" t="str">
        <v>台揚</v>
      </c>
      <c r="C64">
        <v>57.6</v>
      </c>
      <c r="D64">
        <v>5.88</v>
      </c>
      <c r="E64">
        <v>55.3</v>
      </c>
      <c r="F64">
        <v>58.7</v>
      </c>
      <c r="G64">
        <v>23</v>
      </c>
      <c r="H64" t="str">
        <v>59.38%</v>
      </c>
      <c r="I64" t="str">
        <v>23.80</v>
      </c>
      <c r="J64" t="str">
        <v>14.25</v>
      </c>
      <c r="K64" t="str">
        <f t="array" ref="K64:T64">[1]!'2314.TW-OperatingProfitRatio,NetProfitMargin,TFXRatio,MonthlyNetSalesYoY,ReturnOnAssets,DividendYear,ProfitFourSeason,CashDividendYieldRate,StockNetValue,ExchangeIndustry'</f>
        <v>-10.43</v>
      </c>
      <c r="L64" t="str">
        <v>-10.24</v>
      </c>
      <c r="M64" t="str">
        <v>5.65</v>
      </c>
      <c r="N64" t="str">
        <v>1.67</v>
      </c>
      <c r="O64" t="str">
        <v>-5.06</v>
      </c>
      <c r="P64">
        <v>0</v>
      </c>
      <c r="Q64" t="str">
        <v>-1.53</v>
      </c>
      <c r="R64">
        <v>0</v>
      </c>
      <c r="S64" t="str">
        <v>9.17</v>
      </c>
      <c r="T64" t="str">
        <v>上市通信網路</v>
      </c>
      <c r="U64">
        <f t="array" ref="U64:Z64">[1]!'2314.TW-PreTotalVolume,ChipsField25,ChipsField27,DateofMeetingofShareHolders,CompanyPos,TradingDate'</f>
        <v>1032</v>
      </c>
      <c r="V64" t="str">
        <v>--</v>
      </c>
      <c r="W64" t="str">
        <v>--</v>
      </c>
      <c r="X64" t="str">
        <v>2021/08/26</v>
      </c>
      <c r="Y64" t="str">
        <v>鴻海轉投資衛星、微波通訊設備製造商</v>
      </c>
      <c r="Z64" t="str">
        <v>2022/03/10</v>
      </c>
    </row>
    <row r="65" spans="1:26" x14ac:dyDescent="0.3">
      <c r="A65" t="str">
        <f t="array" ref="A65:J65">[1]!'2352.TW-ID,Name,Price,PriceChangeRatio,Low,High,Volume,InOutRatioNumber,Capital,ProfitMargin'</f>
        <v>2352</v>
      </c>
      <c r="B65" t="str">
        <v>佳世達</v>
      </c>
      <c r="C65">
        <v>31.95</v>
      </c>
      <c r="D65">
        <v>1.91</v>
      </c>
      <c r="E65">
        <v>31.7</v>
      </c>
      <c r="F65">
        <v>32.35</v>
      </c>
      <c r="G65">
        <v>289</v>
      </c>
      <c r="H65" t="str">
        <v>56.60%</v>
      </c>
      <c r="I65" t="str">
        <v>196.68</v>
      </c>
      <c r="J65" t="str">
        <v>14.41</v>
      </c>
      <c r="K65" t="str">
        <f t="array" ref="K65:T65">[1]!'2352.TW-OperatingProfitRatio,NetProfitMargin,TFXRatio,MonthlyNetSalesYoY,ReturnOnAssets,DividendYear,ProfitFourSeason,CashDividendYieldRate,StockNetValue,ExchangeIndustry'</f>
        <v>3.26</v>
      </c>
      <c r="L65" t="str">
        <v>4.64</v>
      </c>
      <c r="M65" t="str">
        <v>-13.03</v>
      </c>
      <c r="N65" t="str">
        <v>22.40</v>
      </c>
      <c r="O65" t="str">
        <v>6.16</v>
      </c>
      <c r="P65">
        <v>2.5</v>
      </c>
      <c r="Q65" t="str">
        <v>4.22</v>
      </c>
      <c r="R65">
        <v>7.82</v>
      </c>
      <c r="S65" t="str">
        <v>21.08</v>
      </c>
      <c r="T65" t="str">
        <v>上市電腦及週邊設備</v>
      </c>
      <c r="U65">
        <f t="array" ref="U65:Z65">[1]!'2352.TW-PreTotalVolume,ChipsField25,ChipsField27,DateofMeetingofShareHolders,CompanyPos,TradingDate'</f>
        <v>5635</v>
      </c>
      <c r="V65" t="str">
        <v>--</v>
      </c>
      <c r="W65" t="str">
        <v>--</v>
      </c>
      <c r="X65" t="str">
        <v>2022/05/30</v>
      </c>
      <c r="Y65" t="str">
        <v>LCD顯示器及投影機大廠</v>
      </c>
      <c r="Z65" t="str">
        <v>2022/03/10</v>
      </c>
    </row>
    <row r="66" spans="1:26" x14ac:dyDescent="0.3">
      <c r="A66" t="str">
        <f t="array" ref="A66:J66">[1]!'4804.TW-ID,Name,Price,PriceChangeRatio,Low,High,Volume,InOutRatioNumber,Capital,ProfitMargin'</f>
        <v>4804</v>
      </c>
      <c r="B66" t="str">
        <v>大略-KY</v>
      </c>
      <c r="C66">
        <v>9.5</v>
      </c>
      <c r="D66">
        <v>0.96</v>
      </c>
      <c r="E66">
        <v>9.5</v>
      </c>
      <c r="F66">
        <v>10.3</v>
      </c>
      <c r="G66">
        <v>121</v>
      </c>
      <c r="H66" t="str">
        <v>44.76%</v>
      </c>
      <c r="I66" t="str">
        <v>4.53</v>
      </c>
      <c r="J66" t="str">
        <v>39.38</v>
      </c>
      <c r="K66" t="str">
        <f t="array" ref="K66:T66">[1]!'4804.TW-OperatingProfitRatio,NetProfitMargin,TFXRatio,MonthlyNetSalesYoY,ReturnOnAssets,DividendYear,ProfitFourSeason,CashDividendYieldRate,StockNetValue,ExchangeIndustry'</f>
        <v>4.80</v>
      </c>
      <c r="L66" t="str">
        <v>-1.88</v>
      </c>
      <c r="M66" t="str">
        <v>-7.81</v>
      </c>
      <c r="N66" t="str">
        <v>15.72</v>
      </c>
      <c r="O66" t="str">
        <v>1.04</v>
      </c>
      <c r="P66">
        <v>0</v>
      </c>
      <c r="Q66" t="str">
        <v>0.08</v>
      </c>
      <c r="R66">
        <v>0</v>
      </c>
      <c r="S66" t="str">
        <v>10.96</v>
      </c>
      <c r="T66" t="str">
        <v>上櫃觀光</v>
      </c>
      <c r="U66">
        <f t="array" ref="U66:Z66">[1]!'4804.TW-PreTotalVolume,ChipsField25,ChipsField27,DateofMeetingofShareHolders,CompanyPos,TradingDate'</f>
        <v>1489</v>
      </c>
      <c r="V66" t="str">
        <v>--</v>
      </c>
      <c r="W66" t="str">
        <v>--</v>
      </c>
      <c r="X66" t="str">
        <v>2021/07/27</v>
      </c>
      <c r="Y66" t="str">
        <v>大陸知名整合婚禮服務業者，主要品牌是維多利亞婚宴會所</v>
      </c>
      <c r="Z66" t="str">
        <v>2022/03/10</v>
      </c>
    </row>
    <row r="67" spans="1:26" x14ac:dyDescent="0.3">
      <c r="A67" t="str">
        <f t="array" ref="A67:J67">[1]!'8105.TW-ID,Name,Price,PriceChangeRatio,Low,High,Volume,InOutRatioNumber,Capital,ProfitMargin'</f>
        <v>8105</v>
      </c>
      <c r="B67" t="str">
        <v>凌巨</v>
      </c>
      <c r="C67">
        <v>12.05</v>
      </c>
      <c r="D67">
        <v>2.99</v>
      </c>
      <c r="E67">
        <v>11.9</v>
      </c>
      <c r="F67">
        <v>12.2</v>
      </c>
      <c r="G67">
        <v>18</v>
      </c>
      <c r="H67" t="str">
        <v>71.70%</v>
      </c>
      <c r="I67" t="str">
        <v>44.15</v>
      </c>
      <c r="J67" t="str">
        <v>8.70</v>
      </c>
      <c r="K67" t="str">
        <f t="array" ref="K67:T67">[1]!'8105.TW-OperatingProfitRatio,NetProfitMargin,TFXRatio,MonthlyNetSalesYoY,ReturnOnAssets,DividendYear,ProfitFourSeason,CashDividendYieldRate,StockNetValue,ExchangeIndustry'</f>
        <v>0.47</v>
      </c>
      <c r="L67" t="str">
        <v>-0.67</v>
      </c>
      <c r="M67" t="str">
        <v>-16.53</v>
      </c>
      <c r="N67" t="str">
        <v>31.27</v>
      </c>
      <c r="O67" t="str">
        <v>-0.34</v>
      </c>
      <c r="P67">
        <v>0</v>
      </c>
      <c r="Q67" t="str">
        <v>-1.12</v>
      </c>
      <c r="R67">
        <v>0</v>
      </c>
      <c r="S67" t="str">
        <v>15.84</v>
      </c>
      <c r="T67" t="str">
        <v>上市光電</v>
      </c>
      <c r="U67">
        <f t="array" ref="U67:Z67">[1]!'8105.TW-PreTotalVolume,ChipsField25,ChipsField27,DateofMeetingofShareHolders,CompanyPos,TradingDate'</f>
        <v>525</v>
      </c>
      <c r="V67" t="str">
        <v>--</v>
      </c>
      <c r="W67" t="str">
        <v>--</v>
      </c>
      <c r="X67" t="str">
        <v>2021/08/24</v>
      </c>
      <c r="Y67" t="str">
        <v>凸版集團的子公司，主要提供利基型顯示模組</v>
      </c>
      <c r="Z67" t="str">
        <v>2022/03/10</v>
      </c>
    </row>
    <row r="68" spans="1:26" x14ac:dyDescent="0.3">
      <c r="A68" t="str">
        <f t="array" ref="A68:J68">[1]!'8155.TW-ID,Name,Price,PriceChangeRatio,Low,High,Volume,InOutRatioNumber,Capital,ProfitMargin'</f>
        <v>8155</v>
      </c>
      <c r="B68" t="str">
        <v>博智</v>
      </c>
      <c r="C68">
        <v>191.5</v>
      </c>
      <c r="D68">
        <v>9.74</v>
      </c>
      <c r="E68">
        <v>179</v>
      </c>
      <c r="F68">
        <v>191.5</v>
      </c>
      <c r="G68">
        <v>8</v>
      </c>
      <c r="H68" t="str">
        <v>65.77%</v>
      </c>
      <c r="I68" t="str">
        <v>4.98</v>
      </c>
      <c r="J68" t="str">
        <v>23.28</v>
      </c>
      <c r="K68" t="str">
        <f t="array" ref="K68:T68">[1]!'8155.TW-OperatingProfitRatio,NetProfitMargin,TFXRatio,MonthlyNetSalesYoY,ReturnOnAssets,DividendYear,ProfitFourSeason,CashDividendYieldRate,StockNetValue,ExchangeIndustry'</f>
        <v>14.35</v>
      </c>
      <c r="L68" t="str">
        <v>12.28</v>
      </c>
      <c r="M68" t="str">
        <v>-8.19</v>
      </c>
      <c r="N68" t="str">
        <v>64.04</v>
      </c>
      <c r="O68" t="str">
        <v>8.38</v>
      </c>
      <c r="P68">
        <v>7</v>
      </c>
      <c r="Q68" t="str">
        <v>6.99</v>
      </c>
      <c r="R68">
        <v>3.66</v>
      </c>
      <c r="S68" t="str">
        <v>36.53</v>
      </c>
      <c r="T68" t="str">
        <v>上櫃電子零組件</v>
      </c>
      <c r="U68">
        <f t="array" ref="U68:Z68">[1]!'8155.TW-PreTotalVolume,ChipsField25,ChipsField27,DateofMeetingofShareHolders,CompanyPos,TradingDate'</f>
        <v>2076</v>
      </c>
      <c r="V68" t="str">
        <v>2021/07/29</v>
      </c>
      <c r="W68" t="str">
        <v>--</v>
      </c>
      <c r="X68" t="str">
        <v>2021/07/28</v>
      </c>
      <c r="Y68" t="str">
        <v>仁寶集團旗下的印刷電路板廠商</v>
      </c>
      <c r="Z68" t="str">
        <v>2022/03/10</v>
      </c>
    </row>
    <row r="69" spans="1:26" x14ac:dyDescent="0.3">
      <c r="A69" t="str">
        <f t="array" ref="A69:J69">[1]!'3515.TW-ID,Name,Price,PriceChangeRatio,Low,High,Volume,InOutRatioNumber,Capital,ProfitMargin'</f>
        <v>3515</v>
      </c>
      <c r="B69" t="str">
        <v>華擎</v>
      </c>
      <c r="C69">
        <v>216</v>
      </c>
      <c r="D69">
        <v>4.8499999999999996</v>
      </c>
      <c r="E69">
        <v>211</v>
      </c>
      <c r="F69">
        <v>219</v>
      </c>
      <c r="G69">
        <v>86</v>
      </c>
      <c r="H69" t="str">
        <v>54.38%</v>
      </c>
      <c r="I69" t="str">
        <v>12.29</v>
      </c>
      <c r="J69" t="str">
        <v>28.15</v>
      </c>
      <c r="K69" t="str">
        <f t="array" ref="K69:T69">[1]!'3515.TW-OperatingProfitRatio,NetProfitMargin,TFXRatio,MonthlyNetSalesYoY,ReturnOnAssets,DividendYear,ProfitFourSeason,CashDividendYieldRate,StockNetValue,ExchangeIndustry'</f>
        <v>15.47</v>
      </c>
      <c r="L69" t="str">
        <v>12.45</v>
      </c>
      <c r="M69" t="str">
        <v>-43.39</v>
      </c>
      <c r="N69" t="str">
        <v>0.25</v>
      </c>
      <c r="O69" t="str">
        <v>17.82</v>
      </c>
      <c r="P69">
        <v>13</v>
      </c>
      <c r="Q69" t="str">
        <v>19.72</v>
      </c>
      <c r="R69">
        <v>6.02</v>
      </c>
      <c r="S69" t="str">
        <v>67.29</v>
      </c>
      <c r="T69" t="str">
        <v>上市電腦及週邊設備</v>
      </c>
      <c r="U69">
        <f t="array" ref="U69:Z69">[1]!'3515.TW-PreTotalVolume,ChipsField25,ChipsField27,DateofMeetingofShareHolders,CompanyPos,TradingDate'</f>
        <v>1122</v>
      </c>
      <c r="V69" t="str">
        <v>--</v>
      </c>
      <c r="W69" t="str">
        <v>--</v>
      </c>
      <c r="X69" t="str">
        <v>2022/05/25</v>
      </c>
      <c r="Y69" t="str">
        <v>華碩旗下專攻低階MB品牌廠</v>
      </c>
      <c r="Z69" t="str">
        <v>2022/03/10</v>
      </c>
    </row>
    <row r="70" spans="1:26" x14ac:dyDescent="0.3">
      <c r="A70" t="str">
        <f t="array" ref="A70:J70">[1]!'2323.TW-ID,Name,Price,PriceChangeRatio,Low,High,Volume,InOutRatioNumber,Capital,ProfitMargin'</f>
        <v>2323</v>
      </c>
      <c r="B70" t="str">
        <v>中環</v>
      </c>
      <c r="C70">
        <v>10.85</v>
      </c>
      <c r="D70">
        <v>5.34</v>
      </c>
      <c r="E70">
        <v>10.55</v>
      </c>
      <c r="F70">
        <v>11</v>
      </c>
      <c r="G70">
        <v>786</v>
      </c>
      <c r="H70" t="str">
        <v>49.07%</v>
      </c>
      <c r="I70" t="str">
        <v>115.89</v>
      </c>
      <c r="J70" t="str">
        <v>22.86</v>
      </c>
      <c r="K70" t="str">
        <f t="array" ref="K70:T70">[1]!'2323.TW-OperatingProfitRatio,NetProfitMargin,TFXRatio,MonthlyNetSalesYoY,ReturnOnAssets,DividendYear,ProfitFourSeason,CashDividendYieldRate,StockNetValue,ExchangeIndustry'</f>
        <v>-2.24</v>
      </c>
      <c r="L70" t="str">
        <v>-0.31</v>
      </c>
      <c r="M70" t="str">
        <v>-15.05</v>
      </c>
      <c r="N70" t="str">
        <v>1.80</v>
      </c>
      <c r="O70" t="str">
        <v>0.06</v>
      </c>
      <c r="P70">
        <v>0.7</v>
      </c>
      <c r="Q70" t="str">
        <v>0.55</v>
      </c>
      <c r="R70">
        <v>6.45</v>
      </c>
      <c r="S70" t="str">
        <v>15.53</v>
      </c>
      <c r="T70" t="str">
        <v>上市光電</v>
      </c>
      <c r="U70">
        <f t="array" ref="U70:Z70">[1]!'2323.TW-PreTotalVolume,ChipsField25,ChipsField27,DateofMeetingofShareHolders,CompanyPos,TradingDate'</f>
        <v>9776</v>
      </c>
      <c r="V70" t="str">
        <v>2021/09/06</v>
      </c>
      <c r="W70" t="str">
        <v>--</v>
      </c>
      <c r="X70" t="str">
        <v>2021/07/23</v>
      </c>
      <c r="Y70" t="str">
        <v>全球前三大光碟片製造商之一</v>
      </c>
      <c r="Z70" t="str">
        <v>2022/03/10</v>
      </c>
    </row>
    <row r="71" spans="1:26" x14ac:dyDescent="0.3">
      <c r="A71" t="str">
        <f t="array" ref="A71:J71">[1]!'8104.TW-ID,Name,Price,PriceChangeRatio,Low,High,Volume,InOutRatioNumber,Capital,ProfitMargin'</f>
        <v>8104</v>
      </c>
      <c r="B71" t="str">
        <v>錸寶</v>
      </c>
      <c r="C71">
        <v>65.2</v>
      </c>
      <c r="D71">
        <v>6.71</v>
      </c>
      <c r="E71">
        <v>62.4</v>
      </c>
      <c r="F71">
        <v>66.3</v>
      </c>
      <c r="G71">
        <v>85</v>
      </c>
      <c r="H71" t="str">
        <v>60.41%</v>
      </c>
      <c r="I71" t="str">
        <v>7.45</v>
      </c>
      <c r="J71" t="str">
        <v>21.32</v>
      </c>
      <c r="K71" t="str">
        <f t="array" ref="K71:T71">[1]!'8104.TW-OperatingProfitRatio,NetProfitMargin,TFXRatio,MonthlyNetSalesYoY,ReturnOnAssets,DividendYear,ProfitFourSeason,CashDividendYieldRate,StockNetValue,ExchangeIndustry'</f>
        <v>8.72</v>
      </c>
      <c r="L71" t="str">
        <v>10.22</v>
      </c>
      <c r="M71" t="str">
        <v>8.95</v>
      </c>
      <c r="N71" t="str">
        <v>-19.15</v>
      </c>
      <c r="O71" t="str">
        <v>4.85</v>
      </c>
      <c r="P71">
        <v>2.99</v>
      </c>
      <c r="Q71" t="str">
        <v>3.26</v>
      </c>
      <c r="R71">
        <v>4.59</v>
      </c>
      <c r="S71" t="str">
        <v>29.08</v>
      </c>
      <c r="T71" t="str">
        <v>上市光電</v>
      </c>
      <c r="U71">
        <f t="array" ref="U71:Z71">[1]!'8104.TW-PreTotalVolume,ChipsField25,ChipsField27,DateofMeetingofShareHolders,CompanyPos,TradingDate'</f>
        <v>1278</v>
      </c>
      <c r="V71" t="str">
        <v>2021/09/14</v>
      </c>
      <c r="W71" t="str">
        <v>--</v>
      </c>
      <c r="X71" t="str">
        <v>2021/08/12</v>
      </c>
      <c r="Y71" t="str">
        <v>錸德轉投資的全球PMOLED龍頭廠商</v>
      </c>
      <c r="Z71" t="str">
        <v>2022/03/10</v>
      </c>
    </row>
    <row r="72" spans="1:26" x14ac:dyDescent="0.3">
      <c r="A72" t="str">
        <f t="array" ref="A72:J72">[1]!'6125.TW-ID,Name,Price,PriceChangeRatio,Low,High,Volume,InOutRatioNumber,Capital,ProfitMargin'</f>
        <v>6125</v>
      </c>
      <c r="B72" t="str">
        <v>廣運</v>
      </c>
      <c r="C72">
        <v>25.8</v>
      </c>
      <c r="D72">
        <v>4.45</v>
      </c>
      <c r="E72">
        <v>25.05</v>
      </c>
      <c r="F72">
        <v>26.3</v>
      </c>
      <c r="G72">
        <v>99</v>
      </c>
      <c r="H72" t="str">
        <v>61.45%</v>
      </c>
      <c r="I72" t="str">
        <v>24.90</v>
      </c>
      <c r="J72" t="str">
        <v>1.83</v>
      </c>
      <c r="K72" t="str">
        <f t="array" ref="K72:T72">[1]!'6125.TW-OperatingProfitRatio,NetProfitMargin,TFXRatio,MonthlyNetSalesYoY,ReturnOnAssets,DividendYear,ProfitFourSeason,CashDividendYieldRate,StockNetValue,ExchangeIndustry'</f>
        <v>-20.33</v>
      </c>
      <c r="L72" t="str">
        <v>-18.13</v>
      </c>
      <c r="M72" t="str">
        <v>3.81</v>
      </c>
      <c r="N72" t="str">
        <v>19.30</v>
      </c>
      <c r="O72" t="str">
        <v>-4.74</v>
      </c>
      <c r="P72">
        <v>1.5</v>
      </c>
      <c r="Q72" t="str">
        <v>-0.70</v>
      </c>
      <c r="R72">
        <v>5.81</v>
      </c>
      <c r="S72" t="str">
        <v>13.74</v>
      </c>
      <c r="T72" t="str">
        <v>上櫃光電</v>
      </c>
      <c r="U72">
        <f t="array" ref="U72:Z72">[1]!'6125.TW-PreTotalVolume,ChipsField25,ChipsField27,DateofMeetingofShareHolders,CompanyPos,TradingDate'</f>
        <v>2648</v>
      </c>
      <c r="V72" t="str">
        <v>2021/09/13</v>
      </c>
      <c r="W72" t="str">
        <v>--</v>
      </c>
      <c r="X72" t="str">
        <v>2021/08/27</v>
      </c>
      <c r="Y72" t="str">
        <v>經營自動化物流系統及太陽能電池等業務</v>
      </c>
      <c r="Z72" t="str">
        <v>2022/03/10</v>
      </c>
    </row>
    <row r="73" spans="1:26" x14ac:dyDescent="0.3">
      <c r="A73" t="str">
        <f t="array" ref="A73:J73">[1]!'3592.TW-ID,Name,Price,PriceChangeRatio,Low,High,Volume,InOutRatioNumber,Capital,ProfitMargin'</f>
        <v>3592</v>
      </c>
      <c r="B73" t="str">
        <v>瑞鼎</v>
      </c>
      <c r="C73">
        <v>584</v>
      </c>
      <c r="D73">
        <v>6.18</v>
      </c>
      <c r="E73">
        <v>562</v>
      </c>
      <c r="F73">
        <v>587</v>
      </c>
      <c r="G73">
        <v>20</v>
      </c>
      <c r="H73" t="str">
        <v>61.64%</v>
      </c>
      <c r="I73" t="str">
        <v>7.59</v>
      </c>
      <c r="J73" t="str">
        <v>42.81</v>
      </c>
      <c r="K73" t="str">
        <f t="array" ref="K73:T73">[1]!'3592.TW-OperatingProfitRatio,NetProfitMargin,TFXRatio,MonthlyNetSalesYoY,ReturnOnAssets,DividendYear,ProfitFourSeason,CashDividendYieldRate,StockNetValue,ExchangeIndustry'</f>
        <v>20.61</v>
      </c>
      <c r="L73" t="str">
        <v>17.28</v>
      </c>
      <c r="M73" t="str">
        <v>-8.09</v>
      </c>
      <c r="N73" t="str">
        <v>58.89</v>
      </c>
      <c r="O73" t="str">
        <v>30.11</v>
      </c>
      <c r="P73">
        <v>45</v>
      </c>
      <c r="Q73" t="str">
        <v>--</v>
      </c>
      <c r="R73">
        <v>7.71</v>
      </c>
      <c r="S73" t="str">
        <v>132.32</v>
      </c>
      <c r="T73" t="str">
        <v>上市半導體</v>
      </c>
      <c r="U73">
        <f t="array" ref="U73:Z73">[1]!'3592.TW-PreTotalVolume,ChipsField25,ChipsField27,DateofMeetingofShareHolders,CompanyPos,TradingDate'</f>
        <v>544</v>
      </c>
      <c r="V73" t="str">
        <v>--</v>
      </c>
      <c r="W73" t="str">
        <v>--</v>
      </c>
      <c r="X73" t="str">
        <v>2022/05/30</v>
      </c>
      <c r="Y73" t="str">
        <v>友達集團旗下驅動IC設計公司</v>
      </c>
      <c r="Z73" t="str">
        <v>2022/03/10</v>
      </c>
    </row>
    <row r="74" spans="1:26" x14ac:dyDescent="0.3">
      <c r="A74" t="str">
        <f t="array" ref="A74:J74">[1]!'2385.TW-ID,Name,Price,PriceChangeRatio,Low,High,Volume,InOutRatioNumber,Capital,ProfitMargin'</f>
        <v>2385</v>
      </c>
      <c r="B74" t="str">
        <v>群光</v>
      </c>
      <c r="C74">
        <v>90.4</v>
      </c>
      <c r="D74">
        <v>1.8</v>
      </c>
      <c r="E74">
        <v>89.8</v>
      </c>
      <c r="F74">
        <v>91.2</v>
      </c>
      <c r="G74">
        <v>219</v>
      </c>
      <c r="H74" t="str">
        <v>50.26%</v>
      </c>
      <c r="I74" t="str">
        <v>74.53</v>
      </c>
      <c r="J74" t="str">
        <v>17.59</v>
      </c>
      <c r="K74" t="str">
        <f t="array" ref="K74:T74">[1]!'2385.TW-OperatingProfitRatio,NetProfitMargin,TFXRatio,MonthlyNetSalesYoY,ReturnOnAssets,DividendYear,ProfitFourSeason,CashDividendYieldRate,StockNetValue,ExchangeIndustry'</f>
        <v>8.01</v>
      </c>
      <c r="L74" t="str">
        <v>7.05</v>
      </c>
      <c r="M74" t="str">
        <v>-16.26</v>
      </c>
      <c r="N74" t="str">
        <v>21.68</v>
      </c>
      <c r="O74" t="str">
        <v>9.57</v>
      </c>
      <c r="P74">
        <v>6.1</v>
      </c>
      <c r="Q74" t="str">
        <v>8.71</v>
      </c>
      <c r="R74">
        <v>6.75</v>
      </c>
      <c r="S74" t="str">
        <v>43.02</v>
      </c>
      <c r="T74" t="str">
        <v>上市電子零組件</v>
      </c>
      <c r="U74">
        <f t="array" ref="U74:Z74">[1]!'2385.TW-PreTotalVolume,ChipsField25,ChipsField27,DateofMeetingofShareHolders,CompanyPos,TradingDate'</f>
        <v>1226</v>
      </c>
      <c r="V74" t="str">
        <v>--</v>
      </c>
      <c r="W74" t="str">
        <v>--</v>
      </c>
      <c r="X74" t="str">
        <v>2022/06/10</v>
      </c>
      <c r="Y74" t="str">
        <v>全球PC鍵盤排名前三大之電腦週邊廠</v>
      </c>
      <c r="Z74" t="str">
        <v>2022/03/10</v>
      </c>
    </row>
    <row r="75" spans="1:26" x14ac:dyDescent="0.3">
      <c r="A75" t="str">
        <f t="array" ref="A75:J75">[1]!'5321.TW-ID,Name,Price,PriceChangeRatio,Low,High,Volume,InOutRatioNumber,Capital,ProfitMargin'</f>
        <v>5321</v>
      </c>
      <c r="B75" t="str">
        <v>美而快</v>
      </c>
      <c r="C75">
        <v>141</v>
      </c>
      <c r="D75">
        <v>-2.76</v>
      </c>
      <c r="E75">
        <v>140</v>
      </c>
      <c r="F75">
        <v>152</v>
      </c>
      <c r="G75">
        <v>125</v>
      </c>
      <c r="H75" t="str">
        <v>35.97%</v>
      </c>
      <c r="I75" t="str">
        <v>3.50</v>
      </c>
      <c r="J75" t="str">
        <v>35.21</v>
      </c>
      <c r="K75" t="str">
        <f t="array" ref="K75:T75">[1]!'5321.TW-OperatingProfitRatio,NetProfitMargin,TFXRatio,MonthlyNetSalesYoY,ReturnOnAssets,DividendYear,ProfitFourSeason,CashDividendYieldRate,StockNetValue,ExchangeIndustry'</f>
        <v>7.44</v>
      </c>
      <c r="L75" t="str">
        <v>6.72</v>
      </c>
      <c r="M75" t="str">
        <v>-25.74</v>
      </c>
      <c r="N75" t="str">
        <v>9.75</v>
      </c>
      <c r="O75" t="str">
        <v>5.08</v>
      </c>
      <c r="P75">
        <v>0</v>
      </c>
      <c r="Q75" t="str">
        <v>1.78</v>
      </c>
      <c r="R75">
        <v>0</v>
      </c>
      <c r="S75" t="str">
        <v>14.02</v>
      </c>
      <c r="T75" t="str">
        <v>上櫃電子零組件</v>
      </c>
      <c r="U75">
        <f t="array" ref="U75:Z75">[1]!'5321.TW-PreTotalVolume,ChipsField25,ChipsField27,DateofMeetingofShareHolders,CompanyPos,TradingDate'</f>
        <v>817</v>
      </c>
      <c r="V75" t="str">
        <v>--</v>
      </c>
      <c r="W75" t="str">
        <v>--</v>
      </c>
      <c r="X75" t="str">
        <v>2021/12/03</v>
      </c>
      <c r="Y75" t="str">
        <v>台灣印刷電路板與服飾電商業者</v>
      </c>
      <c r="Z75" t="str">
        <v>2022/03/10</v>
      </c>
    </row>
    <row r="76" spans="1:26" x14ac:dyDescent="0.3">
      <c r="A76" t="str">
        <f t="array" ref="A76:J76">[1]!'2476.TW-ID,Name,Price,PriceChangeRatio,Low,High,Volume,InOutRatioNumber,Capital,ProfitMargin'</f>
        <v>2476</v>
      </c>
      <c r="B76" t="str">
        <v>鉅祥</v>
      </c>
      <c r="C76">
        <v>57</v>
      </c>
      <c r="D76">
        <v>3.83</v>
      </c>
      <c r="E76">
        <v>55.4</v>
      </c>
      <c r="F76">
        <v>57.9</v>
      </c>
      <c r="G76">
        <v>145</v>
      </c>
      <c r="H76" t="str">
        <v>53.56%</v>
      </c>
      <c r="I76" t="str">
        <v>18.78</v>
      </c>
      <c r="J76" t="str">
        <v>29.73</v>
      </c>
      <c r="K76" t="str">
        <f t="array" ref="K76:T76">[1]!'2476.TW-OperatingProfitRatio,NetProfitMargin,TFXRatio,MonthlyNetSalesYoY,ReturnOnAssets,DividendYear,ProfitFourSeason,CashDividendYieldRate,StockNetValue,ExchangeIndustry'</f>
        <v>16.17</v>
      </c>
      <c r="L76" t="str">
        <v>12.66</v>
      </c>
      <c r="M76" t="str">
        <v>-13.35</v>
      </c>
      <c r="N76" t="str">
        <v>22.72</v>
      </c>
      <c r="O76" t="str">
        <v>7.18</v>
      </c>
      <c r="P76">
        <v>1.2</v>
      </c>
      <c r="Q76" t="str">
        <v>3.50</v>
      </c>
      <c r="R76">
        <v>2.11</v>
      </c>
      <c r="S76" t="str">
        <v>26.42</v>
      </c>
      <c r="T76" t="str">
        <v>上市電子零組件</v>
      </c>
      <c r="U76">
        <f t="array" ref="U76:Z76">[1]!'2476.TW-PreTotalVolume,ChipsField25,ChipsField27,DateofMeetingofShareHolders,CompanyPos,TradingDate'</f>
        <v>1193</v>
      </c>
      <c r="V76" t="str">
        <v>2021/08/03</v>
      </c>
      <c r="W76" t="str">
        <v>--</v>
      </c>
      <c r="X76" t="str">
        <v>2022/06/10</v>
      </c>
      <c r="Y76" t="str">
        <v>台灣第一大金屬沖壓件廠商</v>
      </c>
      <c r="Z76" t="str">
        <v>2022/03/10</v>
      </c>
    </row>
    <row r="77" spans="1:26" x14ac:dyDescent="0.3">
      <c r="A77" t="str">
        <f t="array" ref="A77:J77">[1]!'6509.TW-ID,Name,Price,PriceChangeRatio,Low,High,Volume,InOutRatioNumber,Capital,ProfitMargin'</f>
        <v>6509</v>
      </c>
      <c r="B77" t="str">
        <v>聚和</v>
      </c>
      <c r="C77">
        <v>58.1</v>
      </c>
      <c r="D77">
        <v>2.29</v>
      </c>
      <c r="E77">
        <v>57.5</v>
      </c>
      <c r="F77">
        <v>59.9</v>
      </c>
      <c r="G77">
        <v>127</v>
      </c>
      <c r="H77" t="str">
        <v>51.38%</v>
      </c>
      <c r="I77" t="str">
        <v>17.32</v>
      </c>
      <c r="J77" t="str">
        <v>28.15</v>
      </c>
      <c r="K77" t="str">
        <f t="array" ref="K77:T77">[1]!'6509.TW-OperatingProfitRatio,NetProfitMargin,TFXRatio,MonthlyNetSalesYoY,ReturnOnAssets,DividendYear,ProfitFourSeason,CashDividendYieldRate,StockNetValue,ExchangeIndustry'</f>
        <v>13.04</v>
      </c>
      <c r="L77" t="str">
        <v>9.75</v>
      </c>
      <c r="M77" t="str">
        <v>-39.68</v>
      </c>
      <c r="N77" t="str">
        <v>8.94</v>
      </c>
      <c r="O77" t="str">
        <v>6.01</v>
      </c>
      <c r="P77">
        <v>1</v>
      </c>
      <c r="Q77" t="str">
        <v>2.30</v>
      </c>
      <c r="R77">
        <v>1.72</v>
      </c>
      <c r="S77" t="str">
        <v>17.42</v>
      </c>
      <c r="T77" t="str">
        <v>上櫃化工</v>
      </c>
      <c r="U77">
        <f t="array" ref="U77:Z77">[1]!'6509.TW-PreTotalVolume,ChipsField25,ChipsField27,DateofMeetingofShareHolders,CompanyPos,TradingDate'</f>
        <v>2139</v>
      </c>
      <c r="V77" t="str">
        <v>2021/08/05</v>
      </c>
      <c r="W77" t="str">
        <v>--</v>
      </c>
      <c r="X77" t="str">
        <v>2021/08/26</v>
      </c>
      <c r="Y77" t="str">
        <v>全球第2大自黏便條紙商、知名造紙化學品廠</v>
      </c>
      <c r="Z77" t="str">
        <v>2022/03/10</v>
      </c>
    </row>
    <row r="78" spans="1:26" x14ac:dyDescent="0.3">
      <c r="A78" t="str">
        <f t="array" ref="A78:J78">[1]!'6271.TW-ID,Name,Price,PriceChangeRatio,Low,High,Volume,InOutRatioNumber,Capital,ProfitMargin'</f>
        <v>6271</v>
      </c>
      <c r="B78" t="str">
        <v>同欣電</v>
      </c>
      <c r="C78">
        <v>272</v>
      </c>
      <c r="D78">
        <v>3.82</v>
      </c>
      <c r="E78">
        <v>267</v>
      </c>
      <c r="F78">
        <v>277</v>
      </c>
      <c r="G78">
        <v>151</v>
      </c>
      <c r="H78" t="str">
        <v>59.25%</v>
      </c>
      <c r="I78" t="str">
        <v>17.87</v>
      </c>
      <c r="J78" t="str">
        <v>32.27</v>
      </c>
      <c r="K78" t="str">
        <f t="array" ref="K78:T78">[1]!'6271.TW-OperatingProfitRatio,NetProfitMargin,TFXRatio,MonthlyNetSalesYoY,ReturnOnAssets,DividendYear,ProfitFourSeason,CashDividendYieldRate,StockNetValue,ExchangeIndustry'</f>
        <v>23.90</v>
      </c>
      <c r="L78" t="str">
        <v>19.63</v>
      </c>
      <c r="M78" t="str">
        <v>-7.00</v>
      </c>
      <c r="N78" t="str">
        <v>10.71</v>
      </c>
      <c r="O78" t="str">
        <v>7.84</v>
      </c>
      <c r="P78">
        <v>5.5</v>
      </c>
      <c r="Q78" t="str">
        <v>14.03</v>
      </c>
      <c r="R78">
        <v>2.02</v>
      </c>
      <c r="S78" t="str">
        <v>124.50</v>
      </c>
      <c r="T78" t="str">
        <v>上市半導體</v>
      </c>
      <c r="U78">
        <f t="array" ref="U78:Z78">[1]!'6271.TW-PreTotalVolume,ChipsField25,ChipsField27,DateofMeetingofShareHolders,CompanyPos,TradingDate'</f>
        <v>1547</v>
      </c>
      <c r="V78" t="str">
        <v>2021/08/02</v>
      </c>
      <c r="W78" t="str">
        <v>--</v>
      </c>
      <c r="X78" t="str">
        <v>2021/07/07</v>
      </c>
      <c r="Y78" t="str">
        <v>台灣最大LED陶瓷基板廠</v>
      </c>
      <c r="Z78" t="str">
        <v>2022/03/10</v>
      </c>
    </row>
    <row r="79" spans="1:26" x14ac:dyDescent="0.3">
      <c r="A79" t="str">
        <f t="array" ref="A79:J79">[1]!'4162.TW-ID,Name,Price,PriceChangeRatio,Low,High,Volume,InOutRatioNumber,Capital,ProfitMargin'</f>
        <v>4162</v>
      </c>
      <c r="B79" t="str">
        <v>智擎</v>
      </c>
      <c r="C79">
        <v>88</v>
      </c>
      <c r="D79">
        <v>-0.11</v>
      </c>
      <c r="E79">
        <v>86.8</v>
      </c>
      <c r="F79">
        <v>95.6</v>
      </c>
      <c r="G79">
        <v>768</v>
      </c>
      <c r="H79" t="str">
        <v>46.04%</v>
      </c>
      <c r="I79" t="str">
        <v>14.56</v>
      </c>
      <c r="J79" t="str">
        <v>93.47</v>
      </c>
      <c r="K79" t="str">
        <f t="array" ref="K79:T79">[1]!'4162.TW-OperatingProfitRatio,NetProfitMargin,TFXRatio,MonthlyNetSalesYoY,ReturnOnAssets,DividendYear,ProfitFourSeason,CashDividendYieldRate,StockNetValue,ExchangeIndustry'</f>
        <v>50.43</v>
      </c>
      <c r="L79" t="str">
        <v>69.73</v>
      </c>
      <c r="M79" t="str">
        <v>-38.28</v>
      </c>
      <c r="N79" t="str">
        <v>15.36</v>
      </c>
      <c r="O79" t="str">
        <v>7.76</v>
      </c>
      <c r="P79">
        <v>2.7</v>
      </c>
      <c r="Q79" t="str">
        <v>5.77</v>
      </c>
      <c r="R79">
        <v>3.07</v>
      </c>
      <c r="S79" t="str">
        <v>26.66</v>
      </c>
      <c r="T79" t="str">
        <v>上櫃生技醫療</v>
      </c>
      <c r="U79">
        <f t="array" ref="U79:Z79">[1]!'4162.TW-PreTotalVolume,ChipsField25,ChipsField27,DateofMeetingofShareHolders,CompanyPos,TradingDate'</f>
        <v>10013</v>
      </c>
      <c r="V79" t="str">
        <v>--</v>
      </c>
      <c r="W79" t="str">
        <v>--</v>
      </c>
      <c r="X79" t="str">
        <v>2022/05/27</v>
      </c>
      <c r="Y79" t="str">
        <v>胰臟癌新藥MM-398已取得台灣及美國藥證</v>
      </c>
      <c r="Z79" t="str">
        <v>2022/03/10</v>
      </c>
    </row>
    <row r="80" spans="1:26" x14ac:dyDescent="0.3">
      <c r="A80" t="str">
        <f t="array" ref="A80:J80">[1]!'8367.TW-ID,Name,Price,PriceChangeRatio,Low,High,Volume,InOutRatioNumber,Capital,ProfitMargin'</f>
        <v>8367</v>
      </c>
      <c r="B80" t="str">
        <v>建新國際</v>
      </c>
      <c r="C80">
        <v>52.4</v>
      </c>
      <c r="D80">
        <v>0.38</v>
      </c>
      <c r="E80">
        <v>52.4</v>
      </c>
      <c r="F80">
        <v>55.5</v>
      </c>
      <c r="G80">
        <v>85</v>
      </c>
      <c r="H80" t="str">
        <v>44.21%</v>
      </c>
      <c r="I80" t="str">
        <v>8.77</v>
      </c>
      <c r="J80" t="str">
        <v>35.89</v>
      </c>
      <c r="K80" t="str">
        <f t="array" ref="K80:T80">[1]!'8367.TW-OperatingProfitRatio,NetProfitMargin,TFXRatio,MonthlyNetSalesYoY,ReturnOnAssets,DividendYear,ProfitFourSeason,CashDividendYieldRate,StockNetValue,ExchangeIndustry'</f>
        <v>22.41</v>
      </c>
      <c r="L80" t="str">
        <v>36.55</v>
      </c>
      <c r="M80" t="str">
        <v>-22.57</v>
      </c>
      <c r="N80" t="str">
        <v>-3.15</v>
      </c>
      <c r="O80" t="str">
        <v>8.69</v>
      </c>
      <c r="P80">
        <v>2.8</v>
      </c>
      <c r="Q80" t="str">
        <v>7.19</v>
      </c>
      <c r="R80">
        <v>5.34</v>
      </c>
      <c r="S80" t="str">
        <v>31.26</v>
      </c>
      <c r="T80" t="str">
        <v>上市航運業</v>
      </c>
      <c r="U80">
        <f t="array" ref="U80:Z80">[1]!'8367.TW-PreTotalVolume,ChipsField25,ChipsField27,DateofMeetingofShareHolders,CompanyPos,TradingDate'</f>
        <v>958</v>
      </c>
      <c r="V80" t="str">
        <v>--</v>
      </c>
      <c r="W80" t="str">
        <v>--</v>
      </c>
      <c r="X80" t="str">
        <v>2022/05/27</v>
      </c>
      <c r="Y80" t="str">
        <v>台灣從事貨櫃場服務之業者</v>
      </c>
      <c r="Z80" t="str">
        <v>2022/03/10</v>
      </c>
    </row>
    <row r="81" spans="1:26" x14ac:dyDescent="0.3">
      <c r="A81" t="str">
        <f t="array" ref="A81:J81">[1]!'1217.TW-ID,Name,Price,PriceChangeRatio,Low,High,Volume,InOutRatioNumber,Capital,ProfitMargin'</f>
        <v>1217</v>
      </c>
      <c r="B81" t="str">
        <v>愛之味</v>
      </c>
      <c r="C81">
        <v>10.75</v>
      </c>
      <c r="D81">
        <v>0.47</v>
      </c>
      <c r="E81">
        <v>10.7</v>
      </c>
      <c r="F81">
        <v>10.85</v>
      </c>
      <c r="G81">
        <v>54</v>
      </c>
      <c r="H81" t="str">
        <v>42.45%</v>
      </c>
      <c r="I81" t="str">
        <v>49.45</v>
      </c>
      <c r="J81" t="str">
        <v>32.01</v>
      </c>
      <c r="K81" t="str">
        <f t="array" ref="K81:T81">[1]!'1217.TW-OperatingProfitRatio,NetProfitMargin,TFXRatio,MonthlyNetSalesYoY,ReturnOnAssets,DividendYear,ProfitFourSeason,CashDividendYieldRate,StockNetValue,ExchangeIndustry'</f>
        <v>5.45</v>
      </c>
      <c r="L81" t="str">
        <v>7.54</v>
      </c>
      <c r="M81" t="str">
        <v>-29.34</v>
      </c>
      <c r="N81" t="str">
        <v>-1.51</v>
      </c>
      <c r="O81" t="str">
        <v>2.61</v>
      </c>
      <c r="P81">
        <v>0</v>
      </c>
      <c r="Q81" t="str">
        <v>0.52</v>
      </c>
      <c r="R81">
        <v>0</v>
      </c>
      <c r="S81" t="str">
        <v>13.36</v>
      </c>
      <c r="T81" t="str">
        <v>上市食品</v>
      </c>
      <c r="U81">
        <f t="array" ref="U81:Z81">[1]!'1217.TW-PreTotalVolume,ChipsField25,ChipsField27,DateofMeetingofShareHolders,CompanyPos,TradingDate'</f>
        <v>684</v>
      </c>
      <c r="V81" t="str">
        <v>--</v>
      </c>
      <c r="W81" t="str">
        <v>--</v>
      </c>
      <c r="X81" t="str">
        <v>2021/08/26</v>
      </c>
      <c r="Y81" t="str">
        <v>以飲料、傳統類罐頭為主的食品商</v>
      </c>
      <c r="Z81" t="str">
        <v>2022/03/10</v>
      </c>
    </row>
    <row r="82" spans="1:26" x14ac:dyDescent="0.3">
      <c r="A82" t="str">
        <f t="array" ref="A82:J82">[1]!'6147.TW-ID,Name,Price,PriceChangeRatio,Low,High,Volume,InOutRatioNumber,Capital,ProfitMargin'</f>
        <v>6147</v>
      </c>
      <c r="B82" t="str">
        <v>頎邦</v>
      </c>
      <c r="C82">
        <v>71.2</v>
      </c>
      <c r="D82">
        <v>-0.56000000000000005</v>
      </c>
      <c r="E82">
        <v>70.8</v>
      </c>
      <c r="F82">
        <v>73</v>
      </c>
      <c r="G82">
        <v>553</v>
      </c>
      <c r="H82" t="str">
        <v>39.31%</v>
      </c>
      <c r="I82" t="str">
        <v>73.87</v>
      </c>
      <c r="J82" t="str">
        <v>32.32</v>
      </c>
      <c r="K82" t="str">
        <f t="array" ref="K82:T82">[1]!'6147.TW-OperatingProfitRatio,NetProfitMargin,TFXRatio,MonthlyNetSalesYoY,ReturnOnAssets,DividendYear,ProfitFourSeason,CashDividendYieldRate,StockNetValue,ExchangeIndustry'</f>
        <v>25.46</v>
      </c>
      <c r="L82" t="str">
        <v>22.66</v>
      </c>
      <c r="M82" t="str">
        <v>-9.40</v>
      </c>
      <c r="N82" t="str">
        <v>0.89</v>
      </c>
      <c r="O82" t="str">
        <v>12.72</v>
      </c>
      <c r="P82">
        <v>0</v>
      </c>
      <c r="Q82" t="str">
        <v>9.10</v>
      </c>
      <c r="R82">
        <v>0</v>
      </c>
      <c r="S82" t="str">
        <v>56.42</v>
      </c>
      <c r="T82" t="str">
        <v>上櫃半導體</v>
      </c>
      <c r="U82">
        <f t="array" ref="U82:Z82">[1]!'6147.TW-PreTotalVolume,ChipsField25,ChipsField27,DateofMeetingofShareHolders,CompanyPos,TradingDate'</f>
        <v>8303</v>
      </c>
      <c r="V82" t="str">
        <v>--</v>
      </c>
      <c r="W82" t="str">
        <v>--</v>
      </c>
      <c r="X82" t="str">
        <v>2022/05/27</v>
      </c>
      <c r="Y82" t="str">
        <v>全球最大LCD驅動IC封裝及金凸塊供應商</v>
      </c>
      <c r="Z82" t="str">
        <v>2022/03/10</v>
      </c>
    </row>
    <row r="83" spans="1:26" x14ac:dyDescent="0.3">
      <c r="A83" t="str">
        <f t="array" ref="A83:J83">[1]!'5876.TW-ID,Name,Price,PriceChangeRatio,Low,High,Volume,InOutRatioNumber,Capital,ProfitMargin'</f>
        <v>5876</v>
      </c>
      <c r="B83" t="str">
        <v>上海商銀</v>
      </c>
      <c r="C83">
        <v>46.8</v>
      </c>
      <c r="D83">
        <v>3.54</v>
      </c>
      <c r="E83">
        <v>45.3</v>
      </c>
      <c r="F83">
        <v>46.8</v>
      </c>
      <c r="G83">
        <v>806</v>
      </c>
      <c r="H83" t="str">
        <v>64.35%</v>
      </c>
      <c r="I83" t="str">
        <v>448.16</v>
      </c>
      <c r="J83" t="str">
        <v>--</v>
      </c>
      <c r="K83" t="str">
        <f t="array" ref="K83:T83">[1]!'5876.TW-OperatingProfitRatio,NetProfitMargin,TFXRatio,MonthlyNetSalesYoY,ReturnOnAssets,DividendYear,ProfitFourSeason,CashDividendYieldRate,StockNetValue,ExchangeIndustry'</f>
        <v>--</v>
      </c>
      <c r="L83" t="str">
        <v>45.27</v>
      </c>
      <c r="M83" t="str">
        <v>0.43</v>
      </c>
      <c r="N83" t="str">
        <v>3.06</v>
      </c>
      <c r="O83" t="str">
        <v>0.67</v>
      </c>
      <c r="P83">
        <v>1.7</v>
      </c>
      <c r="Q83" t="str">
        <v>3.14</v>
      </c>
      <c r="R83">
        <v>3.63</v>
      </c>
      <c r="S83" t="str">
        <v>34.85</v>
      </c>
      <c r="T83" t="str">
        <v>上市金融保險</v>
      </c>
      <c r="U83">
        <f t="array" ref="U83:Z83">[1]!'5876.TW-PreTotalVolume,ChipsField25,ChipsField27,DateofMeetingofShareHolders,CompanyPos,TradingDate'</f>
        <v>2594</v>
      </c>
      <c r="V83" t="str">
        <v>2021/07/28</v>
      </c>
      <c r="W83" t="str">
        <v>--</v>
      </c>
      <c r="X83" t="str">
        <v>2021/07/05</v>
      </c>
      <c r="Y83" t="str">
        <v>唯一自大陸遷台復業的民營銀行</v>
      </c>
      <c r="Z83" t="str">
        <v>2022/03/10</v>
      </c>
    </row>
    <row r="84" spans="1:26" x14ac:dyDescent="0.3">
      <c r="A84" t="str">
        <f t="array" ref="A84:J84">[1]!'1231.TW-ID,Name,Price,PriceChangeRatio,Low,High,Volume,InOutRatioNumber,Capital,ProfitMargin'</f>
        <v>1231</v>
      </c>
      <c r="B84" t="str">
        <v>聯華食</v>
      </c>
      <c r="C84">
        <v>79.8</v>
      </c>
      <c r="D84">
        <v>3.91</v>
      </c>
      <c r="E84">
        <v>79.099999999999994</v>
      </c>
      <c r="F84">
        <v>81.400000000000006</v>
      </c>
      <c r="G84">
        <v>40</v>
      </c>
      <c r="H84" t="str">
        <v>48.46%</v>
      </c>
      <c r="I84" t="str">
        <v>20.18</v>
      </c>
      <c r="J84" t="str">
        <v>23.18</v>
      </c>
      <c r="K84" t="str">
        <f t="array" ref="K84:T84">[1]!'1231.TW-OperatingProfitRatio,NetProfitMargin,TFXRatio,MonthlyNetSalesYoY,ReturnOnAssets,DividendYear,ProfitFourSeason,CashDividendYieldRate,StockNetValue,ExchangeIndustry'</f>
        <v>9.28</v>
      </c>
      <c r="L84" t="str">
        <v>7.83</v>
      </c>
      <c r="M84" t="str">
        <v>-32.63</v>
      </c>
      <c r="N84" t="str">
        <v>-4.00</v>
      </c>
      <c r="O84" t="str">
        <v>6.27</v>
      </c>
      <c r="P84">
        <v>2.6</v>
      </c>
      <c r="Q84" t="str">
        <v>4.23</v>
      </c>
      <c r="R84">
        <v>3.26</v>
      </c>
      <c r="S84" t="str">
        <v>21.31</v>
      </c>
      <c r="T84" t="str">
        <v>上市食品</v>
      </c>
      <c r="U84">
        <f t="array" ref="U84:Z84">[1]!'1231.TW-PreTotalVolume,ChipsField25,ChipsField27,DateofMeetingofShareHolders,CompanyPos,TradingDate'</f>
        <v>825</v>
      </c>
      <c r="V84" t="str">
        <v>--</v>
      </c>
      <c r="W84" t="str">
        <v>--</v>
      </c>
      <c r="X84" t="str">
        <v>2022/05/27</v>
      </c>
      <c r="Y84" t="str">
        <v>台灣休閒食品大廠，並供應7-11鮮食產品</v>
      </c>
      <c r="Z84" t="str">
        <v>2022/03/10</v>
      </c>
    </row>
    <row r="85" spans="1:26" x14ac:dyDescent="0.3">
      <c r="A85" t="str">
        <f t="array" ref="A85:J85">[1]!'8478.TW-ID,Name,Price,PriceChangeRatio,Low,High,Volume,InOutRatioNumber,Capital,ProfitMargin'</f>
        <v>8478</v>
      </c>
      <c r="B85" t="str">
        <v>東哥遊艇</v>
      </c>
      <c r="C85">
        <v>154.5</v>
      </c>
      <c r="D85">
        <v>9.9600000000000009</v>
      </c>
      <c r="E85">
        <v>143</v>
      </c>
      <c r="F85">
        <v>154.5</v>
      </c>
      <c r="G85">
        <v>9</v>
      </c>
      <c r="H85" t="str">
        <v>69.48%</v>
      </c>
      <c r="I85" t="str">
        <v>8.89</v>
      </c>
      <c r="J85" t="str">
        <v>35.11</v>
      </c>
      <c r="K85" t="str">
        <f t="array" ref="K85:T85">[1]!'8478.TW-OperatingProfitRatio,NetProfitMargin,TFXRatio,MonthlyNetSalesYoY,ReturnOnAssets,DividendYear,ProfitFourSeason,CashDividendYieldRate,StockNetValue,ExchangeIndustry'</f>
        <v>20.85</v>
      </c>
      <c r="L85" t="str">
        <v>18.77</v>
      </c>
      <c r="M85" t="str">
        <v>7.48</v>
      </c>
      <c r="N85" t="str">
        <v>81.20</v>
      </c>
      <c r="O85" t="str">
        <v>13.20</v>
      </c>
      <c r="P85">
        <v>5</v>
      </c>
      <c r="Q85" t="str">
        <v>9.55</v>
      </c>
      <c r="R85">
        <v>3.24</v>
      </c>
      <c r="S85" t="str">
        <v>34.41</v>
      </c>
      <c r="T85" t="str">
        <v>上市其他</v>
      </c>
      <c r="U85">
        <f t="array" ref="U85:Z85">[1]!'8478.TW-PreTotalVolume,ChipsField25,ChipsField27,DateofMeetingofShareHolders,CompanyPos,TradingDate'</f>
        <v>1454</v>
      </c>
      <c r="V85" t="str">
        <v>--</v>
      </c>
      <c r="W85" t="str">
        <v>--</v>
      </c>
      <c r="X85" t="str">
        <v>2022/06/23</v>
      </c>
      <c r="Y85" t="str">
        <v>亞洲地區唯一擁有自有品牌之遊艇製造商</v>
      </c>
      <c r="Z85" t="str">
        <v>2022/03/10</v>
      </c>
    </row>
    <row r="86" spans="1:26" x14ac:dyDescent="0.3">
      <c r="A86" t="str">
        <f t="array" ref="A86:J86">[1]!'6275.TW-ID,Name,Price,PriceChangeRatio,Low,High,Volume,InOutRatioNumber,Capital,ProfitMargin'</f>
        <v>6275</v>
      </c>
      <c r="B86" t="str">
        <v>元山</v>
      </c>
      <c r="C86">
        <v>41.6</v>
      </c>
      <c r="D86">
        <v>1.46</v>
      </c>
      <c r="E86">
        <v>41.1</v>
      </c>
      <c r="F86">
        <v>42.7</v>
      </c>
      <c r="G86">
        <v>270</v>
      </c>
      <c r="H86" t="str">
        <v>51.75%</v>
      </c>
      <c r="I86" t="str">
        <v>7.00</v>
      </c>
      <c r="J86" t="str">
        <v>17.68</v>
      </c>
      <c r="K86" t="str">
        <f t="array" ref="K86:T86">[1]!'6275.TW-OperatingProfitRatio,NetProfitMargin,TFXRatio,MonthlyNetSalesYoY,ReturnOnAssets,DividendYear,ProfitFourSeason,CashDividendYieldRate,StockNetValue,ExchangeIndustry'</f>
        <v>5.82</v>
      </c>
      <c r="L86" t="str">
        <v>5.01</v>
      </c>
      <c r="M86" t="str">
        <v>-35.37</v>
      </c>
      <c r="N86" t="str">
        <v>0.29</v>
      </c>
      <c r="O86" t="str">
        <v>7.25</v>
      </c>
      <c r="P86">
        <v>2.2000000000000002</v>
      </c>
      <c r="Q86" t="str">
        <v>2.86</v>
      </c>
      <c r="R86">
        <v>5.29</v>
      </c>
      <c r="S86" t="str">
        <v>17.50</v>
      </c>
      <c r="T86" t="str">
        <v>上櫃電子零組件</v>
      </c>
      <c r="U86">
        <f t="array" ref="U86:Z86">[1]!'6275.TW-PreTotalVolume,ChipsField25,ChipsField27,DateofMeetingofShareHolders,CompanyPos,TradingDate'</f>
        <v>2757</v>
      </c>
      <c r="V86" t="str">
        <v>--</v>
      </c>
      <c r="W86" t="str">
        <v>--</v>
      </c>
      <c r="X86" t="str">
        <v>2022/05/31</v>
      </c>
      <c r="Y86" t="str">
        <v>以小家電起家，並跨入交直流無刷馬達散熱風扇廠商</v>
      </c>
      <c r="Z86" t="str">
        <v>2022/03/10</v>
      </c>
    </row>
    <row r="87" spans="1:26" x14ac:dyDescent="0.3">
      <c r="A87" t="str">
        <f t="array" ref="A87:J87">[1]!'6187.TW-ID,Name,Price,PriceChangeRatio,Low,High,Volume,InOutRatioNumber,Capital,ProfitMargin'</f>
        <v>6187</v>
      </c>
      <c r="B87" t="str">
        <v>萬潤</v>
      </c>
      <c r="C87">
        <v>132</v>
      </c>
      <c r="D87">
        <v>1.93</v>
      </c>
      <c r="E87">
        <v>132</v>
      </c>
      <c r="F87">
        <v>135.5</v>
      </c>
      <c r="G87">
        <v>119</v>
      </c>
      <c r="H87" t="str">
        <v>42.84%</v>
      </c>
      <c r="I87" t="str">
        <v>8.33</v>
      </c>
      <c r="J87" t="str">
        <v>46.74</v>
      </c>
      <c r="K87" t="str">
        <f t="array" ref="K87:T87">[1]!'6187.TW-OperatingProfitRatio,NetProfitMargin,TFXRatio,MonthlyNetSalesYoY,ReturnOnAssets,DividendYear,ProfitFourSeason,CashDividendYieldRate,StockNetValue,ExchangeIndustry'</f>
        <v>24.41</v>
      </c>
      <c r="L87" t="str">
        <v>20.78</v>
      </c>
      <c r="M87" t="str">
        <v>30.75</v>
      </c>
      <c r="N87" t="str">
        <v>43.34</v>
      </c>
      <c r="O87" t="str">
        <v>17.29</v>
      </c>
      <c r="P87">
        <v>4.5</v>
      </c>
      <c r="Q87" t="str">
        <v>6.65</v>
      </c>
      <c r="R87">
        <v>3.41</v>
      </c>
      <c r="S87" t="str">
        <v>28.27</v>
      </c>
      <c r="T87" t="str">
        <v>上櫃其他電子</v>
      </c>
      <c r="U87">
        <f t="array" ref="U87:Z87">[1]!'6187.TW-PreTotalVolume,ChipsField25,ChipsField27,DateofMeetingofShareHolders,CompanyPos,TradingDate'</f>
        <v>1102</v>
      </c>
      <c r="V87" t="str">
        <v>--</v>
      </c>
      <c r="W87" t="str">
        <v>--</v>
      </c>
      <c r="X87" t="str">
        <v>2022/06/09</v>
      </c>
      <c r="Y87" t="str">
        <v>被動元件、封測暨光電產業設備廠商</v>
      </c>
      <c r="Z87" t="str">
        <v>2022/03/10</v>
      </c>
    </row>
    <row r="88" spans="1:26" x14ac:dyDescent="0.3">
      <c r="A88" t="str">
        <f t="array" ref="A88:J88">[1]!'6288.TW-ID,Name,Price,PriceChangeRatio,Low,High,Volume,InOutRatioNumber,Capital,ProfitMargin'</f>
        <v>6288</v>
      </c>
      <c r="B88" t="str">
        <v>聯嘉</v>
      </c>
      <c r="C88">
        <v>26.15</v>
      </c>
      <c r="D88">
        <v>-0.19</v>
      </c>
      <c r="E88">
        <v>26</v>
      </c>
      <c r="F88">
        <v>26.6</v>
      </c>
      <c r="G88">
        <v>67</v>
      </c>
      <c r="H88" t="str">
        <v>33.33%</v>
      </c>
      <c r="I88" t="str">
        <v>19.52</v>
      </c>
      <c r="J88" t="str">
        <v>19.57</v>
      </c>
      <c r="K88" t="str">
        <f t="array" ref="K88:T88">[1]!'6288.TW-OperatingProfitRatio,NetProfitMargin,TFXRatio,MonthlyNetSalesYoY,ReturnOnAssets,DividendYear,ProfitFourSeason,CashDividendYieldRate,StockNetValue,ExchangeIndustry'</f>
        <v>1.91</v>
      </c>
      <c r="L88" t="str">
        <v>0.44</v>
      </c>
      <c r="M88" t="str">
        <v>-33.11</v>
      </c>
      <c r="N88" t="str">
        <v>-12.98</v>
      </c>
      <c r="O88" t="str">
        <v>0.50</v>
      </c>
      <c r="P88">
        <v>0.4</v>
      </c>
      <c r="Q88" t="str">
        <v>0.22</v>
      </c>
      <c r="R88">
        <v>1.53</v>
      </c>
      <c r="S88" t="str">
        <v>13.62</v>
      </c>
      <c r="T88" t="str">
        <v>上市汽車</v>
      </c>
      <c r="U88">
        <f t="array" ref="U88:Z88">[1]!'6288.TW-PreTotalVolume,ChipsField25,ChipsField27,DateofMeetingofShareHolders,CompanyPos,TradingDate'</f>
        <v>595</v>
      </c>
      <c r="V88" t="str">
        <v>--</v>
      </c>
      <c r="W88" t="str">
        <v>--</v>
      </c>
      <c r="X88" t="str">
        <v>2022/05/26</v>
      </c>
      <c r="Y88" t="str">
        <v>台灣車用LED模組及元件廠</v>
      </c>
      <c r="Z88" t="str">
        <v>2022/03/10</v>
      </c>
    </row>
    <row r="89" spans="1:26" x14ac:dyDescent="0.3">
      <c r="A89" t="str">
        <f t="array" ref="A89:J89">[1]!'3532.TW-ID,Name,Price,PriceChangeRatio,Low,High,Volume,InOutRatioNumber,Capital,ProfitMargin'</f>
        <v>3532</v>
      </c>
      <c r="B89" t="str">
        <v>台勝科</v>
      </c>
      <c r="C89">
        <v>287</v>
      </c>
      <c r="D89">
        <v>3.61</v>
      </c>
      <c r="E89">
        <v>281.5</v>
      </c>
      <c r="F89">
        <v>294</v>
      </c>
      <c r="G89">
        <v>349</v>
      </c>
      <c r="H89" t="str">
        <v>48.12%</v>
      </c>
      <c r="I89" t="str">
        <v>38.78</v>
      </c>
      <c r="J89" t="str">
        <v>20.98</v>
      </c>
      <c r="K89" t="str">
        <f t="array" ref="K89:T89">[1]!'3532.TW-OperatingProfitRatio,NetProfitMargin,TFXRatio,MonthlyNetSalesYoY,ReturnOnAssets,DividendYear,ProfitFourSeason,CashDividendYieldRate,StockNetValue,ExchangeIndustry'</f>
        <v>14.93</v>
      </c>
      <c r="L89" t="str">
        <v>11.60</v>
      </c>
      <c r="M89" t="str">
        <v>-3.43</v>
      </c>
      <c r="N89" t="str">
        <v>23.33</v>
      </c>
      <c r="O89" t="str">
        <v>6.03</v>
      </c>
      <c r="P89">
        <v>2.2200000000000002</v>
      </c>
      <c r="Q89" t="str">
        <v>3.64</v>
      </c>
      <c r="R89">
        <v>0.77</v>
      </c>
      <c r="S89" t="str">
        <v>53.77</v>
      </c>
      <c r="T89" t="str">
        <v>上市半導體</v>
      </c>
      <c r="U89">
        <f t="array" ref="U89:Z89">[1]!'3532.TW-PreTotalVolume,ChipsField25,ChipsField27,DateofMeetingofShareHolders,CompanyPos,TradingDate'</f>
        <v>3134</v>
      </c>
      <c r="V89" t="str">
        <v>--</v>
      </c>
      <c r="W89" t="str">
        <v>--</v>
      </c>
      <c r="X89" t="str">
        <v>2022/06/17</v>
      </c>
      <c r="Y89" t="str">
        <v>台塑與Sumco合資成立的矽晶圓製造商</v>
      </c>
      <c r="Z89" t="str">
        <v>2022/03/10</v>
      </c>
    </row>
    <row r="90" spans="1:26" x14ac:dyDescent="0.3">
      <c r="A90" t="str">
        <f t="array" ref="A90:J90">[1]!'6026.TW-ID,Name,Price,PriceChangeRatio,Low,High,Volume,InOutRatioNumber,Capital,ProfitMargin'</f>
        <v>6026</v>
      </c>
      <c r="B90" t="str">
        <v>福邦證</v>
      </c>
      <c r="C90">
        <v>20.3</v>
      </c>
      <c r="D90">
        <v>-0.49</v>
      </c>
      <c r="E90">
        <v>20.25</v>
      </c>
      <c r="F90">
        <v>20.95</v>
      </c>
      <c r="G90">
        <v>312</v>
      </c>
      <c r="H90" t="str">
        <v>39.91%</v>
      </c>
      <c r="I90" t="str">
        <v>30.01</v>
      </c>
      <c r="J90" t="str">
        <v>99.32</v>
      </c>
      <c r="K90" t="str">
        <f t="array" ref="K90:T90">[1]!'6026.TW-OperatingProfitRatio,NetProfitMargin,TFXRatio,MonthlyNetSalesYoY,ReturnOnAssets,DividendYear,ProfitFourSeason,CashDividendYieldRate,StockNetValue,ExchangeIndustry'</f>
        <v>70.92</v>
      </c>
      <c r="L90" t="str">
        <v>66.39</v>
      </c>
      <c r="M90" t="str">
        <v>-46.78</v>
      </c>
      <c r="N90" t="str">
        <v>-56.43</v>
      </c>
      <c r="O90" t="str">
        <v>14.65</v>
      </c>
      <c r="P90">
        <v>0</v>
      </c>
      <c r="Q90" t="str">
        <v>5.21</v>
      </c>
      <c r="R90">
        <v>0</v>
      </c>
      <c r="S90" t="str">
        <v>17.14</v>
      </c>
      <c r="T90" t="str">
        <v>上櫃金融</v>
      </c>
      <c r="U90">
        <f t="array" ref="U90:Z90">[1]!'6026.TW-PreTotalVolume,ChipsField25,ChipsField27,DateofMeetingofShareHolders,CompanyPos,TradingDate'</f>
        <v>3272</v>
      </c>
      <c r="V90" t="str">
        <v>--</v>
      </c>
      <c r="W90" t="str">
        <v>--</v>
      </c>
      <c r="X90" t="str">
        <v>2022/06/30</v>
      </c>
      <c r="Y90" t="str">
        <v>台灣小型綜合證券業務商</v>
      </c>
      <c r="Z90" t="str">
        <v>2022/03/10</v>
      </c>
    </row>
    <row r="91" spans="1:26" x14ac:dyDescent="0.3">
      <c r="A91" t="str">
        <f t="array" ref="A91:J91">[1]!'2515.TW-ID,Name,Price,PriceChangeRatio,Low,High,Volume,InOutRatioNumber,Capital,ProfitMargin'</f>
        <v>2515</v>
      </c>
      <c r="B91" t="str">
        <v>中工</v>
      </c>
      <c r="C91">
        <v>8.81</v>
      </c>
      <c r="D91">
        <v>1.03</v>
      </c>
      <c r="E91">
        <v>8.7100000000000009</v>
      </c>
      <c r="F91">
        <v>8.85</v>
      </c>
      <c r="G91">
        <v>59</v>
      </c>
      <c r="H91" t="str">
        <v>43.19%</v>
      </c>
      <c r="I91" t="str">
        <v>153.09</v>
      </c>
      <c r="J91" t="str">
        <v>7.32</v>
      </c>
      <c r="K91" t="str">
        <f t="array" ref="K91:T91">[1]!'2515.TW-OperatingProfitRatio,NetProfitMargin,TFXRatio,MonthlyNetSalesYoY,ReturnOnAssets,DividendYear,ProfitFourSeason,CashDividendYieldRate,StockNetValue,ExchangeIndustry'</f>
        <v>3.88</v>
      </c>
      <c r="L91" t="str">
        <v>2.29</v>
      </c>
      <c r="M91" t="str">
        <v>-15.08</v>
      </c>
      <c r="N91" t="str">
        <v>6.93</v>
      </c>
      <c r="O91" t="str">
        <v>0.86</v>
      </c>
      <c r="P91">
        <v>0.23</v>
      </c>
      <c r="Q91" t="str">
        <v>0.33</v>
      </c>
      <c r="R91">
        <v>2.61</v>
      </c>
      <c r="S91" t="str">
        <v>13.24</v>
      </c>
      <c r="T91" t="str">
        <v>上市建材營造</v>
      </c>
      <c r="U91">
        <f t="array" ref="U91:Z91">[1]!'2515.TW-PreTotalVolume,ChipsField25,ChipsField27,DateofMeetingofShareHolders,CompanyPos,TradingDate'</f>
        <v>1841</v>
      </c>
      <c r="V91" t="str">
        <v>2021/09/22</v>
      </c>
      <c r="W91" t="str">
        <v>--</v>
      </c>
      <c r="X91" t="str">
        <v>2021/08/04</v>
      </c>
      <c r="Y91" t="str">
        <v>威京集團成員之一，為專業建築工程廠商</v>
      </c>
      <c r="Z91" t="str">
        <v>2022/03/10</v>
      </c>
    </row>
    <row r="92" spans="1:26" x14ac:dyDescent="0.3">
      <c r="A92" t="str">
        <f t="array" ref="A92:J92">[1]!'4958.TW-ID,Name,Price,PriceChangeRatio,Low,High,Volume,InOutRatioNumber,Capital,ProfitMargin'</f>
        <v>4958</v>
      </c>
      <c r="B92" t="str">
        <v>臻鼎-KY</v>
      </c>
      <c r="C92">
        <v>95</v>
      </c>
      <c r="D92">
        <v>3.04</v>
      </c>
      <c r="E92">
        <v>93.5</v>
      </c>
      <c r="F92">
        <v>95.3</v>
      </c>
      <c r="G92">
        <v>144</v>
      </c>
      <c r="H92" t="str">
        <v>61.85%</v>
      </c>
      <c r="I92" t="str">
        <v>94.70</v>
      </c>
      <c r="J92" t="str">
        <v>18.64</v>
      </c>
      <c r="K92" t="str">
        <f t="array" ref="K92:T92">[1]!'4958.TW-OperatingProfitRatio,NetProfitMargin,TFXRatio,MonthlyNetSalesYoY,ReturnOnAssets,DividendYear,ProfitFourSeason,CashDividendYieldRate,StockNetValue,ExchangeIndustry'</f>
        <v>7.59</v>
      </c>
      <c r="L92" t="str">
        <v>6.93</v>
      </c>
      <c r="M92" t="str">
        <v>-4.91</v>
      </c>
      <c r="N92" t="str">
        <v>31.52</v>
      </c>
      <c r="O92" t="str">
        <v>3.85</v>
      </c>
      <c r="P92">
        <v>4.5</v>
      </c>
      <c r="Q92" t="str">
        <v>9.72</v>
      </c>
      <c r="R92">
        <v>4.74</v>
      </c>
      <c r="S92" t="str">
        <v>82.53</v>
      </c>
      <c r="T92" t="str">
        <v>上市電子零組件</v>
      </c>
      <c r="U92">
        <f t="array" ref="U92:Z92">[1]!'4958.TW-PreTotalVolume,ChipsField25,ChipsField27,DateofMeetingofShareHolders,CompanyPos,TradingDate'</f>
        <v>1084</v>
      </c>
      <c r="V92" t="str">
        <v>2021/06/30</v>
      </c>
      <c r="W92" t="str">
        <v>--</v>
      </c>
      <c r="X92" t="str">
        <v>2021/07/01</v>
      </c>
      <c r="Y92" t="str">
        <v>鴻海轉投資的全球第一大PCB廠</v>
      </c>
      <c r="Z92" t="str">
        <v>2022/03/10</v>
      </c>
    </row>
    <row r="93" spans="1:26" x14ac:dyDescent="0.3">
      <c r="A93" t="str">
        <f t="array" ref="A93:J93">[1]!'2007.TW-ID,Name,Price,PriceChangeRatio,Low,High,Volume,InOutRatioNumber,Capital,ProfitMargin'</f>
        <v>2007</v>
      </c>
      <c r="B93" t="str">
        <v>燁興</v>
      </c>
      <c r="C93">
        <v>20.399999999999999</v>
      </c>
      <c r="D93">
        <v>-0.24</v>
      </c>
      <c r="E93">
        <v>20.25</v>
      </c>
      <c r="F93">
        <v>21</v>
      </c>
      <c r="G93">
        <v>448</v>
      </c>
      <c r="H93" t="str">
        <v>65.32%</v>
      </c>
      <c r="I93" t="str">
        <v>53.07</v>
      </c>
      <c r="J93" t="str">
        <v>8.16</v>
      </c>
      <c r="K93" t="str">
        <f t="array" ref="K93:T93">[1]!'2007.TW-OperatingProfitRatio,NetProfitMargin,TFXRatio,MonthlyNetSalesYoY,ReturnOnAssets,DividendYear,ProfitFourSeason,CashDividendYieldRate,StockNetValue,ExchangeIndustry'</f>
        <v>5.63</v>
      </c>
      <c r="L93" t="str">
        <v>0.68</v>
      </c>
      <c r="M93" t="str">
        <v>-3.37</v>
      </c>
      <c r="N93" t="str">
        <v>1.68</v>
      </c>
      <c r="O93" t="str">
        <v>0.82</v>
      </c>
      <c r="P93">
        <v>0</v>
      </c>
      <c r="Q93" t="str">
        <v>-0.06</v>
      </c>
      <c r="R93">
        <v>0</v>
      </c>
      <c r="S93" t="str">
        <v>14.10</v>
      </c>
      <c r="T93" t="str">
        <v>上市鋼鐵</v>
      </c>
      <c r="U93">
        <f t="array" ref="U93:Z93">[1]!'2007.TW-PreTotalVolume,ChipsField25,ChipsField27,DateofMeetingofShareHolders,CompanyPos,TradingDate'</f>
        <v>8355</v>
      </c>
      <c r="V93" t="str">
        <v>--</v>
      </c>
      <c r="W93" t="str">
        <v>--</v>
      </c>
      <c r="X93" t="str">
        <v>2022/06/22</v>
      </c>
      <c r="Y93" t="str">
        <v>台灣不鏽鋼線材盤元大廠之一</v>
      </c>
      <c r="Z93" t="str">
        <v>2022/03/10</v>
      </c>
    </row>
    <row r="94" spans="1:26" x14ac:dyDescent="0.3">
      <c r="A94" t="str">
        <f t="array" ref="A94:J94">[1]!'1301.TW-ID,Name,Price,PriceChangeRatio,Low,High,Volume,InOutRatioNumber,Capital,ProfitMargin'</f>
        <v>1301</v>
      </c>
      <c r="B94" t="str">
        <v>台塑</v>
      </c>
      <c r="C94">
        <v>105</v>
      </c>
      <c r="D94">
        <v>-0.47</v>
      </c>
      <c r="E94">
        <v>104.5</v>
      </c>
      <c r="F94">
        <v>107</v>
      </c>
      <c r="G94">
        <v>1460</v>
      </c>
      <c r="H94" t="str">
        <v>27.96%</v>
      </c>
      <c r="I94" t="str">
        <v>636.57</v>
      </c>
      <c r="J94" t="str">
        <v>27.90</v>
      </c>
      <c r="K94" t="str">
        <f t="array" ref="K94:T94">[1]!'1301.TW-OperatingProfitRatio,NetProfitMargin,TFXRatio,MonthlyNetSalesYoY,ReturnOnAssets,DividendYear,ProfitFourSeason,CashDividendYieldRate,StockNetValue,ExchangeIndustry'</f>
        <v>22.12</v>
      </c>
      <c r="L94" t="str">
        <v>27.36</v>
      </c>
      <c r="M94" t="str">
        <v>-13.98</v>
      </c>
      <c r="N94" t="str">
        <v>25.81</v>
      </c>
      <c r="O94" t="str">
        <v>10.93</v>
      </c>
      <c r="P94">
        <v>2.4</v>
      </c>
      <c r="Q94" t="str">
        <v>11.21</v>
      </c>
      <c r="R94">
        <v>2.29</v>
      </c>
      <c r="S94" t="str">
        <v>60.37</v>
      </c>
      <c r="T94" t="str">
        <v>上市塑膠</v>
      </c>
      <c r="U94">
        <f t="array" ref="U94:Z94">[1]!'1301.TW-PreTotalVolume,ChipsField25,ChipsField27,DateofMeetingofShareHolders,CompanyPos,TradingDate'</f>
        <v>7165</v>
      </c>
      <c r="V94" t="str">
        <v>2021/07/30</v>
      </c>
      <c r="W94" t="str">
        <v>--</v>
      </c>
      <c r="X94" t="str">
        <v>2022/06/09</v>
      </c>
      <c r="Y94" t="str">
        <v>台灣最大塑化集團，亞洲最大PVC生產商</v>
      </c>
      <c r="Z94" t="str">
        <v>2022/03/10</v>
      </c>
    </row>
    <row r="95" spans="1:26" x14ac:dyDescent="0.3">
      <c r="A95" t="str">
        <f t="array" ref="A95:J95">[1]!'1305.TW-ID,Name,Price,PriceChangeRatio,Low,High,Volume,InOutRatioNumber,Capital,ProfitMargin'</f>
        <v>1305</v>
      </c>
      <c r="B95" t="str">
        <v>華夏</v>
      </c>
      <c r="C95">
        <v>34.299999999999997</v>
      </c>
      <c r="D95">
        <v>0.88</v>
      </c>
      <c r="E95">
        <v>34.25</v>
      </c>
      <c r="F95">
        <v>34.6</v>
      </c>
      <c r="G95">
        <v>58</v>
      </c>
      <c r="H95" t="str">
        <v>39.16%</v>
      </c>
      <c r="I95" t="str">
        <v>58.11</v>
      </c>
      <c r="J95" t="str">
        <v>25.41</v>
      </c>
      <c r="K95" t="str">
        <f t="array" ref="K95:T95">[1]!'1305.TW-OperatingProfitRatio,NetProfitMargin,TFXRatio,MonthlyNetSalesYoY,ReturnOnAssets,DividendYear,ProfitFourSeason,CashDividendYieldRate,StockNetValue,ExchangeIndustry'</f>
        <v>16.78</v>
      </c>
      <c r="L95" t="str">
        <v>13.25</v>
      </c>
      <c r="M95" t="str">
        <v>-16.85</v>
      </c>
      <c r="N95" t="str">
        <v>1.31</v>
      </c>
      <c r="O95" t="str">
        <v>12.86</v>
      </c>
      <c r="P95">
        <v>2.5</v>
      </c>
      <c r="Q95" t="str">
        <v>4.30</v>
      </c>
      <c r="R95">
        <v>7.29</v>
      </c>
      <c r="S95" t="str">
        <v>18.27</v>
      </c>
      <c r="T95" t="str">
        <v>上市塑膠</v>
      </c>
      <c r="U95">
        <f t="array" ref="U95:Z95">[1]!'1305.TW-PreTotalVolume,ChipsField25,ChipsField27,DateofMeetingofShareHolders,CompanyPos,TradingDate'</f>
        <v>1609</v>
      </c>
      <c r="V95" t="str">
        <v>--</v>
      </c>
      <c r="W95" t="str">
        <v>--</v>
      </c>
      <c r="X95" t="str">
        <v>2022/05/30</v>
      </c>
      <c r="Y95" t="str">
        <v>台灣第二大PVC廠，轉投資台氯</v>
      </c>
      <c r="Z95" t="str">
        <v>2022/03/10</v>
      </c>
    </row>
    <row r="96" spans="1:26" x14ac:dyDescent="0.3">
      <c r="A96" t="str">
        <f t="array" ref="A96:J96">[1]!'2527.TW-ID,Name,Price,PriceChangeRatio,Low,High,Volume,InOutRatioNumber,Capital,ProfitMargin'</f>
        <v>2527</v>
      </c>
      <c r="B96" t="str">
        <v>宏璟</v>
      </c>
      <c r="C96">
        <v>29.7</v>
      </c>
      <c r="D96">
        <v>-1</v>
      </c>
      <c r="E96">
        <v>29.65</v>
      </c>
      <c r="F96">
        <v>30.15</v>
      </c>
      <c r="G96">
        <v>21</v>
      </c>
      <c r="H96" t="str">
        <v>31.81%</v>
      </c>
      <c r="I96" t="str">
        <v>27.03</v>
      </c>
      <c r="J96" t="str">
        <v>33.07</v>
      </c>
      <c r="K96" t="str">
        <f t="array" ref="K96:T96">[1]!'2527.TW-OperatingProfitRatio,NetProfitMargin,TFXRatio,MonthlyNetSalesYoY,ReturnOnAssets,DividendYear,ProfitFourSeason,CashDividendYieldRate,StockNetValue,ExchangeIndustry'</f>
        <v>25.49</v>
      </c>
      <c r="L96" t="str">
        <v>23.69</v>
      </c>
      <c r="M96" t="str">
        <v>-91.63</v>
      </c>
      <c r="N96" t="str">
        <v>-94.44</v>
      </c>
      <c r="O96" t="str">
        <v>8.46</v>
      </c>
      <c r="P96">
        <v>3</v>
      </c>
      <c r="Q96" t="str">
        <v>6.14</v>
      </c>
      <c r="R96">
        <v>10.1</v>
      </c>
      <c r="S96" t="str">
        <v>39.07</v>
      </c>
      <c r="T96" t="str">
        <v>上市建材營造</v>
      </c>
      <c r="U96">
        <f t="array" ref="U96:Z96">[1]!'2527.TW-PreTotalVolume,ChipsField25,ChipsField27,DateofMeetingofShareHolders,CompanyPos,TradingDate'</f>
        <v>584</v>
      </c>
      <c r="V96" t="str">
        <v>--</v>
      </c>
      <c r="W96" t="str">
        <v>--</v>
      </c>
      <c r="X96" t="str">
        <v>2022/06/27</v>
      </c>
      <c r="Y96" t="str">
        <v>日月光集團旗下建商</v>
      </c>
      <c r="Z96" t="str">
        <v>2022/03/10</v>
      </c>
    </row>
    <row r="97" spans="1:26" x14ac:dyDescent="0.3">
      <c r="A97" t="str">
        <f t="array" ref="A97:J97">[1]!'3687.TW-ID,Name,Price,PriceChangeRatio,Low,High,Volume,InOutRatioNumber,Capital,ProfitMargin'</f>
        <v>3687</v>
      </c>
      <c r="B97" t="str">
        <v>歐買尬</v>
      </c>
      <c r="C97">
        <v>186</v>
      </c>
      <c r="D97">
        <v>4.49</v>
      </c>
      <c r="E97">
        <v>181.5</v>
      </c>
      <c r="F97">
        <v>194.5</v>
      </c>
      <c r="G97">
        <v>304</v>
      </c>
      <c r="H97" t="str">
        <v>51.38%</v>
      </c>
      <c r="I97" t="str">
        <v>3.01</v>
      </c>
      <c r="J97" t="str">
        <v>41.69</v>
      </c>
      <c r="K97" t="str">
        <f t="array" ref="K97:T97">[1]!'3687.TW-OperatingProfitRatio,NetProfitMargin,TFXRatio,MonthlyNetSalesYoY,ReturnOnAssets,DividendYear,ProfitFourSeason,CashDividendYieldRate,StockNetValue,ExchangeIndustry'</f>
        <v>21.70</v>
      </c>
      <c r="L97" t="str">
        <v>17.59</v>
      </c>
      <c r="M97" t="str">
        <v>-19.06</v>
      </c>
      <c r="N97" t="str">
        <v>10.10</v>
      </c>
      <c r="O97" t="str">
        <v>5.52</v>
      </c>
      <c r="P97">
        <v>1.2</v>
      </c>
      <c r="Q97" t="str">
        <v>2.42</v>
      </c>
      <c r="R97">
        <v>0.65</v>
      </c>
      <c r="S97" t="str">
        <v>23.64</v>
      </c>
      <c r="T97" t="str">
        <v>上櫃電子商務</v>
      </c>
      <c r="U97">
        <f t="array" ref="U97:Z97">[1]!'3687.TW-PreTotalVolume,ChipsField25,ChipsField27,DateofMeetingofShareHolders,CompanyPos,TradingDate'</f>
        <v>3009</v>
      </c>
      <c r="V97" t="str">
        <v>--</v>
      </c>
      <c r="W97" t="str">
        <v>--</v>
      </c>
      <c r="X97" t="str">
        <v>2021/07/22</v>
      </c>
      <c r="Y97" t="str">
        <v>第三方金流服務及遊戲代理商</v>
      </c>
      <c r="Z97" t="str">
        <v>2022/03/10</v>
      </c>
    </row>
    <row r="98" spans="1:26" x14ac:dyDescent="0.3">
      <c r="A98" t="str">
        <f t="array" ref="A98:J98">[1]!'3707.TW-ID,Name,Price,PriceChangeRatio,Low,High,Volume,InOutRatioNumber,Capital,ProfitMargin'</f>
        <v>3707</v>
      </c>
      <c r="B98" t="str">
        <v>漢磊</v>
      </c>
      <c r="C98">
        <v>118</v>
      </c>
      <c r="D98">
        <v>9.77</v>
      </c>
      <c r="E98">
        <v>112</v>
      </c>
      <c r="F98">
        <v>118</v>
      </c>
      <c r="G98">
        <v>42</v>
      </c>
      <c r="H98" t="str">
        <v>84.94%</v>
      </c>
      <c r="I98" t="str">
        <v>33.09</v>
      </c>
      <c r="J98" t="str">
        <v>13.62</v>
      </c>
      <c r="K98" t="str">
        <f t="array" ref="K98:T98">[1]!'3707.TW-OperatingProfitRatio,NetProfitMargin,TFXRatio,MonthlyNetSalesYoY,ReturnOnAssets,DividendYear,ProfitFourSeason,CashDividendYieldRate,StockNetValue,ExchangeIndustry'</f>
        <v>6.68</v>
      </c>
      <c r="L98" t="str">
        <v>5.33</v>
      </c>
      <c r="M98" t="str">
        <v>-2.02</v>
      </c>
      <c r="N98" t="str">
        <v>28.69</v>
      </c>
      <c r="O98" t="str">
        <v>4.45</v>
      </c>
      <c r="P98">
        <v>0.35</v>
      </c>
      <c r="Q98" t="str">
        <v>0.74</v>
      </c>
      <c r="R98">
        <v>0.3</v>
      </c>
      <c r="S98" t="str">
        <v>13.53</v>
      </c>
      <c r="T98" t="str">
        <v>上櫃半導體</v>
      </c>
      <c r="U98">
        <f t="array" ref="U98:Z98">[1]!'3707.TW-PreTotalVolume,ChipsField25,ChipsField27,DateofMeetingofShareHolders,CompanyPos,TradingDate'</f>
        <v>8714</v>
      </c>
      <c r="V98" t="str">
        <v>--</v>
      </c>
      <c r="W98" t="str">
        <v>--</v>
      </c>
      <c r="X98" t="str">
        <v>2022/06/17</v>
      </c>
      <c r="Y98" t="str">
        <v>中小型晶圓代工與磊晶供應商</v>
      </c>
      <c r="Z98" t="str">
        <v>2022/03/10</v>
      </c>
    </row>
    <row r="99" spans="1:26" x14ac:dyDescent="0.3">
      <c r="A99" t="str">
        <f t="array" ref="A99:J99">[1]!'3455.TW-ID,Name,Price,PriceChangeRatio,Low,High,Volume,InOutRatioNumber,Capital,ProfitMargin'</f>
        <v>3455</v>
      </c>
      <c r="B99" t="str">
        <v>由田</v>
      </c>
      <c r="C99">
        <v>95.9</v>
      </c>
      <c r="D99">
        <v>2.79</v>
      </c>
      <c r="E99">
        <v>95.7</v>
      </c>
      <c r="F99">
        <v>98.5</v>
      </c>
      <c r="G99">
        <v>230</v>
      </c>
      <c r="H99" t="str">
        <v>50.40%</v>
      </c>
      <c r="I99" t="str">
        <v>5.99</v>
      </c>
      <c r="J99" t="str">
        <v>51.23</v>
      </c>
      <c r="K99" t="str">
        <f t="array" ref="K99:T99">[1]!'3455.TW-OperatingProfitRatio,NetProfitMargin,TFXRatio,MonthlyNetSalesYoY,ReturnOnAssets,DividendYear,ProfitFourSeason,CashDividendYieldRate,StockNetValue,ExchangeIndustry'</f>
        <v>18.40</v>
      </c>
      <c r="L99" t="str">
        <v>15.53</v>
      </c>
      <c r="M99" t="str">
        <v>-1.45</v>
      </c>
      <c r="N99" t="str">
        <v>3.74</v>
      </c>
      <c r="O99" t="str">
        <v>7.23</v>
      </c>
      <c r="P99">
        <v>4</v>
      </c>
      <c r="Q99" t="str">
        <v>6.76</v>
      </c>
      <c r="R99">
        <v>4.17</v>
      </c>
      <c r="S99" t="str">
        <v>37.55</v>
      </c>
      <c r="T99" t="str">
        <v>上櫃光電</v>
      </c>
      <c r="U99">
        <f t="array" ref="U99:Z99">[1]!'3455.TW-PreTotalVolume,ChipsField25,ChipsField27,DateofMeetingofShareHolders,CompanyPos,TradingDate'</f>
        <v>2392</v>
      </c>
      <c r="V99" t="str">
        <v>2021/08/30</v>
      </c>
      <c r="W99" t="str">
        <v>--</v>
      </c>
      <c r="X99" t="str">
        <v>2021/08/27</v>
      </c>
      <c r="Y99" t="str">
        <v>台灣最大光學檢測設備製造商</v>
      </c>
      <c r="Z99" t="str">
        <v>2022/03/10</v>
      </c>
    </row>
    <row r="100" spans="1:26" x14ac:dyDescent="0.3">
      <c r="A100" t="str">
        <f t="array" ref="A100:J100">[1]!'5706.TW-ID,Name,Price,PriceChangeRatio,Low,High,Volume,InOutRatioNumber,Capital,ProfitMargin'</f>
        <v>5706</v>
      </c>
      <c r="B100" t="str">
        <v>鳳凰</v>
      </c>
      <c r="C100">
        <v>61.9</v>
      </c>
      <c r="D100">
        <v>-0.16</v>
      </c>
      <c r="E100">
        <v>61.8</v>
      </c>
      <c r="F100">
        <v>68</v>
      </c>
      <c r="G100">
        <v>597</v>
      </c>
      <c r="H100" t="str">
        <v>47.57%</v>
      </c>
      <c r="I100" t="str">
        <v>6.71</v>
      </c>
      <c r="J100" t="str">
        <v>26.05</v>
      </c>
      <c r="K100" t="str">
        <f t="array" ref="K100:T100">[1]!'5706.TW-OperatingProfitRatio,NetProfitMargin,TFXRatio,MonthlyNetSalesYoY,ReturnOnAssets,DividendYear,ProfitFourSeason,CashDividendYieldRate,StockNetValue,ExchangeIndustry'</f>
        <v>-38.81</v>
      </c>
      <c r="L100" t="str">
        <v>61.83</v>
      </c>
      <c r="M100" t="str">
        <v>67.26</v>
      </c>
      <c r="N100" t="str">
        <v>1.91</v>
      </c>
      <c r="O100" t="str">
        <v>3.23</v>
      </c>
      <c r="P100">
        <v>0.3</v>
      </c>
      <c r="Q100" t="str">
        <v>1.04</v>
      </c>
      <c r="R100">
        <v>0.48</v>
      </c>
      <c r="S100" t="str">
        <v>18.32</v>
      </c>
      <c r="T100" t="str">
        <v>上市觀光</v>
      </c>
      <c r="U100">
        <f t="array" ref="U100:Z100">[1]!'5706.TW-PreTotalVolume,ChipsField25,ChipsField27,DateofMeetingofShareHolders,CompanyPos,TradingDate'</f>
        <v>8532</v>
      </c>
      <c r="V100" t="str">
        <v>2021/08/02</v>
      </c>
      <c r="W100" t="str">
        <v>--</v>
      </c>
      <c r="X100" t="str">
        <v>2021/07/16</v>
      </c>
      <c r="Y100" t="str">
        <v>台灣首家上市旅行社，提供國內外全方位旅遊產品</v>
      </c>
      <c r="Z100" t="str">
        <v>2022/03/10</v>
      </c>
    </row>
    <row r="101" spans="1:26" x14ac:dyDescent="0.3">
      <c r="A101" t="str">
        <f t="array" ref="A101:J101">[1]!'2883.TW-ID,Name,Price,PriceChangeRatio,Low,High,Volume,InOutRatioNumber,Capital,ProfitMargin'</f>
        <v>2883</v>
      </c>
      <c r="B101" t="str">
        <v>開發金</v>
      </c>
      <c r="C101">
        <v>17.7</v>
      </c>
      <c r="D101">
        <v>3.81</v>
      </c>
      <c r="E101">
        <v>17.45</v>
      </c>
      <c r="F101">
        <v>17.95</v>
      </c>
      <c r="G101">
        <v>4418</v>
      </c>
      <c r="H101" t="str">
        <v>54.41%</v>
      </c>
      <c r="I101" t="str">
        <v>1719.28</v>
      </c>
      <c r="J101" t="str">
        <v>--</v>
      </c>
      <c r="K101" t="str">
        <f t="array" ref="K101:T101">[1]!'2883.TW-OperatingProfitRatio,NetProfitMargin,TFXRatio,MonthlyNetSalesYoY,ReturnOnAssets,DividendYear,ProfitFourSeason,CashDividendYieldRate,StockNetValue,ExchangeIndustry'</f>
        <v>--</v>
      </c>
      <c r="L101" t="str">
        <v>72.32</v>
      </c>
      <c r="M101" t="str">
        <v>-11.01</v>
      </c>
      <c r="N101" t="str">
        <v>-26.46</v>
      </c>
      <c r="O101" t="str">
        <v>1.23</v>
      </c>
      <c r="P101">
        <v>0</v>
      </c>
      <c r="Q101" t="str">
        <v>2.33</v>
      </c>
      <c r="R101">
        <v>0</v>
      </c>
      <c r="S101" t="str">
        <v>14.81</v>
      </c>
      <c r="T101" t="str">
        <v>上市金融保險</v>
      </c>
      <c r="U101">
        <f t="array" ref="U101:Z101">[1]!'2883.TW-PreTotalVolume,ChipsField25,ChipsField27,DateofMeetingofShareHolders,CompanyPos,TradingDate'</f>
        <v>59310</v>
      </c>
      <c r="V101" t="str">
        <v>--</v>
      </c>
      <c r="W101" t="str">
        <v>--</v>
      </c>
      <c r="X101" t="str">
        <v>2022/06/17</v>
      </c>
      <c r="Y101" t="str">
        <v>以投資銀行業務為主之金控，並藉購併跨入證券與商業銀行領域</v>
      </c>
      <c r="Z101" t="str">
        <v>2022/03/10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2022-03-10T17:55:33Z</dcterms:created>
  <dcterms:modified xsi:type="dcterms:W3CDTF">2022-03-10T17:55:49Z</dcterms:modified>
</cp:coreProperties>
</file>