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8.1\"/>
    </mc:Choice>
  </mc:AlternateContent>
  <xr:revisionPtr revIDLastSave="0" documentId="8_{41C420A6-C58D-4353-B9C1-BA3B795165B6}" xr6:coauthVersionLast="47" xr6:coauthVersionMax="47" xr10:uidLastSave="{00000000-0000-0000-0000-000000000000}"/>
  <bookViews>
    <workbookView xWindow="5112" yWindow="2088" windowWidth="26292" windowHeight="13704" xr2:uid="{DC92C732-A210-4804-80D8-6D2C6D7180EA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798" i="1" l="1" a="1"/>
  <c r="AE798" i="1" s="1"/>
  <c r="U798" i="1" a="1"/>
  <c r="U798" i="1" s="1"/>
  <c r="K798" i="1" a="1"/>
  <c r="K798" i="1" s="1"/>
  <c r="A798" i="1" a="1"/>
  <c r="A798" i="1" s="1"/>
  <c r="AE797" i="1" a="1"/>
  <c r="AE797" i="1" s="1"/>
  <c r="U797" i="1" a="1"/>
  <c r="U797" i="1" s="1"/>
  <c r="K797" i="1" a="1"/>
  <c r="K797" i="1" s="1"/>
  <c r="A797" i="1" a="1"/>
  <c r="A797" i="1" s="1"/>
  <c r="AE796" i="1" a="1"/>
  <c r="AE796" i="1" s="1"/>
  <c r="U796" i="1" a="1"/>
  <c r="U796" i="1" s="1"/>
  <c r="AA796" i="1"/>
  <c r="AB796" i="1"/>
  <c r="AC796" i="1"/>
  <c r="AD796" i="1"/>
  <c r="K796" i="1" a="1"/>
  <c r="K796" i="1" s="1"/>
  <c r="A796" i="1" a="1"/>
  <c r="A796" i="1" s="1"/>
  <c r="AE795" i="1" a="1"/>
  <c r="AE795" i="1" s="1"/>
  <c r="U795" i="1" a="1"/>
  <c r="U795" i="1" s="1"/>
  <c r="K795" i="1" a="1"/>
  <c r="K795" i="1" s="1"/>
  <c r="O795" i="1"/>
  <c r="A795" i="1" a="1"/>
  <c r="A795" i="1" s="1"/>
  <c r="AE794" i="1" a="1"/>
  <c r="AE794" i="1" s="1"/>
  <c r="U794" i="1" a="1"/>
  <c r="U794" i="1" s="1"/>
  <c r="K794" i="1" a="1"/>
  <c r="K794" i="1" s="1"/>
  <c r="A794" i="1" a="1"/>
  <c r="A794" i="1" s="1"/>
  <c r="AE793" i="1" a="1"/>
  <c r="AE793" i="1" s="1"/>
  <c r="U793" i="1" a="1"/>
  <c r="U793" i="1" s="1"/>
  <c r="K793" i="1" a="1"/>
  <c r="K793" i="1" s="1"/>
  <c r="R793" i="1"/>
  <c r="A793" i="1" a="1"/>
  <c r="A793" i="1" s="1"/>
  <c r="AE792" i="1" a="1"/>
  <c r="AE792" i="1" s="1"/>
  <c r="U792" i="1" a="1"/>
  <c r="U792" i="1" s="1"/>
  <c r="K792" i="1" a="1"/>
  <c r="K792" i="1" s="1"/>
  <c r="P792" i="1"/>
  <c r="T792" i="1"/>
  <c r="A792" i="1" a="1"/>
  <c r="A792" i="1" s="1"/>
  <c r="AE791" i="1" a="1"/>
  <c r="AE791" i="1" s="1"/>
  <c r="U791" i="1" a="1"/>
  <c r="U791" i="1" s="1"/>
  <c r="K791" i="1" a="1"/>
  <c r="K791" i="1" s="1"/>
  <c r="A791" i="1" a="1"/>
  <c r="A791" i="1" s="1"/>
  <c r="AE790" i="1" a="1"/>
  <c r="AE790" i="1" s="1"/>
  <c r="U790" i="1" a="1"/>
  <c r="U790" i="1" s="1"/>
  <c r="K790" i="1" a="1"/>
  <c r="K790" i="1" s="1"/>
  <c r="Q790" i="1"/>
  <c r="A790" i="1" a="1"/>
  <c r="A790" i="1" s="1"/>
  <c r="AE789" i="1" a="1"/>
  <c r="AE789" i="1" s="1"/>
  <c r="U789" i="1" a="1"/>
  <c r="U789" i="1" s="1"/>
  <c r="Y789" i="1"/>
  <c r="Z789" i="1"/>
  <c r="AD789" i="1"/>
  <c r="K789" i="1" a="1"/>
  <c r="K789" i="1" s="1"/>
  <c r="Q789" i="1"/>
  <c r="R789" i="1"/>
  <c r="A789" i="1" a="1"/>
  <c r="A789" i="1" s="1"/>
  <c r="AE788" i="1" a="1"/>
  <c r="AE788" i="1" s="1"/>
  <c r="U788" i="1" a="1"/>
  <c r="U788" i="1" s="1"/>
  <c r="K788" i="1" a="1"/>
  <c r="K788" i="1" s="1"/>
  <c r="O788" i="1"/>
  <c r="A788" i="1" a="1"/>
  <c r="A788" i="1" s="1"/>
  <c r="AE787" i="1" a="1"/>
  <c r="AE787" i="1" s="1"/>
  <c r="U787" i="1" a="1"/>
  <c r="U787" i="1" s="1"/>
  <c r="Y787" i="1"/>
  <c r="Z787" i="1"/>
  <c r="AA787" i="1"/>
  <c r="AB787" i="1"/>
  <c r="AC787" i="1"/>
  <c r="K787" i="1" a="1"/>
  <c r="K787" i="1" s="1"/>
  <c r="O787" i="1"/>
  <c r="P787" i="1"/>
  <c r="Q787" i="1"/>
  <c r="R787" i="1"/>
  <c r="S787" i="1"/>
  <c r="T787" i="1"/>
  <c r="A787" i="1" a="1"/>
  <c r="A787" i="1" s="1"/>
  <c r="J787" i="1"/>
  <c r="AE786" i="1" a="1"/>
  <c r="AE786" i="1" s="1"/>
  <c r="U786" i="1" a="1"/>
  <c r="U786" i="1" s="1"/>
  <c r="Y786" i="1"/>
  <c r="K786" i="1" a="1"/>
  <c r="K786" i="1" s="1"/>
  <c r="A786" i="1" a="1"/>
  <c r="A786" i="1" s="1"/>
  <c r="AE785" i="1" a="1"/>
  <c r="AE785" i="1" s="1"/>
  <c r="U785" i="1" a="1"/>
  <c r="U785" i="1" s="1"/>
  <c r="K785" i="1" a="1"/>
  <c r="K785" i="1" s="1"/>
  <c r="A785" i="1" a="1"/>
  <c r="A785" i="1" s="1"/>
  <c r="J785" i="1"/>
  <c r="AE784" i="1" a="1"/>
  <c r="AE784" i="1" s="1"/>
  <c r="AG784" i="1"/>
  <c r="AH784" i="1"/>
  <c r="U784" i="1" a="1"/>
  <c r="U784" i="1" s="1"/>
  <c r="K784" i="1" a="1"/>
  <c r="K784" i="1" s="1"/>
  <c r="A784" i="1" a="1"/>
  <c r="A784" i="1" s="1"/>
  <c r="J784" i="1"/>
  <c r="AE783" i="1" a="1"/>
  <c r="AE783" i="1" s="1"/>
  <c r="U783" i="1" a="1"/>
  <c r="U783" i="1" s="1"/>
  <c r="K783" i="1" a="1"/>
  <c r="K783" i="1" s="1"/>
  <c r="A783" i="1" a="1"/>
  <c r="A783" i="1" s="1"/>
  <c r="AE782" i="1" a="1"/>
  <c r="AE782" i="1" s="1"/>
  <c r="U782" i="1" a="1"/>
  <c r="U782" i="1" s="1"/>
  <c r="Z782" i="1"/>
  <c r="AB782" i="1"/>
  <c r="AC782" i="1"/>
  <c r="AD782" i="1"/>
  <c r="K782" i="1" a="1"/>
  <c r="K782" i="1" s="1"/>
  <c r="R782" i="1"/>
  <c r="T782" i="1"/>
  <c r="A782" i="1" a="1"/>
  <c r="A782" i="1" s="1"/>
  <c r="AE781" i="1" a="1"/>
  <c r="AE781" i="1" s="1"/>
  <c r="U781" i="1" a="1"/>
  <c r="U781" i="1" s="1"/>
  <c r="K781" i="1" a="1"/>
  <c r="K781" i="1" s="1"/>
  <c r="A781" i="1" a="1"/>
  <c r="A781" i="1" s="1"/>
  <c r="AE780" i="1" a="1"/>
  <c r="AE780" i="1" s="1"/>
  <c r="U780" i="1" a="1"/>
  <c r="U780" i="1" s="1"/>
  <c r="AC780" i="1"/>
  <c r="K780" i="1" a="1"/>
  <c r="K780" i="1" s="1"/>
  <c r="P780" i="1"/>
  <c r="Q780" i="1"/>
  <c r="R780" i="1"/>
  <c r="S780" i="1"/>
  <c r="T780" i="1"/>
  <c r="A780" i="1" a="1"/>
  <c r="A780" i="1" s="1"/>
  <c r="AE779" i="1" a="1"/>
  <c r="AE779" i="1" s="1"/>
  <c r="U779" i="1" a="1"/>
  <c r="U779" i="1" s="1"/>
  <c r="K779" i="1" a="1"/>
  <c r="K779" i="1" s="1"/>
  <c r="A779" i="1" a="1"/>
  <c r="A779" i="1" s="1"/>
  <c r="H779" i="1"/>
  <c r="I779" i="1"/>
  <c r="J779" i="1"/>
  <c r="AE778" i="1" a="1"/>
  <c r="AE778" i="1" s="1"/>
  <c r="U778" i="1" a="1"/>
  <c r="U778" i="1" s="1"/>
  <c r="Z778" i="1"/>
  <c r="K778" i="1" a="1"/>
  <c r="K778" i="1" s="1"/>
  <c r="A778" i="1" a="1"/>
  <c r="A778" i="1" s="1"/>
  <c r="AE777" i="1" a="1"/>
  <c r="AE777" i="1" s="1"/>
  <c r="U777" i="1" a="1"/>
  <c r="U777" i="1" s="1"/>
  <c r="AB777" i="1"/>
  <c r="AC777" i="1"/>
  <c r="AD777" i="1"/>
  <c r="K777" i="1" a="1"/>
  <c r="K777" i="1" s="1"/>
  <c r="A777" i="1" a="1"/>
  <c r="A777" i="1" s="1"/>
  <c r="AE776" i="1" a="1"/>
  <c r="AE776" i="1" s="1"/>
  <c r="U776" i="1" a="1"/>
  <c r="U776" i="1" s="1"/>
  <c r="K776" i="1" a="1"/>
  <c r="K776" i="1" s="1"/>
  <c r="A776" i="1" a="1"/>
  <c r="A776" i="1" s="1"/>
  <c r="AE775" i="1" a="1"/>
  <c r="AE775" i="1" s="1"/>
  <c r="U775" i="1" a="1"/>
  <c r="U775" i="1" s="1"/>
  <c r="AC775" i="1"/>
  <c r="K775" i="1" a="1"/>
  <c r="K775" i="1" s="1"/>
  <c r="A775" i="1" a="1"/>
  <c r="A775" i="1" s="1"/>
  <c r="F775" i="1"/>
  <c r="AE774" i="1" a="1"/>
  <c r="AE774" i="1" s="1"/>
  <c r="U774" i="1" a="1"/>
  <c r="U774" i="1" s="1"/>
  <c r="K774" i="1" a="1"/>
  <c r="K774" i="1" s="1"/>
  <c r="Q774" i="1"/>
  <c r="S774" i="1"/>
  <c r="T774" i="1"/>
  <c r="A774" i="1" a="1"/>
  <c r="A774" i="1" s="1"/>
  <c r="AE773" i="1" a="1"/>
  <c r="AE773" i="1" s="1"/>
  <c r="U773" i="1" a="1"/>
  <c r="U773" i="1" s="1"/>
  <c r="K773" i="1" a="1"/>
  <c r="K773" i="1" s="1"/>
  <c r="S773" i="1"/>
  <c r="A773" i="1" a="1"/>
  <c r="A773" i="1" s="1"/>
  <c r="G773" i="1"/>
  <c r="H773" i="1"/>
  <c r="I773" i="1"/>
  <c r="J773" i="1"/>
  <c r="AE772" i="1" a="1"/>
  <c r="AE772" i="1" s="1"/>
  <c r="U772" i="1" a="1"/>
  <c r="U772" i="1" s="1"/>
  <c r="K772" i="1" a="1"/>
  <c r="K772" i="1" s="1"/>
  <c r="P772" i="1"/>
  <c r="A772" i="1" a="1"/>
  <c r="A772" i="1" s="1"/>
  <c r="AE771" i="1" a="1"/>
  <c r="AE771" i="1" s="1"/>
  <c r="U771" i="1" a="1"/>
  <c r="U771" i="1" s="1"/>
  <c r="AA771" i="1"/>
  <c r="AC771" i="1"/>
  <c r="AD771" i="1"/>
  <c r="K771" i="1" a="1"/>
  <c r="K771" i="1" s="1"/>
  <c r="A771" i="1" a="1"/>
  <c r="A771" i="1" s="1"/>
  <c r="AE770" i="1" a="1"/>
  <c r="AE770" i="1" s="1"/>
  <c r="U770" i="1" a="1"/>
  <c r="U770" i="1" s="1"/>
  <c r="K770" i="1" a="1"/>
  <c r="K770" i="1" s="1"/>
  <c r="N770" i="1"/>
  <c r="O770" i="1"/>
  <c r="P770" i="1"/>
  <c r="A770" i="1" a="1"/>
  <c r="A770" i="1" s="1"/>
  <c r="AE769" i="1" a="1"/>
  <c r="AE769" i="1" s="1"/>
  <c r="U769" i="1" a="1"/>
  <c r="U769" i="1" s="1"/>
  <c r="AB769" i="1"/>
  <c r="AC769" i="1"/>
  <c r="AD769" i="1"/>
  <c r="K769" i="1" a="1"/>
  <c r="K769" i="1" s="1"/>
  <c r="R769" i="1"/>
  <c r="T769" i="1"/>
  <c r="A769" i="1" a="1"/>
  <c r="A769" i="1" s="1"/>
  <c r="I769" i="1"/>
  <c r="AE768" i="1" a="1"/>
  <c r="AE768" i="1" s="1"/>
  <c r="U768" i="1" a="1"/>
  <c r="U768" i="1" s="1"/>
  <c r="AB768" i="1"/>
  <c r="K768" i="1" a="1"/>
  <c r="K768" i="1" s="1"/>
  <c r="A768" i="1" a="1"/>
  <c r="A768" i="1" s="1"/>
  <c r="G768" i="1"/>
  <c r="H768" i="1"/>
  <c r="I768" i="1"/>
  <c r="J768" i="1"/>
  <c r="AE767" i="1" a="1"/>
  <c r="AE767" i="1" s="1"/>
  <c r="U767" i="1" a="1"/>
  <c r="U767" i="1" s="1"/>
  <c r="K767" i="1" a="1"/>
  <c r="K767" i="1" s="1"/>
  <c r="A767" i="1" a="1"/>
  <c r="A767" i="1" s="1"/>
  <c r="AE766" i="1" a="1"/>
  <c r="AE766" i="1" s="1"/>
  <c r="U766" i="1" a="1"/>
  <c r="U766" i="1" s="1"/>
  <c r="K766" i="1" a="1"/>
  <c r="K766" i="1" s="1"/>
  <c r="R766" i="1"/>
  <c r="A766" i="1" a="1"/>
  <c r="A766" i="1" s="1"/>
  <c r="AE765" i="1" a="1"/>
  <c r="AE765" i="1" s="1"/>
  <c r="U765" i="1" a="1"/>
  <c r="U765" i="1" s="1"/>
  <c r="Z765" i="1"/>
  <c r="AB765" i="1"/>
  <c r="AC765" i="1"/>
  <c r="AD765" i="1"/>
  <c r="K765" i="1" a="1"/>
  <c r="K765" i="1" s="1"/>
  <c r="O765" i="1"/>
  <c r="R765" i="1"/>
  <c r="S765" i="1"/>
  <c r="T765" i="1"/>
  <c r="A765" i="1" a="1"/>
  <c r="A765" i="1" s="1"/>
  <c r="G765" i="1"/>
  <c r="AE764" i="1" a="1"/>
  <c r="AE764" i="1" s="1"/>
  <c r="U764" i="1" a="1"/>
  <c r="U764" i="1" s="1"/>
  <c r="K764" i="1" a="1"/>
  <c r="K764" i="1" s="1"/>
  <c r="A764" i="1" a="1"/>
  <c r="A764" i="1" s="1"/>
  <c r="E764" i="1"/>
  <c r="AE763" i="1" a="1"/>
  <c r="AE763" i="1" s="1"/>
  <c r="U763" i="1" a="1"/>
  <c r="U763" i="1" s="1"/>
  <c r="AA763" i="1"/>
  <c r="AD763" i="1"/>
  <c r="K763" i="1" a="1"/>
  <c r="K763" i="1" s="1"/>
  <c r="P763" i="1"/>
  <c r="R763" i="1"/>
  <c r="A763" i="1" a="1"/>
  <c r="A763" i="1" s="1"/>
  <c r="J763" i="1"/>
  <c r="AE762" i="1" a="1"/>
  <c r="AE762" i="1" s="1"/>
  <c r="U762" i="1" a="1"/>
  <c r="U762" i="1" s="1"/>
  <c r="K762" i="1" a="1"/>
  <c r="K762" i="1" s="1"/>
  <c r="A762" i="1" a="1"/>
  <c r="A762" i="1" s="1"/>
  <c r="AE761" i="1" a="1"/>
  <c r="AE761" i="1" s="1"/>
  <c r="U761" i="1" a="1"/>
  <c r="U761" i="1" s="1"/>
  <c r="AC761" i="1"/>
  <c r="K761" i="1" a="1"/>
  <c r="K761" i="1" s="1"/>
  <c r="A761" i="1" a="1"/>
  <c r="A761" i="1" s="1"/>
  <c r="E761" i="1"/>
  <c r="AE760" i="1" a="1"/>
  <c r="AE760" i="1" s="1"/>
  <c r="U760" i="1" a="1"/>
  <c r="U760" i="1" s="1"/>
  <c r="K760" i="1" a="1"/>
  <c r="K760" i="1" s="1"/>
  <c r="A760" i="1" a="1"/>
  <c r="A760" i="1" s="1"/>
  <c r="AE759" i="1" a="1"/>
  <c r="AE759" i="1" s="1"/>
  <c r="U759" i="1" a="1"/>
  <c r="U759" i="1" s="1"/>
  <c r="K759" i="1" a="1"/>
  <c r="K759" i="1" s="1"/>
  <c r="A759" i="1" a="1"/>
  <c r="A759" i="1" s="1"/>
  <c r="AE758" i="1" a="1"/>
  <c r="AE758" i="1" s="1"/>
  <c r="U758" i="1" a="1"/>
  <c r="U758" i="1" s="1"/>
  <c r="K758" i="1" a="1"/>
  <c r="K758" i="1" s="1"/>
  <c r="A758" i="1" a="1"/>
  <c r="A758" i="1" s="1"/>
  <c r="AE757" i="1" a="1"/>
  <c r="AE757" i="1" s="1"/>
  <c r="U757" i="1" a="1"/>
  <c r="U757" i="1" s="1"/>
  <c r="K757" i="1" a="1"/>
  <c r="K757" i="1" s="1"/>
  <c r="R757" i="1"/>
  <c r="S757" i="1"/>
  <c r="T757" i="1"/>
  <c r="A757" i="1" a="1"/>
  <c r="A757" i="1" s="1"/>
  <c r="AE756" i="1" a="1"/>
  <c r="AE756" i="1" s="1"/>
  <c r="U756" i="1" a="1"/>
  <c r="U756" i="1" s="1"/>
  <c r="K756" i="1" a="1"/>
  <c r="K756" i="1" s="1"/>
  <c r="A756" i="1" a="1"/>
  <c r="A756" i="1" s="1"/>
  <c r="AE755" i="1" a="1"/>
  <c r="AE755" i="1" s="1"/>
  <c r="U755" i="1" a="1"/>
  <c r="U755" i="1" s="1"/>
  <c r="AB755" i="1"/>
  <c r="K755" i="1" a="1"/>
  <c r="K755" i="1" s="1"/>
  <c r="A755" i="1" a="1"/>
  <c r="A755" i="1" s="1"/>
  <c r="AE754" i="1" a="1"/>
  <c r="AE754" i="1" s="1"/>
  <c r="U754" i="1" a="1"/>
  <c r="U754" i="1" s="1"/>
  <c r="Y754" i="1"/>
  <c r="K754" i="1" a="1"/>
  <c r="K754" i="1" s="1"/>
  <c r="A754" i="1" a="1"/>
  <c r="A754" i="1" s="1"/>
  <c r="F754" i="1"/>
  <c r="AE753" i="1" a="1"/>
  <c r="AE753" i="1" s="1"/>
  <c r="U753" i="1" a="1"/>
  <c r="U753" i="1" s="1"/>
  <c r="W753" i="1"/>
  <c r="AB753" i="1"/>
  <c r="AD753" i="1"/>
  <c r="K753" i="1" a="1"/>
  <c r="K753" i="1" s="1"/>
  <c r="A753" i="1" a="1"/>
  <c r="A753" i="1" s="1"/>
  <c r="AE752" i="1" a="1"/>
  <c r="AE752" i="1" s="1"/>
  <c r="U752" i="1" a="1"/>
  <c r="U752" i="1" s="1"/>
  <c r="K752" i="1" a="1"/>
  <c r="K752" i="1" s="1"/>
  <c r="A752" i="1" a="1"/>
  <c r="A752" i="1" s="1"/>
  <c r="AE751" i="1" a="1"/>
  <c r="AE751" i="1" s="1"/>
  <c r="U751" i="1" a="1"/>
  <c r="U751" i="1" s="1"/>
  <c r="K751" i="1" a="1"/>
  <c r="K751" i="1" s="1"/>
  <c r="A751" i="1" a="1"/>
  <c r="A751" i="1" s="1"/>
  <c r="AE750" i="1" a="1"/>
  <c r="AE750" i="1" s="1"/>
  <c r="U750" i="1" a="1"/>
  <c r="U750" i="1" s="1"/>
  <c r="AB750" i="1"/>
  <c r="AD750" i="1"/>
  <c r="K750" i="1" a="1"/>
  <c r="K750" i="1" s="1"/>
  <c r="S750" i="1"/>
  <c r="A750" i="1" a="1"/>
  <c r="A750" i="1" s="1"/>
  <c r="I750" i="1"/>
  <c r="AE749" i="1" a="1"/>
  <c r="AE749" i="1" s="1"/>
  <c r="U749" i="1" a="1"/>
  <c r="U749" i="1" s="1"/>
  <c r="K749" i="1" a="1"/>
  <c r="K749" i="1" s="1"/>
  <c r="A749" i="1" a="1"/>
  <c r="A749" i="1" s="1"/>
  <c r="AE748" i="1" a="1"/>
  <c r="AE748" i="1" s="1"/>
  <c r="U748" i="1" a="1"/>
  <c r="U748" i="1" s="1"/>
  <c r="AD748" i="1"/>
  <c r="K748" i="1" a="1"/>
  <c r="K748" i="1" s="1"/>
  <c r="N748" i="1"/>
  <c r="A748" i="1" a="1"/>
  <c r="A748" i="1" s="1"/>
  <c r="AE747" i="1" a="1"/>
  <c r="AE747" i="1" s="1"/>
  <c r="U747" i="1" a="1"/>
  <c r="U747" i="1" s="1"/>
  <c r="AB747" i="1"/>
  <c r="AC747" i="1"/>
  <c r="K747" i="1" a="1"/>
  <c r="K747" i="1" s="1"/>
  <c r="T747" i="1"/>
  <c r="A747" i="1" a="1"/>
  <c r="A747" i="1" s="1"/>
  <c r="F747" i="1"/>
  <c r="I747" i="1"/>
  <c r="J747" i="1"/>
  <c r="AE746" i="1" a="1"/>
  <c r="AE746" i="1" s="1"/>
  <c r="U746" i="1" a="1"/>
  <c r="U746" i="1" s="1"/>
  <c r="K746" i="1" a="1"/>
  <c r="K746" i="1" s="1"/>
  <c r="A746" i="1" a="1"/>
  <c r="A746" i="1" s="1"/>
  <c r="AE745" i="1" a="1"/>
  <c r="AE745" i="1" s="1"/>
  <c r="U745" i="1" a="1"/>
  <c r="U745" i="1" s="1"/>
  <c r="K745" i="1" a="1"/>
  <c r="K745" i="1" s="1"/>
  <c r="A745" i="1" a="1"/>
  <c r="A745" i="1" s="1"/>
  <c r="AE744" i="1" a="1"/>
  <c r="AE744" i="1" s="1"/>
  <c r="U744" i="1" a="1"/>
  <c r="U744" i="1" s="1"/>
  <c r="K744" i="1" a="1"/>
  <c r="K744" i="1" s="1"/>
  <c r="A744" i="1" a="1"/>
  <c r="A744" i="1" s="1"/>
  <c r="AE743" i="1" a="1"/>
  <c r="AE743" i="1" s="1"/>
  <c r="U743" i="1" a="1"/>
  <c r="U743" i="1" s="1"/>
  <c r="AA743" i="1"/>
  <c r="K743" i="1" a="1"/>
  <c r="K743" i="1" s="1"/>
  <c r="S743" i="1"/>
  <c r="A743" i="1" a="1"/>
  <c r="A743" i="1" s="1"/>
  <c r="AE742" i="1" a="1"/>
  <c r="AE742" i="1" s="1"/>
  <c r="U742" i="1" a="1"/>
  <c r="U742" i="1" s="1"/>
  <c r="K742" i="1" a="1"/>
  <c r="K742" i="1" s="1"/>
  <c r="A742" i="1" a="1"/>
  <c r="A742" i="1" s="1"/>
  <c r="AE741" i="1" a="1"/>
  <c r="AE741" i="1" s="1"/>
  <c r="U741" i="1" a="1"/>
  <c r="U741" i="1" s="1"/>
  <c r="AA741" i="1"/>
  <c r="AB741" i="1"/>
  <c r="AC741" i="1"/>
  <c r="K741" i="1" a="1"/>
  <c r="K741" i="1" s="1"/>
  <c r="A741" i="1" a="1"/>
  <c r="A741" i="1" s="1"/>
  <c r="AE740" i="1" a="1"/>
  <c r="AE740" i="1" s="1"/>
  <c r="U740" i="1" a="1"/>
  <c r="U740" i="1" s="1"/>
  <c r="K740" i="1" a="1"/>
  <c r="K740" i="1" s="1"/>
  <c r="A740" i="1" a="1"/>
  <c r="A740" i="1" s="1"/>
  <c r="J740" i="1"/>
  <c r="AE739" i="1" a="1"/>
  <c r="AE739" i="1" s="1"/>
  <c r="U739" i="1" a="1"/>
  <c r="U739" i="1" s="1"/>
  <c r="K739" i="1" a="1"/>
  <c r="K739" i="1" s="1"/>
  <c r="R739" i="1"/>
  <c r="A739" i="1" a="1"/>
  <c r="A739" i="1" s="1"/>
  <c r="G739" i="1"/>
  <c r="AE738" i="1" a="1"/>
  <c r="AE738" i="1" s="1"/>
  <c r="U738" i="1" a="1"/>
  <c r="U738" i="1" s="1"/>
  <c r="AC738" i="1"/>
  <c r="AD738" i="1"/>
  <c r="K738" i="1" a="1"/>
  <c r="K738" i="1" s="1"/>
  <c r="A738" i="1" a="1"/>
  <c r="A738" i="1" s="1"/>
  <c r="AE737" i="1" a="1"/>
  <c r="AE737" i="1" s="1"/>
  <c r="U737" i="1" a="1"/>
  <c r="U737" i="1" s="1"/>
  <c r="K737" i="1" a="1"/>
  <c r="K737" i="1" s="1"/>
  <c r="A737" i="1" a="1"/>
  <c r="A737" i="1" s="1"/>
  <c r="AE736" i="1" a="1"/>
  <c r="AE736" i="1" s="1"/>
  <c r="U736" i="1" a="1"/>
  <c r="U736" i="1" s="1"/>
  <c r="K736" i="1" a="1"/>
  <c r="K736" i="1" s="1"/>
  <c r="O736" i="1"/>
  <c r="P736" i="1"/>
  <c r="S736" i="1"/>
  <c r="A736" i="1" a="1"/>
  <c r="A736" i="1" s="1"/>
  <c r="AE735" i="1" a="1"/>
  <c r="AE735" i="1" s="1"/>
  <c r="U735" i="1" a="1"/>
  <c r="U735" i="1" s="1"/>
  <c r="K735" i="1" a="1"/>
  <c r="K735" i="1" s="1"/>
  <c r="Q735" i="1"/>
  <c r="R735" i="1"/>
  <c r="S735" i="1"/>
  <c r="T735" i="1"/>
  <c r="A735" i="1" a="1"/>
  <c r="A735" i="1" s="1"/>
  <c r="I735" i="1"/>
  <c r="AE734" i="1" a="1"/>
  <c r="AE734" i="1" s="1"/>
  <c r="U734" i="1" a="1"/>
  <c r="U734" i="1" s="1"/>
  <c r="K734" i="1" a="1"/>
  <c r="K734" i="1" s="1"/>
  <c r="N734" i="1"/>
  <c r="O734" i="1"/>
  <c r="A734" i="1" a="1"/>
  <c r="A734" i="1" s="1"/>
  <c r="AE733" i="1" a="1"/>
  <c r="AE733" i="1" s="1"/>
  <c r="U733" i="1" a="1"/>
  <c r="U733" i="1" s="1"/>
  <c r="K733" i="1" a="1"/>
  <c r="K733" i="1" s="1"/>
  <c r="Q733" i="1"/>
  <c r="S733" i="1"/>
  <c r="A733" i="1" a="1"/>
  <c r="A733" i="1" s="1"/>
  <c r="D733" i="1"/>
  <c r="AE732" i="1" a="1"/>
  <c r="AE732" i="1" s="1"/>
  <c r="U732" i="1" a="1"/>
  <c r="U732" i="1" s="1"/>
  <c r="K732" i="1" a="1"/>
  <c r="K732" i="1" s="1"/>
  <c r="A732" i="1" a="1"/>
  <c r="A732" i="1" s="1"/>
  <c r="I732" i="1"/>
  <c r="AE731" i="1" a="1"/>
  <c r="AE731" i="1" s="1"/>
  <c r="U731" i="1" a="1"/>
  <c r="U731" i="1" s="1"/>
  <c r="K731" i="1" a="1"/>
  <c r="K731" i="1" s="1"/>
  <c r="A731" i="1" a="1"/>
  <c r="A731" i="1" s="1"/>
  <c r="E731" i="1"/>
  <c r="G731" i="1"/>
  <c r="I731" i="1"/>
  <c r="J731" i="1"/>
  <c r="AE730" i="1" a="1"/>
  <c r="AE730" i="1" s="1"/>
  <c r="U730" i="1" a="1"/>
  <c r="U730" i="1" s="1"/>
  <c r="Z730" i="1"/>
  <c r="K730" i="1" a="1"/>
  <c r="K730" i="1" s="1"/>
  <c r="A730" i="1" a="1"/>
  <c r="A730" i="1" s="1"/>
  <c r="AE729" i="1" a="1"/>
  <c r="AE729" i="1" s="1"/>
  <c r="U729" i="1" a="1"/>
  <c r="U729" i="1" s="1"/>
  <c r="K729" i="1" a="1"/>
  <c r="K729" i="1" s="1"/>
  <c r="P729" i="1"/>
  <c r="A729" i="1" a="1"/>
  <c r="A729" i="1" s="1"/>
  <c r="AE728" i="1" a="1"/>
  <c r="AE728" i="1" s="1"/>
  <c r="U728" i="1" a="1"/>
  <c r="U728" i="1" s="1"/>
  <c r="AD728" i="1"/>
  <c r="K728" i="1" a="1"/>
  <c r="K728" i="1" s="1"/>
  <c r="A728" i="1" a="1"/>
  <c r="A728" i="1" s="1"/>
  <c r="I728" i="1"/>
  <c r="J728" i="1"/>
  <c r="AE727" i="1" a="1"/>
  <c r="AE727" i="1" s="1"/>
  <c r="U727" i="1" a="1"/>
  <c r="U727" i="1" s="1"/>
  <c r="AA727" i="1"/>
  <c r="K727" i="1" a="1"/>
  <c r="K727" i="1" s="1"/>
  <c r="R727" i="1"/>
  <c r="A727" i="1" a="1"/>
  <c r="A727" i="1" s="1"/>
  <c r="I727" i="1"/>
  <c r="AE726" i="1" a="1"/>
  <c r="AE726" i="1" s="1"/>
  <c r="U726" i="1" a="1"/>
  <c r="U726" i="1" s="1"/>
  <c r="X726" i="1"/>
  <c r="Z726" i="1"/>
  <c r="AB726" i="1"/>
  <c r="K726" i="1" a="1"/>
  <c r="K726" i="1" s="1"/>
  <c r="A726" i="1" a="1"/>
  <c r="A726" i="1" s="1"/>
  <c r="I726" i="1"/>
  <c r="AE725" i="1" a="1"/>
  <c r="AE725" i="1" s="1"/>
  <c r="U725" i="1" a="1"/>
  <c r="U725" i="1" s="1"/>
  <c r="K725" i="1" a="1"/>
  <c r="K725" i="1" s="1"/>
  <c r="A725" i="1" a="1"/>
  <c r="A725" i="1" s="1"/>
  <c r="G725" i="1"/>
  <c r="AE724" i="1" a="1"/>
  <c r="AE724" i="1" s="1"/>
  <c r="U724" i="1" a="1"/>
  <c r="U724" i="1" s="1"/>
  <c r="X724" i="1"/>
  <c r="AA724" i="1"/>
  <c r="AB724" i="1"/>
  <c r="K724" i="1" a="1"/>
  <c r="K724" i="1" s="1"/>
  <c r="O724" i="1"/>
  <c r="A724" i="1" a="1"/>
  <c r="A724" i="1" s="1"/>
  <c r="AE723" i="1" a="1"/>
  <c r="AE723" i="1" s="1"/>
  <c r="U723" i="1" a="1"/>
  <c r="U723" i="1" s="1"/>
  <c r="K723" i="1" a="1"/>
  <c r="K723" i="1" s="1"/>
  <c r="A723" i="1" a="1"/>
  <c r="A723" i="1" s="1"/>
  <c r="AE722" i="1" a="1"/>
  <c r="AE722" i="1" s="1"/>
  <c r="U722" i="1" a="1"/>
  <c r="U722" i="1" s="1"/>
  <c r="K722" i="1" a="1"/>
  <c r="K722" i="1" s="1"/>
  <c r="A722" i="1" a="1"/>
  <c r="A722" i="1" s="1"/>
  <c r="J722" i="1"/>
  <c r="AE721" i="1" a="1"/>
  <c r="AE721" i="1" s="1"/>
  <c r="U721" i="1" a="1"/>
  <c r="U721" i="1" s="1"/>
  <c r="AA721" i="1"/>
  <c r="AB721" i="1"/>
  <c r="K721" i="1" a="1"/>
  <c r="K721" i="1" s="1"/>
  <c r="A721" i="1" a="1"/>
  <c r="A721" i="1" s="1"/>
  <c r="H721" i="1"/>
  <c r="AE720" i="1" a="1"/>
  <c r="AE720" i="1" s="1"/>
  <c r="U720" i="1" a="1"/>
  <c r="U720" i="1" s="1"/>
  <c r="K720" i="1" a="1"/>
  <c r="K720" i="1" s="1"/>
  <c r="S720" i="1"/>
  <c r="A720" i="1" a="1"/>
  <c r="A720" i="1" s="1"/>
  <c r="AE719" i="1" a="1"/>
  <c r="AE719" i="1" s="1"/>
  <c r="U719" i="1" a="1"/>
  <c r="U719" i="1" s="1"/>
  <c r="AB719" i="1"/>
  <c r="K719" i="1" a="1"/>
  <c r="K719" i="1" s="1"/>
  <c r="A719" i="1" a="1"/>
  <c r="A719" i="1" s="1"/>
  <c r="J719" i="1"/>
  <c r="AE718" i="1" a="1"/>
  <c r="AE718" i="1" s="1"/>
  <c r="U718" i="1" a="1"/>
  <c r="U718" i="1" s="1"/>
  <c r="Z718" i="1"/>
  <c r="AA718" i="1"/>
  <c r="AB718" i="1"/>
  <c r="K718" i="1" a="1"/>
  <c r="K718" i="1" s="1"/>
  <c r="O718" i="1"/>
  <c r="A718" i="1" a="1"/>
  <c r="A718" i="1" s="1"/>
  <c r="AE717" i="1" a="1"/>
  <c r="AE717" i="1" s="1"/>
  <c r="U717" i="1" a="1"/>
  <c r="U717" i="1" s="1"/>
  <c r="K717" i="1" a="1"/>
  <c r="K717" i="1" s="1"/>
  <c r="Q717" i="1"/>
  <c r="A717" i="1" a="1"/>
  <c r="A717" i="1" s="1"/>
  <c r="AE716" i="1" a="1"/>
  <c r="AE716" i="1" s="1"/>
  <c r="U716" i="1" a="1"/>
  <c r="U716" i="1" s="1"/>
  <c r="K716" i="1" a="1"/>
  <c r="K716" i="1" s="1"/>
  <c r="R716" i="1"/>
  <c r="A716" i="1" a="1"/>
  <c r="A716" i="1" s="1"/>
  <c r="AE715" i="1" a="1"/>
  <c r="AE715" i="1" s="1"/>
  <c r="U715" i="1" a="1"/>
  <c r="U715" i="1" s="1"/>
  <c r="K715" i="1" a="1"/>
  <c r="K715" i="1" s="1"/>
  <c r="T715" i="1"/>
  <c r="A715" i="1" a="1"/>
  <c r="A715" i="1" s="1"/>
  <c r="G715" i="1"/>
  <c r="AE714" i="1" a="1"/>
  <c r="AE714" i="1" s="1"/>
  <c r="U714" i="1" a="1"/>
  <c r="U714" i="1" s="1"/>
  <c r="K714" i="1" a="1"/>
  <c r="K714" i="1" s="1"/>
  <c r="A714" i="1" a="1"/>
  <c r="A714" i="1" s="1"/>
  <c r="I714" i="1"/>
  <c r="J714" i="1"/>
  <c r="AE713" i="1" a="1"/>
  <c r="AE713" i="1" s="1"/>
  <c r="U713" i="1" a="1"/>
  <c r="U713" i="1" s="1"/>
  <c r="Z713" i="1"/>
  <c r="AA713" i="1"/>
  <c r="AB713" i="1"/>
  <c r="K713" i="1" a="1"/>
  <c r="K713" i="1" s="1"/>
  <c r="Q713" i="1"/>
  <c r="A713" i="1" a="1"/>
  <c r="A713" i="1" s="1"/>
  <c r="D713" i="1"/>
  <c r="I713" i="1"/>
  <c r="J713" i="1"/>
  <c r="AE712" i="1" a="1"/>
  <c r="AE712" i="1" s="1"/>
  <c r="U712" i="1" a="1"/>
  <c r="U712" i="1" s="1"/>
  <c r="K712" i="1" a="1"/>
  <c r="K712" i="1" s="1"/>
  <c r="A712" i="1" a="1"/>
  <c r="A712" i="1" s="1"/>
  <c r="G712" i="1"/>
  <c r="I712" i="1"/>
  <c r="J712" i="1"/>
  <c r="AE711" i="1" a="1"/>
  <c r="AE711" i="1" s="1"/>
  <c r="U711" i="1" a="1"/>
  <c r="U711" i="1" s="1"/>
  <c r="AD711" i="1"/>
  <c r="K711" i="1" a="1"/>
  <c r="K711" i="1" s="1"/>
  <c r="O711" i="1"/>
  <c r="P711" i="1"/>
  <c r="Q711" i="1"/>
  <c r="R711" i="1"/>
  <c r="S711" i="1"/>
  <c r="A711" i="1" a="1"/>
  <c r="A711" i="1" s="1"/>
  <c r="D711" i="1"/>
  <c r="E711" i="1"/>
  <c r="AE710" i="1" a="1"/>
  <c r="AE710" i="1" s="1"/>
  <c r="U710" i="1" a="1"/>
  <c r="U710" i="1" s="1"/>
  <c r="X710" i="1"/>
  <c r="K710" i="1" a="1"/>
  <c r="K710" i="1" s="1"/>
  <c r="A710" i="1" a="1"/>
  <c r="A710" i="1" s="1"/>
  <c r="E710" i="1"/>
  <c r="F710" i="1"/>
  <c r="G710" i="1"/>
  <c r="H710" i="1"/>
  <c r="AE709" i="1" a="1"/>
  <c r="AE709" i="1" s="1"/>
  <c r="U709" i="1" a="1"/>
  <c r="U709" i="1" s="1"/>
  <c r="X709" i="1"/>
  <c r="K709" i="1" a="1"/>
  <c r="K709" i="1" s="1"/>
  <c r="A709" i="1" a="1"/>
  <c r="A709" i="1" s="1"/>
  <c r="F709" i="1"/>
  <c r="H709" i="1"/>
  <c r="J709" i="1"/>
  <c r="AE708" i="1" a="1"/>
  <c r="AE708" i="1" s="1"/>
  <c r="U708" i="1" a="1"/>
  <c r="U708" i="1" s="1"/>
  <c r="K708" i="1" a="1"/>
  <c r="K708" i="1" s="1"/>
  <c r="A708" i="1" a="1"/>
  <c r="A708" i="1" s="1"/>
  <c r="J708" i="1"/>
  <c r="AE707" i="1" a="1"/>
  <c r="AE707" i="1" s="1"/>
  <c r="U707" i="1" a="1"/>
  <c r="U707" i="1" s="1"/>
  <c r="AA707" i="1"/>
  <c r="AB707" i="1"/>
  <c r="K707" i="1" a="1"/>
  <c r="K707" i="1" s="1"/>
  <c r="A707" i="1" a="1"/>
  <c r="A707" i="1" s="1"/>
  <c r="AE706" i="1" a="1"/>
  <c r="AE706" i="1" s="1"/>
  <c r="U706" i="1" a="1"/>
  <c r="U706" i="1" s="1"/>
  <c r="AD706" i="1"/>
  <c r="K706" i="1" a="1"/>
  <c r="K706" i="1" s="1"/>
  <c r="S706" i="1"/>
  <c r="A706" i="1" a="1"/>
  <c r="A706" i="1" s="1"/>
  <c r="AE705" i="1" a="1"/>
  <c r="AE705" i="1" s="1"/>
  <c r="U705" i="1" a="1"/>
  <c r="U705" i="1" s="1"/>
  <c r="AB705" i="1"/>
  <c r="AC705" i="1"/>
  <c r="AD705" i="1"/>
  <c r="K705" i="1" a="1"/>
  <c r="K705" i="1" s="1"/>
  <c r="R705" i="1"/>
  <c r="A705" i="1" a="1"/>
  <c r="A705" i="1" s="1"/>
  <c r="AE704" i="1" a="1"/>
  <c r="AE704" i="1" s="1"/>
  <c r="U704" i="1" a="1"/>
  <c r="U704" i="1" s="1"/>
  <c r="K704" i="1" a="1"/>
  <c r="K704" i="1" s="1"/>
  <c r="O704" i="1"/>
  <c r="Q704" i="1"/>
  <c r="R704" i="1"/>
  <c r="A704" i="1" a="1"/>
  <c r="A704" i="1" s="1"/>
  <c r="I704" i="1"/>
  <c r="J704" i="1"/>
  <c r="AE703" i="1" a="1"/>
  <c r="AE703" i="1" s="1"/>
  <c r="U703" i="1" a="1"/>
  <c r="U703" i="1" s="1"/>
  <c r="AD703" i="1"/>
  <c r="K703" i="1" a="1"/>
  <c r="K703" i="1" s="1"/>
  <c r="A703" i="1" a="1"/>
  <c r="A703" i="1" s="1"/>
  <c r="AE702" i="1" a="1"/>
  <c r="AE702" i="1" s="1"/>
  <c r="AH702" i="1"/>
  <c r="U702" i="1" a="1"/>
  <c r="U702" i="1" s="1"/>
  <c r="K702" i="1" a="1"/>
  <c r="K702" i="1" s="1"/>
  <c r="Q702" i="1"/>
  <c r="S702" i="1"/>
  <c r="A702" i="1" a="1"/>
  <c r="A702" i="1" s="1"/>
  <c r="AE701" i="1" a="1"/>
  <c r="AE701" i="1" s="1"/>
  <c r="U701" i="1" a="1"/>
  <c r="U701" i="1" s="1"/>
  <c r="K701" i="1" a="1"/>
  <c r="K701" i="1" s="1"/>
  <c r="A701" i="1" a="1"/>
  <c r="A701" i="1" s="1"/>
  <c r="I701" i="1"/>
  <c r="AE700" i="1" a="1"/>
  <c r="AE700" i="1" s="1"/>
  <c r="U700" i="1" a="1"/>
  <c r="U700" i="1" s="1"/>
  <c r="K700" i="1" a="1"/>
  <c r="K700" i="1" s="1"/>
  <c r="P700" i="1"/>
  <c r="Q700" i="1"/>
  <c r="A700" i="1" a="1"/>
  <c r="A700" i="1" s="1"/>
  <c r="AE699" i="1" a="1"/>
  <c r="AE699" i="1" s="1"/>
  <c r="U699" i="1" a="1"/>
  <c r="U699" i="1" s="1"/>
  <c r="AD699" i="1"/>
  <c r="K699" i="1" a="1"/>
  <c r="K699" i="1" s="1"/>
  <c r="N699" i="1"/>
  <c r="O699" i="1"/>
  <c r="Q699" i="1"/>
  <c r="A699" i="1" a="1"/>
  <c r="A699" i="1" s="1"/>
  <c r="H699" i="1"/>
  <c r="AE698" i="1" a="1"/>
  <c r="AE698" i="1" s="1"/>
  <c r="U698" i="1" a="1"/>
  <c r="U698" i="1" s="1"/>
  <c r="K698" i="1" a="1"/>
  <c r="K698" i="1" s="1"/>
  <c r="S698" i="1"/>
  <c r="A698" i="1" a="1"/>
  <c r="A698" i="1" s="1"/>
  <c r="H698" i="1"/>
  <c r="AE697" i="1" a="1"/>
  <c r="AE697" i="1" s="1"/>
  <c r="U697" i="1" a="1"/>
  <c r="U697" i="1" s="1"/>
  <c r="Y697" i="1"/>
  <c r="Z697" i="1"/>
  <c r="K697" i="1" a="1"/>
  <c r="K697" i="1" s="1"/>
  <c r="A697" i="1" a="1"/>
  <c r="A697" i="1" s="1"/>
  <c r="AE696" i="1" a="1"/>
  <c r="AE696" i="1" s="1"/>
  <c r="U696" i="1" a="1"/>
  <c r="U696" i="1" s="1"/>
  <c r="K696" i="1" a="1"/>
  <c r="K696" i="1" s="1"/>
  <c r="R696" i="1"/>
  <c r="A696" i="1" a="1"/>
  <c r="A696" i="1" s="1"/>
  <c r="AE695" i="1" a="1"/>
  <c r="AE695" i="1" s="1"/>
  <c r="U695" i="1" a="1"/>
  <c r="U695" i="1" s="1"/>
  <c r="K695" i="1" a="1"/>
  <c r="K695" i="1" s="1"/>
  <c r="A695" i="1" a="1"/>
  <c r="A695" i="1" s="1"/>
  <c r="AE694" i="1" a="1"/>
  <c r="AE694" i="1" s="1"/>
  <c r="U694" i="1" a="1"/>
  <c r="U694" i="1" s="1"/>
  <c r="K694" i="1" a="1"/>
  <c r="K694" i="1" s="1"/>
  <c r="A694" i="1" a="1"/>
  <c r="A694" i="1" s="1"/>
  <c r="I694" i="1"/>
  <c r="AE693" i="1" a="1"/>
  <c r="AE693" i="1" s="1"/>
  <c r="U693" i="1" a="1"/>
  <c r="U693" i="1" s="1"/>
  <c r="AA693" i="1"/>
  <c r="AB693" i="1"/>
  <c r="K693" i="1" a="1"/>
  <c r="K693" i="1" s="1"/>
  <c r="A693" i="1" a="1"/>
  <c r="A693" i="1" s="1"/>
  <c r="AE692" i="1" a="1"/>
  <c r="AE692" i="1" s="1"/>
  <c r="U692" i="1" a="1"/>
  <c r="U692" i="1" s="1"/>
  <c r="AC692" i="1"/>
  <c r="AD692" i="1"/>
  <c r="K692" i="1" a="1"/>
  <c r="K692" i="1" s="1"/>
  <c r="S692" i="1"/>
  <c r="A692" i="1" a="1"/>
  <c r="A692" i="1" s="1"/>
  <c r="AE691" i="1" a="1"/>
  <c r="AE691" i="1" s="1"/>
  <c r="U691" i="1" a="1"/>
  <c r="U691" i="1" s="1"/>
  <c r="K691" i="1" a="1"/>
  <c r="K691" i="1" s="1"/>
  <c r="Q691" i="1"/>
  <c r="R691" i="1"/>
  <c r="A691" i="1" a="1"/>
  <c r="A691" i="1" s="1"/>
  <c r="E691" i="1"/>
  <c r="F691" i="1"/>
  <c r="I691" i="1"/>
  <c r="AE690" i="1" a="1"/>
  <c r="AE690" i="1" s="1"/>
  <c r="U690" i="1" a="1"/>
  <c r="U690" i="1" s="1"/>
  <c r="AD690" i="1"/>
  <c r="K690" i="1" a="1"/>
  <c r="K690" i="1" s="1"/>
  <c r="A690" i="1" a="1"/>
  <c r="A690" i="1" s="1"/>
  <c r="H690" i="1"/>
  <c r="I690" i="1"/>
  <c r="AE689" i="1" a="1"/>
  <c r="AE689" i="1" s="1"/>
  <c r="U689" i="1" a="1"/>
  <c r="U689" i="1" s="1"/>
  <c r="K689" i="1" a="1"/>
  <c r="K689" i="1" s="1"/>
  <c r="A689" i="1" a="1"/>
  <c r="A689" i="1" s="1"/>
  <c r="J689" i="1"/>
  <c r="AE688" i="1" a="1"/>
  <c r="AE688" i="1" s="1"/>
  <c r="U688" i="1" a="1"/>
  <c r="U688" i="1" s="1"/>
  <c r="K688" i="1" a="1"/>
  <c r="K688" i="1" s="1"/>
  <c r="A688" i="1" a="1"/>
  <c r="A688" i="1" s="1"/>
  <c r="AE687" i="1" a="1"/>
  <c r="AE687" i="1" s="1"/>
  <c r="U687" i="1" a="1"/>
  <c r="U687" i="1" s="1"/>
  <c r="K687" i="1" a="1"/>
  <c r="K687" i="1" s="1"/>
  <c r="A687" i="1" a="1"/>
  <c r="A687" i="1" s="1"/>
  <c r="AE686" i="1" a="1"/>
  <c r="AE686" i="1" s="1"/>
  <c r="U686" i="1" a="1"/>
  <c r="U686" i="1" s="1"/>
  <c r="K686" i="1" a="1"/>
  <c r="K686" i="1" s="1"/>
  <c r="Q686" i="1"/>
  <c r="R686" i="1"/>
  <c r="A686" i="1" a="1"/>
  <c r="A686" i="1" s="1"/>
  <c r="AE685" i="1" a="1"/>
  <c r="AE685" i="1" s="1"/>
  <c r="U685" i="1" a="1"/>
  <c r="U685" i="1" s="1"/>
  <c r="K685" i="1" a="1"/>
  <c r="K685" i="1" s="1"/>
  <c r="A685" i="1" a="1"/>
  <c r="A685" i="1" s="1"/>
  <c r="AE684" i="1" a="1"/>
  <c r="AE684" i="1" s="1"/>
  <c r="U684" i="1" a="1"/>
  <c r="U684" i="1" s="1"/>
  <c r="K684" i="1" a="1"/>
  <c r="K684" i="1" s="1"/>
  <c r="A684" i="1" a="1"/>
  <c r="A684" i="1" s="1"/>
  <c r="AE683" i="1" a="1"/>
  <c r="AE683" i="1" s="1"/>
  <c r="U683" i="1" a="1"/>
  <c r="U683" i="1" s="1"/>
  <c r="AB683" i="1"/>
  <c r="AC683" i="1"/>
  <c r="K683" i="1" a="1"/>
  <c r="K683" i="1" s="1"/>
  <c r="O683" i="1"/>
  <c r="A683" i="1" a="1"/>
  <c r="A683" i="1" s="1"/>
  <c r="AE682" i="1" a="1"/>
  <c r="AE682" i="1" s="1"/>
  <c r="U682" i="1" a="1"/>
  <c r="U682" i="1" s="1"/>
  <c r="AD682" i="1"/>
  <c r="K682" i="1" a="1"/>
  <c r="K682" i="1" s="1"/>
  <c r="A682" i="1" a="1"/>
  <c r="A682" i="1" s="1"/>
  <c r="G682" i="1"/>
  <c r="AE681" i="1" a="1"/>
  <c r="AE681" i="1" s="1"/>
  <c r="AH681" i="1"/>
  <c r="U681" i="1" a="1"/>
  <c r="U681" i="1" s="1"/>
  <c r="Y681" i="1"/>
  <c r="K681" i="1" a="1"/>
  <c r="K681" i="1" s="1"/>
  <c r="A681" i="1" a="1"/>
  <c r="A681" i="1" s="1"/>
  <c r="J681" i="1"/>
  <c r="AE680" i="1" a="1"/>
  <c r="AE680" i="1" s="1"/>
  <c r="U680" i="1" a="1"/>
  <c r="U680" i="1" s="1"/>
  <c r="K680" i="1" a="1"/>
  <c r="K680" i="1" s="1"/>
  <c r="S680" i="1"/>
  <c r="T680" i="1"/>
  <c r="A680" i="1" a="1"/>
  <c r="A680" i="1" s="1"/>
  <c r="E680" i="1"/>
  <c r="F680" i="1"/>
  <c r="G680" i="1"/>
  <c r="I680" i="1"/>
  <c r="AE679" i="1" a="1"/>
  <c r="AE679" i="1" s="1"/>
  <c r="U679" i="1" a="1"/>
  <c r="U679" i="1" s="1"/>
  <c r="K679" i="1" a="1"/>
  <c r="K679" i="1" s="1"/>
  <c r="A679" i="1" a="1"/>
  <c r="A679" i="1" s="1"/>
  <c r="AE678" i="1" a="1"/>
  <c r="AE678" i="1" s="1"/>
  <c r="U678" i="1" a="1"/>
  <c r="U678" i="1" s="1"/>
  <c r="AD678" i="1"/>
  <c r="K678" i="1" a="1"/>
  <c r="K678" i="1" s="1"/>
  <c r="R678" i="1"/>
  <c r="A678" i="1" a="1"/>
  <c r="A678" i="1" s="1"/>
  <c r="AE677" i="1" a="1"/>
  <c r="AE677" i="1" s="1"/>
  <c r="U677" i="1" a="1"/>
  <c r="U677" i="1" s="1"/>
  <c r="K677" i="1" a="1"/>
  <c r="K677" i="1" s="1"/>
  <c r="A677" i="1" a="1"/>
  <c r="A677" i="1" s="1"/>
  <c r="AE676" i="1" a="1"/>
  <c r="AE676" i="1" s="1"/>
  <c r="U676" i="1" a="1"/>
  <c r="U676" i="1" s="1"/>
  <c r="AA676" i="1"/>
  <c r="AB676" i="1"/>
  <c r="AC676" i="1"/>
  <c r="AD676" i="1"/>
  <c r="K676" i="1" a="1"/>
  <c r="K676" i="1" s="1"/>
  <c r="S676" i="1"/>
  <c r="T676" i="1"/>
  <c r="A676" i="1" a="1"/>
  <c r="A676" i="1" s="1"/>
  <c r="E676" i="1"/>
  <c r="F676" i="1"/>
  <c r="J676" i="1"/>
  <c r="AE675" i="1" a="1"/>
  <c r="AE675" i="1" s="1"/>
  <c r="U675" i="1" a="1"/>
  <c r="U675" i="1" s="1"/>
  <c r="K675" i="1" a="1"/>
  <c r="K675" i="1" s="1"/>
  <c r="R675" i="1"/>
  <c r="S675" i="1"/>
  <c r="A675" i="1" a="1"/>
  <c r="A675" i="1" s="1"/>
  <c r="AE674" i="1" a="1"/>
  <c r="AE674" i="1" s="1"/>
  <c r="U674" i="1" a="1"/>
  <c r="U674" i="1" s="1"/>
  <c r="K674" i="1" a="1"/>
  <c r="K674" i="1" s="1"/>
  <c r="A674" i="1" a="1"/>
  <c r="A674" i="1" s="1"/>
  <c r="AE673" i="1" a="1"/>
  <c r="AE673" i="1" s="1"/>
  <c r="U673" i="1" a="1"/>
  <c r="U673" i="1" s="1"/>
  <c r="K673" i="1" a="1"/>
  <c r="K673" i="1" s="1"/>
  <c r="A673" i="1" a="1"/>
  <c r="A673" i="1" s="1"/>
  <c r="I673" i="1"/>
  <c r="J673" i="1"/>
  <c r="AE672" i="1" a="1"/>
  <c r="AE672" i="1" s="1"/>
  <c r="U672" i="1" a="1"/>
  <c r="U672" i="1" s="1"/>
  <c r="K672" i="1" a="1"/>
  <c r="K672" i="1" s="1"/>
  <c r="R672" i="1"/>
  <c r="S672" i="1"/>
  <c r="A672" i="1" a="1"/>
  <c r="A672" i="1" s="1"/>
  <c r="AE671" i="1" a="1"/>
  <c r="AE671" i="1" s="1"/>
  <c r="U671" i="1" a="1"/>
  <c r="U671" i="1" s="1"/>
  <c r="Z671" i="1"/>
  <c r="AD671" i="1"/>
  <c r="K671" i="1" a="1"/>
  <c r="K671" i="1" s="1"/>
  <c r="A671" i="1" a="1"/>
  <c r="A671" i="1" s="1"/>
  <c r="AE670" i="1" a="1"/>
  <c r="AE670" i="1" s="1"/>
  <c r="AH670" i="1"/>
  <c r="U670" i="1" a="1"/>
  <c r="U670" i="1" s="1"/>
  <c r="K670" i="1" a="1"/>
  <c r="K670" i="1" s="1"/>
  <c r="T670" i="1"/>
  <c r="A670" i="1" a="1"/>
  <c r="A670" i="1" s="1"/>
  <c r="AE669" i="1" a="1"/>
  <c r="AE669" i="1" s="1"/>
  <c r="U669" i="1" a="1"/>
  <c r="U669" i="1" s="1"/>
  <c r="K669" i="1" a="1"/>
  <c r="K669" i="1" s="1"/>
  <c r="A669" i="1" a="1"/>
  <c r="A669" i="1" s="1"/>
  <c r="AE668" i="1" a="1"/>
  <c r="AE668" i="1" s="1"/>
  <c r="U668" i="1" a="1"/>
  <c r="U668" i="1" s="1"/>
  <c r="K668" i="1" a="1"/>
  <c r="K668" i="1" s="1"/>
  <c r="A668" i="1" a="1"/>
  <c r="A668" i="1" s="1"/>
  <c r="AE667" i="1" a="1"/>
  <c r="AE667" i="1" s="1"/>
  <c r="U667" i="1" a="1"/>
  <c r="U667" i="1" s="1"/>
  <c r="Y667" i="1"/>
  <c r="Z667" i="1"/>
  <c r="AA667" i="1"/>
  <c r="AB667" i="1"/>
  <c r="K667" i="1" a="1"/>
  <c r="K667" i="1" s="1"/>
  <c r="N667" i="1"/>
  <c r="A667" i="1" a="1"/>
  <c r="A667" i="1" s="1"/>
  <c r="AE666" i="1" a="1"/>
  <c r="AE666" i="1" s="1"/>
  <c r="U666" i="1" a="1"/>
  <c r="U666" i="1" s="1"/>
  <c r="K666" i="1" a="1"/>
  <c r="K666" i="1" s="1"/>
  <c r="A666" i="1" a="1"/>
  <c r="A666" i="1" s="1"/>
  <c r="AE665" i="1" a="1"/>
  <c r="AE665" i="1" s="1"/>
  <c r="AH665" i="1"/>
  <c r="U665" i="1" a="1"/>
  <c r="U665" i="1" s="1"/>
  <c r="K665" i="1" a="1"/>
  <c r="K665" i="1" s="1"/>
  <c r="A665" i="1" a="1"/>
  <c r="A665" i="1" s="1"/>
  <c r="AE664" i="1" a="1"/>
  <c r="AE664" i="1" s="1"/>
  <c r="U664" i="1" a="1"/>
  <c r="U664" i="1" s="1"/>
  <c r="K664" i="1" a="1"/>
  <c r="K664" i="1" s="1"/>
  <c r="A664" i="1" a="1"/>
  <c r="A664" i="1" s="1"/>
  <c r="AE663" i="1" a="1"/>
  <c r="AE663" i="1" s="1"/>
  <c r="U663" i="1" a="1"/>
  <c r="U663" i="1" s="1"/>
  <c r="K663" i="1" a="1"/>
  <c r="K663" i="1" s="1"/>
  <c r="A663" i="1" a="1"/>
  <c r="A663" i="1" s="1"/>
  <c r="AE662" i="1" a="1"/>
  <c r="AE662" i="1" s="1"/>
  <c r="U662" i="1" a="1"/>
  <c r="U662" i="1" s="1"/>
  <c r="AA662" i="1"/>
  <c r="K662" i="1" a="1"/>
  <c r="K662" i="1" s="1"/>
  <c r="R662" i="1"/>
  <c r="A662" i="1" a="1"/>
  <c r="A662" i="1" s="1"/>
  <c r="AE661" i="1" a="1"/>
  <c r="AE661" i="1" s="1"/>
  <c r="U661" i="1" a="1"/>
  <c r="U661" i="1" s="1"/>
  <c r="K661" i="1" a="1"/>
  <c r="K661" i="1" s="1"/>
  <c r="T661" i="1"/>
  <c r="A661" i="1" a="1"/>
  <c r="A661" i="1" s="1"/>
  <c r="AE660" i="1" a="1"/>
  <c r="AE660" i="1" s="1"/>
  <c r="U660" i="1" a="1"/>
  <c r="U660" i="1" s="1"/>
  <c r="K660" i="1" a="1"/>
  <c r="K660" i="1" s="1"/>
  <c r="A660" i="1" a="1"/>
  <c r="A660" i="1" s="1"/>
  <c r="G660" i="1"/>
  <c r="AE659" i="1" a="1"/>
  <c r="AE659" i="1" s="1"/>
  <c r="U659" i="1" a="1"/>
  <c r="U659" i="1" s="1"/>
  <c r="K659" i="1" a="1"/>
  <c r="K659" i="1" s="1"/>
  <c r="S659" i="1"/>
  <c r="T659" i="1"/>
  <c r="A659" i="1" a="1"/>
  <c r="A659" i="1" s="1"/>
  <c r="AE658" i="1" a="1"/>
  <c r="AE658" i="1" s="1"/>
  <c r="U658" i="1" a="1"/>
  <c r="U658" i="1" s="1"/>
  <c r="K658" i="1" a="1"/>
  <c r="K658" i="1" s="1"/>
  <c r="P658" i="1"/>
  <c r="Q658" i="1"/>
  <c r="R658" i="1"/>
  <c r="A658" i="1" a="1"/>
  <c r="A658" i="1" s="1"/>
  <c r="AE657" i="1" a="1"/>
  <c r="AE657" i="1" s="1"/>
  <c r="U657" i="1" a="1"/>
  <c r="U657" i="1" s="1"/>
  <c r="X657" i="1"/>
  <c r="AD657" i="1"/>
  <c r="K657" i="1" a="1"/>
  <c r="K657" i="1" s="1"/>
  <c r="O657" i="1"/>
  <c r="P657" i="1"/>
  <c r="Q657" i="1"/>
  <c r="T657" i="1"/>
  <c r="A657" i="1" a="1"/>
  <c r="A657" i="1" s="1"/>
  <c r="AE656" i="1" a="1"/>
  <c r="AE656" i="1" s="1"/>
  <c r="U656" i="1" a="1"/>
  <c r="U656" i="1" s="1"/>
  <c r="K656" i="1" a="1"/>
  <c r="K656" i="1" s="1"/>
  <c r="P656" i="1"/>
  <c r="A656" i="1" a="1"/>
  <c r="A656" i="1" s="1"/>
  <c r="I656" i="1"/>
  <c r="J656" i="1"/>
  <c r="AE655" i="1" a="1"/>
  <c r="AE655" i="1" s="1"/>
  <c r="U655" i="1" a="1"/>
  <c r="U655" i="1" s="1"/>
  <c r="Y655" i="1"/>
  <c r="K655" i="1" a="1"/>
  <c r="K655" i="1" s="1"/>
  <c r="A655" i="1" a="1"/>
  <c r="A655" i="1" s="1"/>
  <c r="G655" i="1"/>
  <c r="AE654" i="1" a="1"/>
  <c r="AE654" i="1" s="1"/>
  <c r="U654" i="1" a="1"/>
  <c r="U654" i="1" s="1"/>
  <c r="K654" i="1" a="1"/>
  <c r="K654" i="1" s="1"/>
  <c r="P654" i="1"/>
  <c r="Q654" i="1"/>
  <c r="A654" i="1" a="1"/>
  <c r="A654" i="1" s="1"/>
  <c r="AE653" i="1" a="1"/>
  <c r="AE653" i="1" s="1"/>
  <c r="U653" i="1" a="1"/>
  <c r="U653" i="1" s="1"/>
  <c r="Y653" i="1"/>
  <c r="Z653" i="1"/>
  <c r="AA653" i="1"/>
  <c r="K653" i="1" a="1"/>
  <c r="K653" i="1" s="1"/>
  <c r="A653" i="1" a="1"/>
  <c r="A653" i="1" s="1"/>
  <c r="AE652" i="1" a="1"/>
  <c r="AE652" i="1" s="1"/>
  <c r="U652" i="1" a="1"/>
  <c r="U652" i="1" s="1"/>
  <c r="K652" i="1" a="1"/>
  <c r="K652" i="1" s="1"/>
  <c r="A652" i="1" a="1"/>
  <c r="A652" i="1" s="1"/>
  <c r="AE651" i="1" a="1"/>
  <c r="AE651" i="1" s="1"/>
  <c r="U651" i="1" a="1"/>
  <c r="U651" i="1" s="1"/>
  <c r="K651" i="1" a="1"/>
  <c r="K651" i="1" s="1"/>
  <c r="T651" i="1"/>
  <c r="A651" i="1" a="1"/>
  <c r="A651" i="1" s="1"/>
  <c r="AE650" i="1" a="1"/>
  <c r="AE650" i="1" s="1"/>
  <c r="U650" i="1" a="1"/>
  <c r="U650" i="1" s="1"/>
  <c r="K650" i="1" a="1"/>
  <c r="K650" i="1" s="1"/>
  <c r="T650" i="1"/>
  <c r="A650" i="1" a="1"/>
  <c r="A650" i="1" s="1"/>
  <c r="AE649" i="1" a="1"/>
  <c r="AE649" i="1" s="1"/>
  <c r="U649" i="1" a="1"/>
  <c r="U649" i="1" s="1"/>
  <c r="K649" i="1" a="1"/>
  <c r="K649" i="1" s="1"/>
  <c r="A649" i="1" a="1"/>
  <c r="A649" i="1" s="1"/>
  <c r="AE648" i="1" a="1"/>
  <c r="AE648" i="1" s="1"/>
  <c r="U648" i="1" a="1"/>
  <c r="U648" i="1" s="1"/>
  <c r="X648" i="1"/>
  <c r="AB648" i="1"/>
  <c r="AD648" i="1"/>
  <c r="K648" i="1" a="1"/>
  <c r="K648" i="1" s="1"/>
  <c r="R648" i="1"/>
  <c r="A648" i="1" a="1"/>
  <c r="A648" i="1" s="1"/>
  <c r="AE647" i="1" a="1"/>
  <c r="AE647" i="1" s="1"/>
  <c r="U647" i="1" a="1"/>
  <c r="U647" i="1" s="1"/>
  <c r="K647" i="1" a="1"/>
  <c r="K647" i="1" s="1"/>
  <c r="A647" i="1" a="1"/>
  <c r="A647" i="1" s="1"/>
  <c r="AE646" i="1" a="1"/>
  <c r="AE646" i="1" s="1"/>
  <c r="U646" i="1" a="1"/>
  <c r="U646" i="1" s="1"/>
  <c r="K646" i="1" a="1"/>
  <c r="K646" i="1" s="1"/>
  <c r="N646" i="1"/>
  <c r="O646" i="1"/>
  <c r="P646" i="1"/>
  <c r="A646" i="1" a="1"/>
  <c r="A646" i="1" s="1"/>
  <c r="F646" i="1"/>
  <c r="G646" i="1"/>
  <c r="AE645" i="1" a="1"/>
  <c r="AE645" i="1" s="1"/>
  <c r="U645" i="1" a="1"/>
  <c r="U645" i="1" s="1"/>
  <c r="K645" i="1" a="1"/>
  <c r="K645" i="1" s="1"/>
  <c r="S645" i="1"/>
  <c r="A645" i="1" a="1"/>
  <c r="A645" i="1" s="1"/>
  <c r="F645" i="1"/>
  <c r="AE644" i="1" a="1"/>
  <c r="AE644" i="1" s="1"/>
  <c r="U644" i="1" a="1"/>
  <c r="U644" i="1" s="1"/>
  <c r="K644" i="1" a="1"/>
  <c r="K644" i="1" s="1"/>
  <c r="A644" i="1" a="1"/>
  <c r="A644" i="1" s="1"/>
  <c r="G644" i="1"/>
  <c r="I644" i="1"/>
  <c r="J644" i="1"/>
  <c r="AE643" i="1" a="1"/>
  <c r="AE643" i="1" s="1"/>
  <c r="U643" i="1" a="1"/>
  <c r="U643" i="1" s="1"/>
  <c r="K643" i="1" a="1"/>
  <c r="K643" i="1" s="1"/>
  <c r="R643" i="1"/>
  <c r="T643" i="1"/>
  <c r="A643" i="1" a="1"/>
  <c r="A643" i="1" s="1"/>
  <c r="AE642" i="1" a="1"/>
  <c r="AE642" i="1" s="1"/>
  <c r="U642" i="1" a="1"/>
  <c r="U642" i="1" s="1"/>
  <c r="K642" i="1" a="1"/>
  <c r="K642" i="1" s="1"/>
  <c r="A642" i="1" a="1"/>
  <c r="A642" i="1" s="1"/>
  <c r="H642" i="1"/>
  <c r="AE641" i="1" a="1"/>
  <c r="AE641" i="1" s="1"/>
  <c r="U641" i="1" a="1"/>
  <c r="U641" i="1" s="1"/>
  <c r="AA641" i="1"/>
  <c r="K641" i="1" a="1"/>
  <c r="K641" i="1" s="1"/>
  <c r="A641" i="1" a="1"/>
  <c r="A641" i="1" s="1"/>
  <c r="AE640" i="1" a="1"/>
  <c r="AE640" i="1" s="1"/>
  <c r="U640" i="1" a="1"/>
  <c r="U640" i="1" s="1"/>
  <c r="AB640" i="1"/>
  <c r="AC640" i="1"/>
  <c r="AD640" i="1"/>
  <c r="K640" i="1" a="1"/>
  <c r="K640" i="1" s="1"/>
  <c r="S640" i="1"/>
  <c r="A640" i="1" a="1"/>
  <c r="A640" i="1" s="1"/>
  <c r="H640" i="1"/>
  <c r="AE639" i="1" a="1"/>
  <c r="AE639" i="1" s="1"/>
  <c r="U639" i="1" a="1"/>
  <c r="U639" i="1" s="1"/>
  <c r="K639" i="1" a="1"/>
  <c r="K639" i="1" s="1"/>
  <c r="A639" i="1" a="1"/>
  <c r="A639" i="1" s="1"/>
  <c r="H639" i="1"/>
  <c r="I639" i="1"/>
  <c r="J639" i="1"/>
  <c r="AE638" i="1" a="1"/>
  <c r="AE638" i="1" s="1"/>
  <c r="U638" i="1" a="1"/>
  <c r="U638" i="1" s="1"/>
  <c r="K638" i="1" a="1"/>
  <c r="K638" i="1" s="1"/>
  <c r="A638" i="1" a="1"/>
  <c r="A638" i="1" s="1"/>
  <c r="AE637" i="1" a="1"/>
  <c r="AE637" i="1" s="1"/>
  <c r="U637" i="1" a="1"/>
  <c r="U637" i="1" s="1"/>
  <c r="K637" i="1" a="1"/>
  <c r="K637" i="1" s="1"/>
  <c r="T637" i="1"/>
  <c r="A637" i="1" a="1"/>
  <c r="A637" i="1" s="1"/>
  <c r="AE636" i="1" a="1"/>
  <c r="AE636" i="1" s="1"/>
  <c r="U636" i="1" a="1"/>
  <c r="U636" i="1" s="1"/>
  <c r="K636" i="1" a="1"/>
  <c r="K636" i="1" s="1"/>
  <c r="A636" i="1" a="1"/>
  <c r="A636" i="1" s="1"/>
  <c r="F636" i="1"/>
  <c r="AE635" i="1" a="1"/>
  <c r="AE635" i="1" s="1"/>
  <c r="U635" i="1" a="1"/>
  <c r="U635" i="1" s="1"/>
  <c r="AC635" i="1"/>
  <c r="K635" i="1" a="1"/>
  <c r="K635" i="1" s="1"/>
  <c r="A635" i="1" a="1"/>
  <c r="A635" i="1" s="1"/>
  <c r="I635" i="1"/>
  <c r="AE634" i="1" a="1"/>
  <c r="AE634" i="1" s="1"/>
  <c r="U634" i="1" a="1"/>
  <c r="U634" i="1" s="1"/>
  <c r="AC634" i="1"/>
  <c r="K634" i="1" a="1"/>
  <c r="K634" i="1" s="1"/>
  <c r="A634" i="1" a="1"/>
  <c r="A634" i="1" s="1"/>
  <c r="H634" i="1"/>
  <c r="I634" i="1"/>
  <c r="AE633" i="1" a="1"/>
  <c r="AE633" i="1" s="1"/>
  <c r="U633" i="1" a="1"/>
  <c r="V633" i="1" s="1"/>
  <c r="K633" i="1" a="1"/>
  <c r="K633" i="1" s="1"/>
  <c r="S633" i="1"/>
  <c r="T633" i="1"/>
  <c r="A633" i="1" a="1"/>
  <c r="A633" i="1" s="1"/>
  <c r="AE632" i="1" a="1"/>
  <c r="AE632" i="1" s="1"/>
  <c r="U632" i="1" a="1"/>
  <c r="U632" i="1" s="1"/>
  <c r="K632" i="1" a="1"/>
  <c r="K632" i="1" s="1"/>
  <c r="A632" i="1" a="1"/>
  <c r="A632" i="1" s="1"/>
  <c r="H632" i="1"/>
  <c r="AE631" i="1" a="1"/>
  <c r="AE631" i="1" s="1"/>
  <c r="U631" i="1" a="1"/>
  <c r="U631" i="1" s="1"/>
  <c r="AB631" i="1"/>
  <c r="AD631" i="1"/>
  <c r="K631" i="1" a="1"/>
  <c r="K631" i="1" s="1"/>
  <c r="A631" i="1" a="1"/>
  <c r="A631" i="1" s="1"/>
  <c r="H631" i="1"/>
  <c r="J631" i="1"/>
  <c r="AE630" i="1" a="1"/>
  <c r="AE630" i="1" s="1"/>
  <c r="U630" i="1" a="1"/>
  <c r="U630" i="1" s="1"/>
  <c r="Y630" i="1"/>
  <c r="Z630" i="1"/>
  <c r="AA630" i="1"/>
  <c r="AD630" i="1"/>
  <c r="K630" i="1" a="1"/>
  <c r="K630" i="1" s="1"/>
  <c r="A630" i="1" a="1"/>
  <c r="A630" i="1" s="1"/>
  <c r="G630" i="1"/>
  <c r="J630" i="1"/>
  <c r="AE629" i="1" a="1"/>
  <c r="AE629" i="1" s="1"/>
  <c r="U629" i="1" a="1"/>
  <c r="U629" i="1" s="1"/>
  <c r="K629" i="1" a="1"/>
  <c r="K629" i="1" s="1"/>
  <c r="P629" i="1"/>
  <c r="Q629" i="1"/>
  <c r="A629" i="1" a="1"/>
  <c r="A629" i="1" s="1"/>
  <c r="AE628" i="1" a="1"/>
  <c r="AE628" i="1" s="1"/>
  <c r="U628" i="1" a="1"/>
  <c r="U628" i="1" s="1"/>
  <c r="K628" i="1" a="1"/>
  <c r="K628" i="1" s="1"/>
  <c r="A628" i="1" a="1"/>
  <c r="A628" i="1" s="1"/>
  <c r="AE627" i="1" a="1"/>
  <c r="AE627" i="1" s="1"/>
  <c r="U627" i="1" a="1"/>
  <c r="U627" i="1" s="1"/>
  <c r="K627" i="1" a="1"/>
  <c r="K627" i="1" s="1"/>
  <c r="A627" i="1" a="1"/>
  <c r="A627" i="1" s="1"/>
  <c r="AE626" i="1" a="1"/>
  <c r="AE626" i="1" s="1"/>
  <c r="U626" i="1" a="1"/>
  <c r="U626" i="1" s="1"/>
  <c r="K626" i="1" a="1"/>
  <c r="K626" i="1" s="1"/>
  <c r="A626" i="1" a="1"/>
  <c r="A626" i="1" s="1"/>
  <c r="AE625" i="1" a="1"/>
  <c r="AE625" i="1" s="1"/>
  <c r="U625" i="1" a="1"/>
  <c r="U625" i="1" s="1"/>
  <c r="K625" i="1" a="1"/>
  <c r="K625" i="1" s="1"/>
  <c r="A625" i="1" a="1"/>
  <c r="A625" i="1" s="1"/>
  <c r="AE624" i="1" a="1"/>
  <c r="AE624" i="1" s="1"/>
  <c r="U624" i="1" a="1"/>
  <c r="U624" i="1" s="1"/>
  <c r="K624" i="1" a="1"/>
  <c r="K624" i="1" s="1"/>
  <c r="A624" i="1" a="1"/>
  <c r="A624" i="1" s="1"/>
  <c r="AE623" i="1" a="1"/>
  <c r="AE623" i="1" s="1"/>
  <c r="U623" i="1" a="1"/>
  <c r="U623" i="1" s="1"/>
  <c r="K623" i="1" a="1"/>
  <c r="K623" i="1" s="1"/>
  <c r="R623" i="1"/>
  <c r="A623" i="1" a="1"/>
  <c r="A623" i="1" s="1"/>
  <c r="AE622" i="1" a="1"/>
  <c r="AE622" i="1" s="1"/>
  <c r="U622" i="1" a="1"/>
  <c r="U622" i="1" s="1"/>
  <c r="K622" i="1" a="1"/>
  <c r="K622" i="1" s="1"/>
  <c r="A622" i="1" a="1"/>
  <c r="A622" i="1" s="1"/>
  <c r="G622" i="1"/>
  <c r="AE621" i="1" a="1"/>
  <c r="AE621" i="1" s="1"/>
  <c r="U621" i="1" a="1"/>
  <c r="U621" i="1" s="1"/>
  <c r="K621" i="1" a="1"/>
  <c r="K621" i="1" s="1"/>
  <c r="Q621" i="1"/>
  <c r="S621" i="1"/>
  <c r="T621" i="1"/>
  <c r="A621" i="1" a="1"/>
  <c r="A621" i="1" s="1"/>
  <c r="AE620" i="1" a="1"/>
  <c r="AE620" i="1" s="1"/>
  <c r="U620" i="1" a="1"/>
  <c r="U620" i="1" s="1"/>
  <c r="K620" i="1" a="1"/>
  <c r="K620" i="1" s="1"/>
  <c r="A620" i="1" a="1"/>
  <c r="A620" i="1" s="1"/>
  <c r="AE619" i="1" a="1"/>
  <c r="AE619" i="1" s="1"/>
  <c r="U619" i="1" a="1"/>
  <c r="U619" i="1" s="1"/>
  <c r="K619" i="1" a="1"/>
  <c r="K619" i="1" s="1"/>
  <c r="A619" i="1" a="1"/>
  <c r="A619" i="1" s="1"/>
  <c r="AE618" i="1" a="1"/>
  <c r="AE618" i="1" s="1"/>
  <c r="U618" i="1" a="1"/>
  <c r="U618" i="1" s="1"/>
  <c r="K618" i="1" a="1"/>
  <c r="K618" i="1" s="1"/>
  <c r="A618" i="1" a="1"/>
  <c r="A618" i="1" s="1"/>
  <c r="H618" i="1"/>
  <c r="AE617" i="1" a="1"/>
  <c r="AE617" i="1" s="1"/>
  <c r="U617" i="1" a="1"/>
  <c r="U617" i="1" s="1"/>
  <c r="K617" i="1" a="1"/>
  <c r="K617" i="1" s="1"/>
  <c r="T617" i="1"/>
  <c r="A617" i="1" a="1"/>
  <c r="A617" i="1" s="1"/>
  <c r="AE616" i="1" a="1"/>
  <c r="AE616" i="1" s="1"/>
  <c r="U616" i="1" a="1"/>
  <c r="U616" i="1" s="1"/>
  <c r="K616" i="1" a="1"/>
  <c r="K616" i="1" s="1"/>
  <c r="N616" i="1"/>
  <c r="Q616" i="1"/>
  <c r="A616" i="1" a="1"/>
  <c r="A616" i="1" s="1"/>
  <c r="AE615" i="1" a="1"/>
  <c r="AE615" i="1" s="1"/>
  <c r="U615" i="1" a="1"/>
  <c r="U615" i="1" s="1"/>
  <c r="K615" i="1" a="1"/>
  <c r="K615" i="1" s="1"/>
  <c r="R615" i="1"/>
  <c r="S615" i="1"/>
  <c r="A615" i="1" a="1"/>
  <c r="A615" i="1" s="1"/>
  <c r="AE614" i="1" a="1"/>
  <c r="AE614" i="1" s="1"/>
  <c r="U614" i="1" a="1"/>
  <c r="U614" i="1" s="1"/>
  <c r="W614" i="1"/>
  <c r="K614" i="1" a="1"/>
  <c r="K614" i="1" s="1"/>
  <c r="O614" i="1"/>
  <c r="S614" i="1"/>
  <c r="A614" i="1" a="1"/>
  <c r="A614" i="1" s="1"/>
  <c r="AE613" i="1" a="1"/>
  <c r="AE613" i="1" s="1"/>
  <c r="U613" i="1" a="1"/>
  <c r="U613" i="1" s="1"/>
  <c r="K613" i="1" a="1"/>
  <c r="K613" i="1" s="1"/>
  <c r="A613" i="1" a="1"/>
  <c r="A613" i="1" s="1"/>
  <c r="E613" i="1"/>
  <c r="F613" i="1"/>
  <c r="AE612" i="1" a="1"/>
  <c r="AE612" i="1" s="1"/>
  <c r="U612" i="1" a="1"/>
  <c r="U612" i="1" s="1"/>
  <c r="K612" i="1" a="1"/>
  <c r="K612" i="1" s="1"/>
  <c r="A612" i="1" a="1"/>
  <c r="A612" i="1" s="1"/>
  <c r="J612" i="1"/>
  <c r="AE611" i="1" a="1"/>
  <c r="AE611" i="1" s="1"/>
  <c r="U611" i="1" a="1"/>
  <c r="U611" i="1" s="1"/>
  <c r="K611" i="1" a="1"/>
  <c r="K611" i="1" s="1"/>
  <c r="A611" i="1" a="1"/>
  <c r="A611" i="1" s="1"/>
  <c r="AE610" i="1" a="1"/>
  <c r="AE610" i="1" s="1"/>
  <c r="U610" i="1" a="1"/>
  <c r="U610" i="1" s="1"/>
  <c r="X610" i="1"/>
  <c r="Y610" i="1"/>
  <c r="AB610" i="1"/>
  <c r="K610" i="1" a="1"/>
  <c r="K610" i="1" s="1"/>
  <c r="O610" i="1"/>
  <c r="P610" i="1"/>
  <c r="A610" i="1" a="1"/>
  <c r="A610" i="1" s="1"/>
  <c r="J610" i="1"/>
  <c r="AE609" i="1" a="1"/>
  <c r="AE609" i="1" s="1"/>
  <c r="U609" i="1" a="1"/>
  <c r="U609" i="1" s="1"/>
  <c r="K609" i="1" a="1"/>
  <c r="K609" i="1" s="1"/>
  <c r="Q609" i="1"/>
  <c r="R609" i="1"/>
  <c r="A609" i="1" a="1"/>
  <c r="A609" i="1" s="1"/>
  <c r="AE608" i="1" a="1"/>
  <c r="AE608" i="1" s="1"/>
  <c r="U608" i="1" a="1"/>
  <c r="U608" i="1" s="1"/>
  <c r="K608" i="1" a="1"/>
  <c r="K608" i="1" s="1"/>
  <c r="A608" i="1" a="1"/>
  <c r="A608" i="1" s="1"/>
  <c r="AE607" i="1" a="1"/>
  <c r="AE607" i="1" s="1"/>
  <c r="U607" i="1" a="1"/>
  <c r="U607" i="1" s="1"/>
  <c r="K607" i="1" a="1"/>
  <c r="K607" i="1" s="1"/>
  <c r="A607" i="1" a="1"/>
  <c r="A607" i="1" s="1"/>
  <c r="AE606" i="1" a="1"/>
  <c r="AE606" i="1" s="1"/>
  <c r="U606" i="1" a="1"/>
  <c r="U606" i="1" s="1"/>
  <c r="X606" i="1"/>
  <c r="K606" i="1" a="1"/>
  <c r="K606" i="1" s="1"/>
  <c r="A606" i="1" a="1"/>
  <c r="A606" i="1" s="1"/>
  <c r="AE605" i="1" a="1"/>
  <c r="AE605" i="1" s="1"/>
  <c r="U605" i="1" a="1"/>
  <c r="U605" i="1" s="1"/>
  <c r="Y605" i="1"/>
  <c r="K605" i="1" a="1"/>
  <c r="K605" i="1" s="1"/>
  <c r="A605" i="1" a="1"/>
  <c r="A605" i="1" s="1"/>
  <c r="AE604" i="1" a="1"/>
  <c r="AE604" i="1" s="1"/>
  <c r="U604" i="1" a="1"/>
  <c r="U604" i="1" s="1"/>
  <c r="K604" i="1" a="1"/>
  <c r="K604" i="1" s="1"/>
  <c r="A604" i="1" a="1"/>
  <c r="A604" i="1" s="1"/>
  <c r="I604" i="1"/>
  <c r="AE603" i="1" a="1"/>
  <c r="AE603" i="1" s="1"/>
  <c r="U603" i="1" a="1"/>
  <c r="U603" i="1" s="1"/>
  <c r="AD603" i="1"/>
  <c r="K603" i="1" a="1"/>
  <c r="K603" i="1" s="1"/>
  <c r="A603" i="1" a="1"/>
  <c r="A603" i="1" s="1"/>
  <c r="AE602" i="1" a="1"/>
  <c r="AE602" i="1" s="1"/>
  <c r="U602" i="1" a="1"/>
  <c r="U602" i="1" s="1"/>
  <c r="K602" i="1" a="1"/>
  <c r="K602" i="1" s="1"/>
  <c r="A602" i="1" a="1"/>
  <c r="A602" i="1" s="1"/>
  <c r="AE601" i="1" a="1"/>
  <c r="AE601" i="1" s="1"/>
  <c r="U601" i="1" a="1"/>
  <c r="U601" i="1" s="1"/>
  <c r="K601" i="1" a="1"/>
  <c r="K601" i="1" s="1"/>
  <c r="R601" i="1"/>
  <c r="A601" i="1" a="1"/>
  <c r="A601" i="1" s="1"/>
  <c r="J601" i="1"/>
  <c r="AE600" i="1" a="1"/>
  <c r="AE600" i="1" s="1"/>
  <c r="U600" i="1" a="1"/>
  <c r="U600" i="1" s="1"/>
  <c r="AD600" i="1"/>
  <c r="K600" i="1" a="1"/>
  <c r="K600" i="1" s="1"/>
  <c r="N600" i="1"/>
  <c r="A600" i="1" a="1"/>
  <c r="A600" i="1" s="1"/>
  <c r="G600" i="1"/>
  <c r="AE599" i="1" a="1"/>
  <c r="AE599" i="1" s="1"/>
  <c r="U599" i="1" a="1"/>
  <c r="U599" i="1" s="1"/>
  <c r="AB599" i="1"/>
  <c r="K599" i="1" a="1"/>
  <c r="K599" i="1" s="1"/>
  <c r="Q599" i="1"/>
  <c r="A599" i="1" a="1"/>
  <c r="A599" i="1" s="1"/>
  <c r="AE598" i="1" a="1"/>
  <c r="AE598" i="1" s="1"/>
  <c r="U598" i="1" a="1"/>
  <c r="U598" i="1" s="1"/>
  <c r="AB598" i="1"/>
  <c r="K598" i="1" a="1"/>
  <c r="K598" i="1" s="1"/>
  <c r="P598" i="1"/>
  <c r="S598" i="1"/>
  <c r="A598" i="1" a="1"/>
  <c r="A598" i="1" s="1"/>
  <c r="AE597" i="1" a="1"/>
  <c r="AE597" i="1" s="1"/>
  <c r="U597" i="1" a="1"/>
  <c r="U597" i="1" s="1"/>
  <c r="AC597" i="1"/>
  <c r="K597" i="1" a="1"/>
  <c r="K597" i="1" s="1"/>
  <c r="A597" i="1" a="1"/>
  <c r="A597" i="1" s="1"/>
  <c r="AE596" i="1" a="1"/>
  <c r="AE596" i="1" s="1"/>
  <c r="U596" i="1" a="1"/>
  <c r="U596" i="1" s="1"/>
  <c r="K596" i="1" a="1"/>
  <c r="K596" i="1" s="1"/>
  <c r="A596" i="1" a="1"/>
  <c r="A596" i="1" s="1"/>
  <c r="AE595" i="1" a="1"/>
  <c r="AE595" i="1" s="1"/>
  <c r="U595" i="1" a="1"/>
  <c r="U595" i="1" s="1"/>
  <c r="K595" i="1" a="1"/>
  <c r="K595" i="1" s="1"/>
  <c r="A595" i="1" a="1"/>
  <c r="A595" i="1" s="1"/>
  <c r="I595" i="1"/>
  <c r="AE594" i="1" a="1"/>
  <c r="AE594" i="1" s="1"/>
  <c r="U594" i="1" a="1"/>
  <c r="U594" i="1" s="1"/>
  <c r="Y594" i="1"/>
  <c r="AB594" i="1"/>
  <c r="K594" i="1" a="1"/>
  <c r="K594" i="1" s="1"/>
  <c r="P594" i="1"/>
  <c r="S594" i="1"/>
  <c r="T594" i="1"/>
  <c r="A594" i="1" a="1"/>
  <c r="A594" i="1" s="1"/>
  <c r="AE593" i="1" a="1"/>
  <c r="AE593" i="1" s="1"/>
  <c r="U593" i="1" a="1"/>
  <c r="U593" i="1" s="1"/>
  <c r="AC593" i="1"/>
  <c r="AD593" i="1"/>
  <c r="K593" i="1" a="1"/>
  <c r="K593" i="1" s="1"/>
  <c r="A593" i="1" a="1"/>
  <c r="A593" i="1" s="1"/>
  <c r="AE592" i="1" a="1"/>
  <c r="AE592" i="1" s="1"/>
  <c r="U592" i="1" a="1"/>
  <c r="U592" i="1" s="1"/>
  <c r="Z592" i="1"/>
  <c r="AA592" i="1"/>
  <c r="AB592" i="1"/>
  <c r="AC592" i="1"/>
  <c r="AD592" i="1"/>
  <c r="K592" i="1" a="1"/>
  <c r="K592" i="1" s="1"/>
  <c r="R592" i="1"/>
  <c r="S592" i="1"/>
  <c r="T592" i="1"/>
  <c r="A592" i="1" a="1"/>
  <c r="A592" i="1" s="1"/>
  <c r="J592" i="1"/>
  <c r="AE591" i="1" a="1"/>
  <c r="AE591" i="1" s="1"/>
  <c r="U591" i="1" a="1"/>
  <c r="U591" i="1" s="1"/>
  <c r="K591" i="1" a="1"/>
  <c r="K591" i="1" s="1"/>
  <c r="A591" i="1" a="1"/>
  <c r="A591" i="1" s="1"/>
  <c r="AE590" i="1" a="1"/>
  <c r="AE590" i="1" s="1"/>
  <c r="U590" i="1" a="1"/>
  <c r="U590" i="1" s="1"/>
  <c r="K590" i="1" a="1"/>
  <c r="K590" i="1" s="1"/>
  <c r="A590" i="1" a="1"/>
  <c r="A590" i="1" s="1"/>
  <c r="AE589" i="1" a="1"/>
  <c r="AE589" i="1" s="1"/>
  <c r="U589" i="1" a="1"/>
  <c r="U589" i="1" s="1"/>
  <c r="AD589" i="1"/>
  <c r="K589" i="1" a="1"/>
  <c r="K589" i="1" s="1"/>
  <c r="A589" i="1" a="1"/>
  <c r="A589" i="1" s="1"/>
  <c r="AE588" i="1" a="1"/>
  <c r="AE588" i="1" s="1"/>
  <c r="U588" i="1" a="1"/>
  <c r="U588" i="1" s="1"/>
  <c r="AC588" i="1"/>
  <c r="K588" i="1" a="1"/>
  <c r="K588" i="1" s="1"/>
  <c r="A588" i="1" a="1"/>
  <c r="A588" i="1" s="1"/>
  <c r="AE587" i="1" a="1"/>
  <c r="AE587" i="1" s="1"/>
  <c r="AF587" i="1"/>
  <c r="AG587" i="1"/>
  <c r="U587" i="1" a="1"/>
  <c r="U587" i="1" s="1"/>
  <c r="Y587" i="1"/>
  <c r="AA587" i="1"/>
  <c r="AC587" i="1"/>
  <c r="AD587" i="1"/>
  <c r="K587" i="1" a="1"/>
  <c r="K587" i="1" s="1"/>
  <c r="R587" i="1"/>
  <c r="A587" i="1" a="1"/>
  <c r="A587" i="1" s="1"/>
  <c r="D587" i="1"/>
  <c r="AE586" i="1" a="1"/>
  <c r="AE586" i="1" s="1"/>
  <c r="U586" i="1" a="1"/>
  <c r="U586" i="1" s="1"/>
  <c r="AD586" i="1"/>
  <c r="K586" i="1" a="1"/>
  <c r="K586" i="1" s="1"/>
  <c r="A586" i="1" a="1"/>
  <c r="A586" i="1" s="1"/>
  <c r="AE585" i="1" a="1"/>
  <c r="AE585" i="1" s="1"/>
  <c r="U585" i="1" a="1"/>
  <c r="U585" i="1" s="1"/>
  <c r="K585" i="1" a="1"/>
  <c r="K585" i="1" s="1"/>
  <c r="A585" i="1" a="1"/>
  <c r="A585" i="1" s="1"/>
  <c r="AE584" i="1" a="1"/>
  <c r="AE584" i="1" s="1"/>
  <c r="U584" i="1" a="1"/>
  <c r="U584" i="1" s="1"/>
  <c r="AB584" i="1"/>
  <c r="K584" i="1" a="1"/>
  <c r="K584" i="1" s="1"/>
  <c r="A584" i="1" a="1"/>
  <c r="A584" i="1" s="1"/>
  <c r="AE583" i="1" a="1"/>
  <c r="AE583" i="1" s="1"/>
  <c r="U583" i="1" a="1"/>
  <c r="U583" i="1" s="1"/>
  <c r="Y583" i="1"/>
  <c r="Z583" i="1"/>
  <c r="AA583" i="1"/>
  <c r="AC583" i="1"/>
  <c r="AD583" i="1"/>
  <c r="K583" i="1" a="1"/>
  <c r="K583" i="1" s="1"/>
  <c r="P583" i="1"/>
  <c r="T583" i="1"/>
  <c r="A583" i="1" a="1"/>
  <c r="A583" i="1" s="1"/>
  <c r="AE582" i="1" a="1"/>
  <c r="AE582" i="1" s="1"/>
  <c r="U582" i="1" a="1"/>
  <c r="U582" i="1" s="1"/>
  <c r="K582" i="1" a="1"/>
  <c r="K582" i="1" s="1"/>
  <c r="R582" i="1"/>
  <c r="A582" i="1" a="1"/>
  <c r="A582" i="1" s="1"/>
  <c r="AE581" i="1" a="1"/>
  <c r="AE581" i="1" s="1"/>
  <c r="U581" i="1" a="1"/>
  <c r="U581" i="1" s="1"/>
  <c r="K581" i="1" a="1"/>
  <c r="K581" i="1" s="1"/>
  <c r="A581" i="1" a="1"/>
  <c r="A581" i="1" s="1"/>
  <c r="AE580" i="1" a="1"/>
  <c r="AE580" i="1" s="1"/>
  <c r="U580" i="1" a="1"/>
  <c r="U580" i="1" s="1"/>
  <c r="K580" i="1" a="1"/>
  <c r="K580" i="1" s="1"/>
  <c r="S580" i="1"/>
  <c r="T580" i="1"/>
  <c r="A580" i="1" a="1"/>
  <c r="A580" i="1" s="1"/>
  <c r="AE579" i="1" a="1"/>
  <c r="AE579" i="1" s="1"/>
  <c r="U579" i="1" a="1"/>
  <c r="U579" i="1" s="1"/>
  <c r="AD579" i="1"/>
  <c r="K579" i="1" a="1"/>
  <c r="K579" i="1" s="1"/>
  <c r="S579" i="1"/>
  <c r="A579" i="1" a="1"/>
  <c r="A579" i="1" s="1"/>
  <c r="AE578" i="1" a="1"/>
  <c r="AE578" i="1" s="1"/>
  <c r="AH578" i="1"/>
  <c r="U578" i="1" a="1"/>
  <c r="U578" i="1" s="1"/>
  <c r="K578" i="1" a="1"/>
  <c r="K578" i="1" s="1"/>
  <c r="A578" i="1" a="1"/>
  <c r="A578" i="1" s="1"/>
  <c r="AE577" i="1" a="1"/>
  <c r="AE577" i="1" s="1"/>
  <c r="U577" i="1" a="1"/>
  <c r="U577" i="1" s="1"/>
  <c r="AA577" i="1"/>
  <c r="AC577" i="1"/>
  <c r="K577" i="1" a="1"/>
  <c r="K577" i="1" s="1"/>
  <c r="A577" i="1" a="1"/>
  <c r="A577" i="1" s="1"/>
  <c r="AE576" i="1" a="1"/>
  <c r="AE576" i="1" s="1"/>
  <c r="U576" i="1" a="1"/>
  <c r="U576" i="1" s="1"/>
  <c r="K576" i="1" a="1"/>
  <c r="K576" i="1" s="1"/>
  <c r="A576" i="1" a="1"/>
  <c r="A576" i="1" s="1"/>
  <c r="E576" i="1"/>
  <c r="G576" i="1"/>
  <c r="I576" i="1"/>
  <c r="J576" i="1"/>
  <c r="AE575" i="1" a="1"/>
  <c r="AE575" i="1" s="1"/>
  <c r="U575" i="1" a="1"/>
  <c r="U575" i="1" s="1"/>
  <c r="K575" i="1" a="1"/>
  <c r="K575" i="1" s="1"/>
  <c r="A575" i="1" a="1"/>
  <c r="A575" i="1" s="1"/>
  <c r="AE574" i="1" a="1"/>
  <c r="AE574" i="1" s="1"/>
  <c r="U574" i="1" a="1"/>
  <c r="V574" i="1" s="1"/>
  <c r="K574" i="1" a="1"/>
  <c r="K574" i="1" s="1"/>
  <c r="A574" i="1" a="1"/>
  <c r="A574" i="1" s="1"/>
  <c r="AE573" i="1" a="1"/>
  <c r="AE573" i="1" s="1"/>
  <c r="U573" i="1" a="1"/>
  <c r="V573" i="1" s="1"/>
  <c r="K573" i="1" a="1"/>
  <c r="K573" i="1" s="1"/>
  <c r="A573" i="1" a="1"/>
  <c r="A573" i="1" s="1"/>
  <c r="AE572" i="1" a="1"/>
  <c r="AE572" i="1" s="1"/>
  <c r="U572" i="1" a="1"/>
  <c r="U572" i="1" s="1"/>
  <c r="K572" i="1" a="1"/>
  <c r="K572" i="1" s="1"/>
  <c r="A572" i="1" a="1"/>
  <c r="A572" i="1" s="1"/>
  <c r="AE571" i="1" a="1"/>
  <c r="AE571" i="1" s="1"/>
  <c r="U571" i="1" a="1"/>
  <c r="U571" i="1" s="1"/>
  <c r="K571" i="1" a="1"/>
  <c r="K571" i="1" s="1"/>
  <c r="A571" i="1" a="1"/>
  <c r="A571" i="1" s="1"/>
  <c r="AE570" i="1" a="1"/>
  <c r="AE570" i="1" s="1"/>
  <c r="U570" i="1" a="1"/>
  <c r="U570" i="1" s="1"/>
  <c r="AB570" i="1"/>
  <c r="K570" i="1" a="1"/>
  <c r="K570" i="1" s="1"/>
  <c r="A570" i="1" a="1"/>
  <c r="A570" i="1" s="1"/>
  <c r="AE569" i="1" a="1"/>
  <c r="AE569" i="1" s="1"/>
  <c r="U569" i="1" a="1"/>
  <c r="U569" i="1" s="1"/>
  <c r="K569" i="1" a="1"/>
  <c r="K569" i="1" s="1"/>
  <c r="A569" i="1" a="1"/>
  <c r="A569" i="1" s="1"/>
  <c r="AE568" i="1" a="1"/>
  <c r="AE568" i="1" s="1"/>
  <c r="U568" i="1" a="1"/>
  <c r="U568" i="1" s="1"/>
  <c r="K568" i="1" a="1"/>
  <c r="K568" i="1" s="1"/>
  <c r="O568" i="1"/>
  <c r="A568" i="1" a="1"/>
  <c r="A568" i="1" s="1"/>
  <c r="AE567" i="1" a="1"/>
  <c r="AE567" i="1" s="1"/>
  <c r="U567" i="1" a="1"/>
  <c r="U567" i="1" s="1"/>
  <c r="K567" i="1" a="1"/>
  <c r="K567" i="1" s="1"/>
  <c r="T567" i="1"/>
  <c r="A567" i="1" a="1"/>
  <c r="A567" i="1" s="1"/>
  <c r="AE566" i="1" a="1"/>
  <c r="AE566" i="1" s="1"/>
  <c r="U566" i="1" a="1"/>
  <c r="U566" i="1" s="1"/>
  <c r="K566" i="1" a="1"/>
  <c r="K566" i="1" s="1"/>
  <c r="A566" i="1" a="1"/>
  <c r="A566" i="1" s="1"/>
  <c r="AE565" i="1" a="1"/>
  <c r="AE565" i="1" s="1"/>
  <c r="U565" i="1" a="1"/>
  <c r="U565" i="1" s="1"/>
  <c r="K565" i="1" a="1"/>
  <c r="K565" i="1" s="1"/>
  <c r="A565" i="1" a="1"/>
  <c r="A565" i="1" s="1"/>
  <c r="AE564" i="1" a="1"/>
  <c r="AE564" i="1" s="1"/>
  <c r="U564" i="1" a="1"/>
  <c r="U564" i="1" s="1"/>
  <c r="K564" i="1" a="1"/>
  <c r="K564" i="1" s="1"/>
  <c r="A564" i="1" a="1"/>
  <c r="A564" i="1" s="1"/>
  <c r="AE563" i="1" a="1"/>
  <c r="AE563" i="1" s="1"/>
  <c r="U563" i="1" a="1"/>
  <c r="U563" i="1" s="1"/>
  <c r="K563" i="1" a="1"/>
  <c r="K563" i="1" s="1"/>
  <c r="A563" i="1" a="1"/>
  <c r="A563" i="1" s="1"/>
  <c r="AE562" i="1" a="1"/>
  <c r="AE562" i="1" s="1"/>
  <c r="U562" i="1" a="1"/>
  <c r="U562" i="1" s="1"/>
  <c r="K562" i="1" a="1"/>
  <c r="K562" i="1" s="1"/>
  <c r="A562" i="1" a="1"/>
  <c r="A562" i="1" s="1"/>
  <c r="AE561" i="1" a="1"/>
  <c r="AE561" i="1" s="1"/>
  <c r="U561" i="1" a="1"/>
  <c r="U561" i="1" s="1"/>
  <c r="K561" i="1" a="1"/>
  <c r="K561" i="1" s="1"/>
  <c r="A561" i="1" a="1"/>
  <c r="A561" i="1" s="1"/>
  <c r="AE560" i="1" a="1"/>
  <c r="AE560" i="1" s="1"/>
  <c r="U560" i="1" a="1"/>
  <c r="U560" i="1" s="1"/>
  <c r="K560" i="1" a="1"/>
  <c r="K560" i="1" s="1"/>
  <c r="A560" i="1" a="1"/>
  <c r="A560" i="1" s="1"/>
  <c r="AE559" i="1" a="1"/>
  <c r="AE559" i="1" s="1"/>
  <c r="U559" i="1" a="1"/>
  <c r="U559" i="1" s="1"/>
  <c r="K559" i="1" a="1"/>
  <c r="K559" i="1" s="1"/>
  <c r="A559" i="1" a="1"/>
  <c r="A559" i="1" s="1"/>
  <c r="I559" i="1"/>
  <c r="AE558" i="1" a="1"/>
  <c r="AE558" i="1" s="1"/>
  <c r="U558" i="1" a="1"/>
  <c r="U558" i="1" s="1"/>
  <c r="K558" i="1" a="1"/>
  <c r="K558" i="1" s="1"/>
  <c r="A558" i="1" a="1"/>
  <c r="B558" i="1" s="1"/>
  <c r="J558" i="1"/>
  <c r="AE557" i="1" a="1"/>
  <c r="AE557" i="1" s="1"/>
  <c r="U557" i="1" a="1"/>
  <c r="U557" i="1" s="1"/>
  <c r="K557" i="1" a="1"/>
  <c r="K557" i="1" s="1"/>
  <c r="A557" i="1" a="1"/>
  <c r="A557" i="1" s="1"/>
  <c r="AE556" i="1" a="1"/>
  <c r="AE556" i="1" s="1"/>
  <c r="U556" i="1" a="1"/>
  <c r="U556" i="1" s="1"/>
  <c r="AB556" i="1"/>
  <c r="AC556" i="1"/>
  <c r="K556" i="1" a="1"/>
  <c r="K556" i="1" s="1"/>
  <c r="A556" i="1" a="1"/>
  <c r="A556" i="1" s="1"/>
  <c r="AE555" i="1" a="1"/>
  <c r="AE555" i="1" s="1"/>
  <c r="U555" i="1" a="1"/>
  <c r="U555" i="1" s="1"/>
  <c r="K555" i="1" a="1"/>
  <c r="K555" i="1" s="1"/>
  <c r="A555" i="1" a="1"/>
  <c r="A555" i="1" s="1"/>
  <c r="AE554" i="1" a="1"/>
  <c r="AE554" i="1" s="1"/>
  <c r="U554" i="1" a="1"/>
  <c r="U554" i="1" s="1"/>
  <c r="AA554" i="1"/>
  <c r="AD554" i="1"/>
  <c r="K554" i="1" a="1"/>
  <c r="K554" i="1" s="1"/>
  <c r="A554" i="1" a="1"/>
  <c r="A554" i="1" s="1"/>
  <c r="AE553" i="1" a="1"/>
  <c r="AE553" i="1" s="1"/>
  <c r="U553" i="1" a="1"/>
  <c r="U553" i="1" s="1"/>
  <c r="K553" i="1" a="1"/>
  <c r="K553" i="1" s="1"/>
  <c r="A553" i="1" a="1"/>
  <c r="A553" i="1" s="1"/>
  <c r="AE552" i="1" a="1"/>
  <c r="AE552" i="1" s="1"/>
  <c r="U552" i="1" a="1"/>
  <c r="U552" i="1" s="1"/>
  <c r="Y552" i="1"/>
  <c r="K552" i="1" a="1"/>
  <c r="K552" i="1" s="1"/>
  <c r="T552" i="1"/>
  <c r="A552" i="1" a="1"/>
  <c r="A552" i="1" s="1"/>
  <c r="AE551" i="1" a="1"/>
  <c r="AE551" i="1" s="1"/>
  <c r="U551" i="1" a="1"/>
  <c r="U551" i="1" s="1"/>
  <c r="K551" i="1" a="1"/>
  <c r="K551" i="1" s="1"/>
  <c r="A551" i="1" a="1"/>
  <c r="A551" i="1" s="1"/>
  <c r="AE550" i="1" a="1"/>
  <c r="AE550" i="1" s="1"/>
  <c r="U550" i="1" a="1"/>
  <c r="U550" i="1" s="1"/>
  <c r="K550" i="1" a="1"/>
  <c r="K550" i="1" s="1"/>
  <c r="T550" i="1"/>
  <c r="A550" i="1" a="1"/>
  <c r="A550" i="1" s="1"/>
  <c r="AE549" i="1" a="1"/>
  <c r="AE549" i="1" s="1"/>
  <c r="U549" i="1" a="1"/>
  <c r="U549" i="1" s="1"/>
  <c r="AD549" i="1"/>
  <c r="K549" i="1" a="1"/>
  <c r="K549" i="1" s="1"/>
  <c r="R549" i="1"/>
  <c r="A549" i="1" a="1"/>
  <c r="A549" i="1" s="1"/>
  <c r="J549" i="1"/>
  <c r="AE548" i="1" a="1"/>
  <c r="AE548" i="1" s="1"/>
  <c r="U548" i="1" a="1"/>
  <c r="U548" i="1" s="1"/>
  <c r="K548" i="1" a="1"/>
  <c r="K548" i="1" s="1"/>
  <c r="R548" i="1"/>
  <c r="A548" i="1" a="1"/>
  <c r="A548" i="1" s="1"/>
  <c r="AE547" i="1" a="1"/>
  <c r="AE547" i="1" s="1"/>
  <c r="U547" i="1" a="1"/>
  <c r="U547" i="1" s="1"/>
  <c r="K547" i="1" a="1"/>
  <c r="K547" i="1" s="1"/>
  <c r="O547" i="1"/>
  <c r="A547" i="1" a="1"/>
  <c r="A547" i="1" s="1"/>
  <c r="AE546" i="1" a="1"/>
  <c r="AE546" i="1" s="1"/>
  <c r="U546" i="1" a="1"/>
  <c r="U546" i="1" s="1"/>
  <c r="AA546" i="1"/>
  <c r="K546" i="1" a="1"/>
  <c r="K546" i="1" s="1"/>
  <c r="T546" i="1"/>
  <c r="A546" i="1" a="1"/>
  <c r="A546" i="1" s="1"/>
  <c r="D546" i="1"/>
  <c r="E546" i="1"/>
  <c r="F546" i="1"/>
  <c r="H546" i="1"/>
  <c r="I546" i="1"/>
  <c r="J546" i="1"/>
  <c r="AE545" i="1" a="1"/>
  <c r="AE545" i="1" s="1"/>
  <c r="U545" i="1" a="1"/>
  <c r="U545" i="1" s="1"/>
  <c r="AC545" i="1"/>
  <c r="K545" i="1" a="1"/>
  <c r="K545" i="1" s="1"/>
  <c r="A545" i="1" a="1"/>
  <c r="A545" i="1" s="1"/>
  <c r="AE544" i="1" a="1"/>
  <c r="AE544" i="1" s="1"/>
  <c r="U544" i="1" a="1"/>
  <c r="U544" i="1" s="1"/>
  <c r="K544" i="1" a="1"/>
  <c r="K544" i="1" s="1"/>
  <c r="A544" i="1" a="1"/>
  <c r="A544" i="1" s="1"/>
  <c r="AE543" i="1" a="1"/>
  <c r="AE543" i="1" s="1"/>
  <c r="U543" i="1" a="1"/>
  <c r="U543" i="1" s="1"/>
  <c r="K543" i="1" a="1"/>
  <c r="K543" i="1" s="1"/>
  <c r="O543" i="1"/>
  <c r="R543" i="1"/>
  <c r="A543" i="1" a="1"/>
  <c r="A543" i="1" s="1"/>
  <c r="AE542" i="1" a="1"/>
  <c r="AE542" i="1" s="1"/>
  <c r="U542" i="1" a="1"/>
  <c r="U542" i="1" s="1"/>
  <c r="K542" i="1" a="1"/>
  <c r="K542" i="1" s="1"/>
  <c r="A542" i="1" a="1"/>
  <c r="A542" i="1" s="1"/>
  <c r="AE541" i="1" a="1"/>
  <c r="AE541" i="1" s="1"/>
  <c r="U541" i="1" a="1"/>
  <c r="U541" i="1" s="1"/>
  <c r="AB541" i="1"/>
  <c r="AC541" i="1"/>
  <c r="AD541" i="1"/>
  <c r="K541" i="1" a="1"/>
  <c r="K541" i="1" s="1"/>
  <c r="R541" i="1"/>
  <c r="S541" i="1"/>
  <c r="T541" i="1"/>
  <c r="A541" i="1" a="1"/>
  <c r="A541" i="1" s="1"/>
  <c r="G541" i="1"/>
  <c r="I541" i="1"/>
  <c r="AE540" i="1" a="1"/>
  <c r="AE540" i="1" s="1"/>
  <c r="U540" i="1" a="1"/>
  <c r="U540" i="1" s="1"/>
  <c r="AC540" i="1"/>
  <c r="K540" i="1" a="1"/>
  <c r="K540" i="1" s="1"/>
  <c r="Q540" i="1"/>
  <c r="R540" i="1"/>
  <c r="A540" i="1" a="1"/>
  <c r="A540" i="1" s="1"/>
  <c r="G540" i="1"/>
  <c r="J540" i="1"/>
  <c r="AE539" i="1" a="1"/>
  <c r="AE539" i="1" s="1"/>
  <c r="U539" i="1" a="1"/>
  <c r="U539" i="1" s="1"/>
  <c r="AA539" i="1"/>
  <c r="K539" i="1" a="1"/>
  <c r="K539" i="1" s="1"/>
  <c r="A539" i="1" a="1"/>
  <c r="A539" i="1" s="1"/>
  <c r="AE538" i="1" a="1"/>
  <c r="AE538" i="1" s="1"/>
  <c r="AH538" i="1"/>
  <c r="U538" i="1" a="1"/>
  <c r="U538" i="1" s="1"/>
  <c r="AA538" i="1"/>
  <c r="AC538" i="1"/>
  <c r="K538" i="1" a="1"/>
  <c r="K538" i="1" s="1"/>
  <c r="A538" i="1" a="1"/>
  <c r="A538" i="1" s="1"/>
  <c r="AE537" i="1" a="1"/>
  <c r="AE537" i="1" s="1"/>
  <c r="U537" i="1" a="1"/>
  <c r="U537" i="1" s="1"/>
  <c r="K537" i="1" a="1"/>
  <c r="K537" i="1" s="1"/>
  <c r="A537" i="1" a="1"/>
  <c r="A537" i="1" s="1"/>
  <c r="AE536" i="1" a="1"/>
  <c r="AE536" i="1" s="1"/>
  <c r="U536" i="1" a="1"/>
  <c r="U536" i="1" s="1"/>
  <c r="Y536" i="1"/>
  <c r="Z536" i="1"/>
  <c r="AA536" i="1"/>
  <c r="AC536" i="1"/>
  <c r="AD536" i="1"/>
  <c r="K536" i="1" a="1"/>
  <c r="K536" i="1" s="1"/>
  <c r="N536" i="1"/>
  <c r="O536" i="1"/>
  <c r="Q536" i="1"/>
  <c r="S536" i="1"/>
  <c r="A536" i="1" a="1"/>
  <c r="A536" i="1" s="1"/>
  <c r="AE535" i="1" a="1"/>
  <c r="AE535" i="1" s="1"/>
  <c r="U535" i="1" a="1"/>
  <c r="U535" i="1" s="1"/>
  <c r="Z535" i="1"/>
  <c r="AA535" i="1"/>
  <c r="AC535" i="1"/>
  <c r="K535" i="1" a="1"/>
  <c r="K535" i="1" s="1"/>
  <c r="R535" i="1"/>
  <c r="S535" i="1"/>
  <c r="A535" i="1" a="1"/>
  <c r="A535" i="1" s="1"/>
  <c r="AE534" i="1" a="1"/>
  <c r="AE534" i="1" s="1"/>
  <c r="U534" i="1" a="1"/>
  <c r="U534" i="1" s="1"/>
  <c r="K534" i="1" a="1"/>
  <c r="K534" i="1" s="1"/>
  <c r="A534" i="1" a="1"/>
  <c r="A534" i="1" s="1"/>
  <c r="AE533" i="1" a="1"/>
  <c r="AE533" i="1" s="1"/>
  <c r="U533" i="1" a="1"/>
  <c r="U533" i="1" s="1"/>
  <c r="W533" i="1"/>
  <c r="AA533" i="1"/>
  <c r="K533" i="1" a="1"/>
  <c r="K533" i="1" s="1"/>
  <c r="T533" i="1"/>
  <c r="A533" i="1" a="1"/>
  <c r="A533" i="1" s="1"/>
  <c r="I533" i="1"/>
  <c r="AE532" i="1" a="1"/>
  <c r="AE532" i="1" s="1"/>
  <c r="U532" i="1" a="1"/>
  <c r="U532" i="1" s="1"/>
  <c r="AA532" i="1"/>
  <c r="K532" i="1" a="1"/>
  <c r="K532" i="1" s="1"/>
  <c r="A532" i="1" a="1"/>
  <c r="A532" i="1" s="1"/>
  <c r="AE531" i="1" a="1"/>
  <c r="AE531" i="1" s="1"/>
  <c r="U531" i="1" a="1"/>
  <c r="U531" i="1" s="1"/>
  <c r="K531" i="1" a="1"/>
  <c r="K531" i="1" s="1"/>
  <c r="Q531" i="1"/>
  <c r="A531" i="1" a="1"/>
  <c r="A531" i="1" s="1"/>
  <c r="AE530" i="1" a="1"/>
  <c r="AE530" i="1" s="1"/>
  <c r="U530" i="1" a="1"/>
  <c r="U530" i="1" s="1"/>
  <c r="X530" i="1"/>
  <c r="Z530" i="1"/>
  <c r="AA530" i="1"/>
  <c r="AB530" i="1"/>
  <c r="K530" i="1" a="1"/>
  <c r="K530" i="1" s="1"/>
  <c r="Q530" i="1"/>
  <c r="A530" i="1" a="1"/>
  <c r="A530" i="1" s="1"/>
  <c r="AE529" i="1" a="1"/>
  <c r="AE529" i="1" s="1"/>
  <c r="U529" i="1" a="1"/>
  <c r="U529" i="1" s="1"/>
  <c r="AD529" i="1"/>
  <c r="K529" i="1" a="1"/>
  <c r="K529" i="1" s="1"/>
  <c r="A529" i="1" a="1"/>
  <c r="A529" i="1" s="1"/>
  <c r="D529" i="1"/>
  <c r="AE528" i="1" a="1"/>
  <c r="AE528" i="1" s="1"/>
  <c r="U528" i="1" a="1"/>
  <c r="U528" i="1" s="1"/>
  <c r="Z528" i="1"/>
  <c r="K528" i="1" a="1"/>
  <c r="K528" i="1" s="1"/>
  <c r="A528" i="1" a="1"/>
  <c r="A528" i="1" s="1"/>
  <c r="J528" i="1"/>
  <c r="AE527" i="1" a="1"/>
  <c r="AE527" i="1" s="1"/>
  <c r="U527" i="1" a="1"/>
  <c r="U527" i="1" s="1"/>
  <c r="K527" i="1" a="1"/>
  <c r="K527" i="1" s="1"/>
  <c r="A527" i="1" a="1"/>
  <c r="A527" i="1" s="1"/>
  <c r="AE526" i="1" a="1"/>
  <c r="AE526" i="1" s="1"/>
  <c r="U526" i="1" a="1"/>
  <c r="U526" i="1" s="1"/>
  <c r="K526" i="1" a="1"/>
  <c r="K526" i="1" s="1"/>
  <c r="A526" i="1" a="1"/>
  <c r="A526" i="1" s="1"/>
  <c r="I526" i="1"/>
  <c r="AE525" i="1" a="1"/>
  <c r="AE525" i="1" s="1"/>
  <c r="U525" i="1" a="1"/>
  <c r="U525" i="1" s="1"/>
  <c r="AA525" i="1"/>
  <c r="AD525" i="1"/>
  <c r="K525" i="1" a="1"/>
  <c r="K525" i="1" s="1"/>
  <c r="R525" i="1"/>
  <c r="A525" i="1" a="1"/>
  <c r="A525" i="1" s="1"/>
  <c r="J525" i="1"/>
  <c r="AE524" i="1" a="1"/>
  <c r="AE524" i="1" s="1"/>
  <c r="U524" i="1" a="1"/>
  <c r="U524" i="1" s="1"/>
  <c r="K524" i="1" a="1"/>
  <c r="K524" i="1" s="1"/>
  <c r="A524" i="1" a="1"/>
  <c r="A524" i="1" s="1"/>
  <c r="AE523" i="1" a="1"/>
  <c r="AE523" i="1" s="1"/>
  <c r="U523" i="1" a="1"/>
  <c r="U523" i="1" s="1"/>
  <c r="K523" i="1" a="1"/>
  <c r="K523" i="1" s="1"/>
  <c r="A523" i="1" a="1"/>
  <c r="A523" i="1" s="1"/>
  <c r="J523" i="1"/>
  <c r="AE522" i="1" a="1"/>
  <c r="AE522" i="1" s="1"/>
  <c r="U522" i="1" a="1"/>
  <c r="U522" i="1" s="1"/>
  <c r="K522" i="1" a="1"/>
  <c r="K522" i="1" s="1"/>
  <c r="A522" i="1" a="1"/>
  <c r="A522" i="1" s="1"/>
  <c r="AE521" i="1" a="1"/>
  <c r="AE521" i="1" s="1"/>
  <c r="U521" i="1" a="1"/>
  <c r="U521" i="1" s="1"/>
  <c r="AB521" i="1"/>
  <c r="K521" i="1" a="1"/>
  <c r="K521" i="1" s="1"/>
  <c r="A521" i="1" a="1"/>
  <c r="A521" i="1" s="1"/>
  <c r="AE520" i="1" a="1"/>
  <c r="AE520" i="1" s="1"/>
  <c r="U520" i="1" a="1"/>
  <c r="U520" i="1" s="1"/>
  <c r="K520" i="1" a="1"/>
  <c r="K520" i="1" s="1"/>
  <c r="T520" i="1"/>
  <c r="A520" i="1" a="1"/>
  <c r="A520" i="1" s="1"/>
  <c r="AE519" i="1" a="1"/>
  <c r="AE519" i="1" s="1"/>
  <c r="U519" i="1" a="1"/>
  <c r="U519" i="1" s="1"/>
  <c r="AC519" i="1"/>
  <c r="K519" i="1" a="1"/>
  <c r="K519" i="1" s="1"/>
  <c r="P519" i="1"/>
  <c r="A519" i="1" a="1"/>
  <c r="A519" i="1" s="1"/>
  <c r="AE518" i="1" a="1"/>
  <c r="AE518" i="1" s="1"/>
  <c r="U518" i="1" a="1"/>
  <c r="U518" i="1" s="1"/>
  <c r="K518" i="1" a="1"/>
  <c r="K518" i="1" s="1"/>
  <c r="A518" i="1" a="1"/>
  <c r="A518" i="1" s="1"/>
  <c r="E518" i="1"/>
  <c r="F518" i="1"/>
  <c r="G518" i="1"/>
  <c r="AE517" i="1" a="1"/>
  <c r="AE517" i="1" s="1"/>
  <c r="U517" i="1" a="1"/>
  <c r="U517" i="1" s="1"/>
  <c r="K517" i="1" a="1"/>
  <c r="K517" i="1" s="1"/>
  <c r="A517" i="1" a="1"/>
  <c r="A517" i="1" s="1"/>
  <c r="AE516" i="1" a="1"/>
  <c r="AE516" i="1" s="1"/>
  <c r="U516" i="1" a="1"/>
  <c r="U516" i="1" s="1"/>
  <c r="K516" i="1" a="1"/>
  <c r="K516" i="1" s="1"/>
  <c r="P516" i="1"/>
  <c r="Q516" i="1"/>
  <c r="A516" i="1" a="1"/>
  <c r="A516" i="1" s="1"/>
  <c r="AE515" i="1" a="1"/>
  <c r="AE515" i="1" s="1"/>
  <c r="U515" i="1" a="1"/>
  <c r="U515" i="1" s="1"/>
  <c r="K515" i="1" a="1"/>
  <c r="K515" i="1" s="1"/>
  <c r="A515" i="1" a="1"/>
  <c r="A515" i="1" s="1"/>
  <c r="AE514" i="1" a="1"/>
  <c r="AE514" i="1" s="1"/>
  <c r="U514" i="1" a="1"/>
  <c r="U514" i="1" s="1"/>
  <c r="K514" i="1" a="1"/>
  <c r="K514" i="1" s="1"/>
  <c r="A514" i="1" a="1"/>
  <c r="A514" i="1" s="1"/>
  <c r="AE513" i="1" a="1"/>
  <c r="AE513" i="1" s="1"/>
  <c r="U513" i="1" a="1"/>
  <c r="U513" i="1" s="1"/>
  <c r="AB513" i="1"/>
  <c r="AC513" i="1"/>
  <c r="K513" i="1" a="1"/>
  <c r="K513" i="1" s="1"/>
  <c r="A513" i="1" a="1"/>
  <c r="A513" i="1" s="1"/>
  <c r="AE512" i="1" a="1"/>
  <c r="AE512" i="1" s="1"/>
  <c r="U512" i="1" a="1"/>
  <c r="U512" i="1" s="1"/>
  <c r="K512" i="1" a="1"/>
  <c r="K512" i="1" s="1"/>
  <c r="A512" i="1" a="1"/>
  <c r="A512" i="1" s="1"/>
  <c r="AE511" i="1" a="1"/>
  <c r="AE511" i="1" s="1"/>
  <c r="U511" i="1" a="1"/>
  <c r="U511" i="1" s="1"/>
  <c r="K511" i="1" a="1"/>
  <c r="K511" i="1" s="1"/>
  <c r="A511" i="1" a="1"/>
  <c r="A511" i="1" s="1"/>
  <c r="AE510" i="1" a="1"/>
  <c r="AE510" i="1" s="1"/>
  <c r="U510" i="1" a="1"/>
  <c r="U510" i="1" s="1"/>
  <c r="K510" i="1" a="1"/>
  <c r="K510" i="1" s="1"/>
  <c r="P510" i="1"/>
  <c r="A510" i="1" a="1"/>
  <c r="A510" i="1" s="1"/>
  <c r="AE509" i="1" a="1"/>
  <c r="AE509" i="1" s="1"/>
  <c r="U509" i="1" a="1"/>
  <c r="U509" i="1" s="1"/>
  <c r="K509" i="1" a="1"/>
  <c r="K509" i="1" s="1"/>
  <c r="O509" i="1"/>
  <c r="P509" i="1"/>
  <c r="R509" i="1"/>
  <c r="A509" i="1" a="1"/>
  <c r="A509" i="1" s="1"/>
  <c r="AE508" i="1" a="1"/>
  <c r="AE508" i="1" s="1"/>
  <c r="U508" i="1" a="1"/>
  <c r="U508" i="1" s="1"/>
  <c r="K508" i="1" a="1"/>
  <c r="K508" i="1" s="1"/>
  <c r="A508" i="1" a="1"/>
  <c r="A508" i="1" s="1"/>
  <c r="AE507" i="1" a="1"/>
  <c r="AE507" i="1" s="1"/>
  <c r="U507" i="1" a="1"/>
  <c r="U507" i="1" s="1"/>
  <c r="K507" i="1" a="1"/>
  <c r="K507" i="1" s="1"/>
  <c r="T507" i="1"/>
  <c r="A507" i="1" a="1"/>
  <c r="A507" i="1" s="1"/>
  <c r="H507" i="1"/>
  <c r="I507" i="1"/>
  <c r="AE506" i="1" a="1"/>
  <c r="AE506" i="1" s="1"/>
  <c r="U506" i="1" a="1"/>
  <c r="U506" i="1" s="1"/>
  <c r="K506" i="1" a="1"/>
  <c r="K506" i="1" s="1"/>
  <c r="Q506" i="1"/>
  <c r="R506" i="1"/>
  <c r="A506" i="1" a="1"/>
  <c r="A506" i="1" s="1"/>
  <c r="AE505" i="1" a="1"/>
  <c r="AE505" i="1" s="1"/>
  <c r="U505" i="1" a="1"/>
  <c r="U505" i="1" s="1"/>
  <c r="K505" i="1" a="1"/>
  <c r="K505" i="1" s="1"/>
  <c r="A505" i="1" a="1"/>
  <c r="A505" i="1" s="1"/>
  <c r="J505" i="1"/>
  <c r="AE504" i="1" a="1"/>
  <c r="AE504" i="1" s="1"/>
  <c r="U504" i="1" a="1"/>
  <c r="U504" i="1" s="1"/>
  <c r="AD504" i="1"/>
  <c r="K504" i="1" a="1"/>
  <c r="K504" i="1" s="1"/>
  <c r="Q504" i="1"/>
  <c r="R504" i="1"/>
  <c r="A504" i="1" a="1"/>
  <c r="A504" i="1" s="1"/>
  <c r="G504" i="1"/>
  <c r="AE503" i="1" a="1"/>
  <c r="AE503" i="1" s="1"/>
  <c r="U503" i="1" a="1"/>
  <c r="U503" i="1" s="1"/>
  <c r="AA503" i="1"/>
  <c r="K503" i="1" a="1"/>
  <c r="K503" i="1" s="1"/>
  <c r="T503" i="1"/>
  <c r="A503" i="1" a="1"/>
  <c r="A503" i="1" s="1"/>
  <c r="E503" i="1"/>
  <c r="F503" i="1"/>
  <c r="AE502" i="1" a="1"/>
  <c r="AE502" i="1" s="1"/>
  <c r="U502" i="1" a="1"/>
  <c r="U502" i="1" s="1"/>
  <c r="X502" i="1"/>
  <c r="Y502" i="1"/>
  <c r="AB502" i="1"/>
  <c r="K502" i="1" a="1"/>
  <c r="K502" i="1" s="1"/>
  <c r="Q502" i="1"/>
  <c r="R502" i="1"/>
  <c r="A502" i="1" a="1"/>
  <c r="A502" i="1" s="1"/>
  <c r="D502" i="1"/>
  <c r="E502" i="1"/>
  <c r="F502" i="1"/>
  <c r="G502" i="1"/>
  <c r="AE501" i="1" a="1"/>
  <c r="AE501" i="1" s="1"/>
  <c r="U501" i="1" a="1"/>
  <c r="U501" i="1" s="1"/>
  <c r="K501" i="1" a="1"/>
  <c r="K501" i="1" s="1"/>
  <c r="A501" i="1" a="1"/>
  <c r="A501" i="1" s="1"/>
  <c r="AE500" i="1" a="1"/>
  <c r="AE500" i="1" s="1"/>
  <c r="U500" i="1" a="1"/>
  <c r="U500" i="1" s="1"/>
  <c r="K500" i="1" a="1"/>
  <c r="K500" i="1" s="1"/>
  <c r="P500" i="1"/>
  <c r="Q500" i="1"/>
  <c r="A500" i="1" a="1"/>
  <c r="A500" i="1" s="1"/>
  <c r="AE499" i="1" a="1"/>
  <c r="AE499" i="1" s="1"/>
  <c r="U499" i="1" a="1"/>
  <c r="U499" i="1" s="1"/>
  <c r="K499" i="1" a="1"/>
  <c r="K499" i="1" s="1"/>
  <c r="S499" i="1"/>
  <c r="A499" i="1" a="1"/>
  <c r="A499" i="1" s="1"/>
  <c r="AE498" i="1" a="1"/>
  <c r="AE498" i="1" s="1"/>
  <c r="U498" i="1" a="1"/>
  <c r="U498" i="1" s="1"/>
  <c r="K498" i="1" a="1"/>
  <c r="K498" i="1" s="1"/>
  <c r="A498" i="1" a="1"/>
  <c r="A498" i="1" s="1"/>
  <c r="AE497" i="1" a="1"/>
  <c r="AE497" i="1" s="1"/>
  <c r="U497" i="1" a="1"/>
  <c r="U497" i="1" s="1"/>
  <c r="K497" i="1" a="1"/>
  <c r="K497" i="1" s="1"/>
  <c r="A497" i="1" a="1"/>
  <c r="A497" i="1" s="1"/>
  <c r="AE496" i="1" a="1"/>
  <c r="AE496" i="1" s="1"/>
  <c r="U496" i="1" a="1"/>
  <c r="U496" i="1" s="1"/>
  <c r="K496" i="1" a="1"/>
  <c r="K496" i="1" s="1"/>
  <c r="A496" i="1" a="1"/>
  <c r="A496" i="1" s="1"/>
  <c r="AE495" i="1" a="1"/>
  <c r="AE495" i="1" s="1"/>
  <c r="U495" i="1" a="1"/>
  <c r="U495" i="1" s="1"/>
  <c r="K495" i="1" a="1"/>
  <c r="K495" i="1" s="1"/>
  <c r="A495" i="1" a="1"/>
  <c r="A495" i="1" s="1"/>
  <c r="J495" i="1"/>
  <c r="AE494" i="1" a="1"/>
  <c r="AE494" i="1" s="1"/>
  <c r="U494" i="1" a="1"/>
  <c r="U494" i="1" s="1"/>
  <c r="K494" i="1" a="1"/>
  <c r="K494" i="1" s="1"/>
  <c r="R494" i="1"/>
  <c r="S494" i="1"/>
  <c r="A494" i="1" a="1"/>
  <c r="A494" i="1" s="1"/>
  <c r="AE493" i="1" a="1"/>
  <c r="AE493" i="1" s="1"/>
  <c r="U493" i="1" a="1"/>
  <c r="U493" i="1" s="1"/>
  <c r="Z493" i="1"/>
  <c r="K493" i="1" a="1"/>
  <c r="K493" i="1" s="1"/>
  <c r="A493" i="1" a="1"/>
  <c r="A493" i="1" s="1"/>
  <c r="J493" i="1"/>
  <c r="AE492" i="1" a="1"/>
  <c r="AE492" i="1" s="1"/>
  <c r="U492" i="1" a="1"/>
  <c r="U492" i="1" s="1"/>
  <c r="K492" i="1" a="1"/>
  <c r="K492" i="1" s="1"/>
  <c r="A492" i="1" a="1"/>
  <c r="A492" i="1" s="1"/>
  <c r="AE491" i="1" a="1"/>
  <c r="AE491" i="1" s="1"/>
  <c r="U491" i="1" a="1"/>
  <c r="U491" i="1" s="1"/>
  <c r="K491" i="1" a="1"/>
  <c r="K491" i="1" s="1"/>
  <c r="A491" i="1" a="1"/>
  <c r="A491" i="1" s="1"/>
  <c r="J491" i="1"/>
  <c r="AE490" i="1" a="1"/>
  <c r="AE490" i="1" s="1"/>
  <c r="U490" i="1" a="1"/>
  <c r="U490" i="1" s="1"/>
  <c r="K490" i="1" a="1"/>
  <c r="K490" i="1" s="1"/>
  <c r="A490" i="1" a="1"/>
  <c r="A490" i="1" s="1"/>
  <c r="AE489" i="1" a="1"/>
  <c r="AE489" i="1" s="1"/>
  <c r="U489" i="1" a="1"/>
  <c r="U489" i="1" s="1"/>
  <c r="AC489" i="1"/>
  <c r="AD489" i="1"/>
  <c r="K489" i="1" a="1"/>
  <c r="K489" i="1" s="1"/>
  <c r="A489" i="1" a="1"/>
  <c r="A489" i="1" s="1"/>
  <c r="E489" i="1"/>
  <c r="F489" i="1"/>
  <c r="I489" i="1"/>
  <c r="J489" i="1"/>
  <c r="AE488" i="1" a="1"/>
  <c r="AE488" i="1" s="1"/>
  <c r="U488" i="1" a="1"/>
  <c r="U488" i="1" s="1"/>
  <c r="AC488" i="1"/>
  <c r="K488" i="1" a="1"/>
  <c r="K488" i="1" s="1"/>
  <c r="A488" i="1" a="1"/>
  <c r="A488" i="1" s="1"/>
  <c r="AE487" i="1" a="1"/>
  <c r="AE487" i="1" s="1"/>
  <c r="U487" i="1" a="1"/>
  <c r="U487" i="1" s="1"/>
  <c r="K487" i="1" a="1"/>
  <c r="K487" i="1" s="1"/>
  <c r="S487" i="1"/>
  <c r="A487" i="1" a="1"/>
  <c r="A487" i="1" s="1"/>
  <c r="F487" i="1"/>
  <c r="AE486" i="1" a="1"/>
  <c r="AE486" i="1" s="1"/>
  <c r="U486" i="1" a="1"/>
  <c r="U486" i="1" s="1"/>
  <c r="K486" i="1" a="1"/>
  <c r="K486" i="1" s="1"/>
  <c r="P486" i="1"/>
  <c r="A486" i="1" a="1"/>
  <c r="A486" i="1" s="1"/>
  <c r="AE485" i="1" a="1"/>
  <c r="AE485" i="1" s="1"/>
  <c r="U485" i="1" a="1"/>
  <c r="U485" i="1" s="1"/>
  <c r="K485" i="1" a="1"/>
  <c r="K485" i="1" s="1"/>
  <c r="A485" i="1" a="1"/>
  <c r="A485" i="1" s="1"/>
  <c r="AE484" i="1" a="1"/>
  <c r="AE484" i="1" s="1"/>
  <c r="U484" i="1" a="1"/>
  <c r="U484" i="1" s="1"/>
  <c r="K484" i="1" a="1"/>
  <c r="K484" i="1" s="1"/>
  <c r="T484" i="1"/>
  <c r="A484" i="1" a="1"/>
  <c r="A484" i="1" s="1"/>
  <c r="AE483" i="1" a="1"/>
  <c r="AE483" i="1" s="1"/>
  <c r="U483" i="1" a="1"/>
  <c r="U483" i="1" s="1"/>
  <c r="K483" i="1" a="1"/>
  <c r="K483" i="1" s="1"/>
  <c r="A483" i="1" a="1"/>
  <c r="A483" i="1" s="1"/>
  <c r="AE482" i="1" a="1"/>
  <c r="AE482" i="1" s="1"/>
  <c r="U482" i="1" a="1"/>
  <c r="U482" i="1" s="1"/>
  <c r="K482" i="1" a="1"/>
  <c r="K482" i="1" s="1"/>
  <c r="A482" i="1" a="1"/>
  <c r="A482" i="1" s="1"/>
  <c r="AE481" i="1" a="1"/>
  <c r="AE481" i="1" s="1"/>
  <c r="U481" i="1" a="1"/>
  <c r="U481" i="1" s="1"/>
  <c r="AD481" i="1"/>
  <c r="K481" i="1" a="1"/>
  <c r="K481" i="1" s="1"/>
  <c r="A481" i="1" a="1"/>
  <c r="A481" i="1" s="1"/>
  <c r="J481" i="1"/>
  <c r="AE480" i="1" a="1"/>
  <c r="AE480" i="1" s="1"/>
  <c r="U480" i="1" a="1"/>
  <c r="U480" i="1" s="1"/>
  <c r="K480" i="1" a="1"/>
  <c r="K480" i="1" s="1"/>
  <c r="P480" i="1"/>
  <c r="A480" i="1" a="1"/>
  <c r="A480" i="1" s="1"/>
  <c r="I480" i="1"/>
  <c r="AE479" i="1" a="1"/>
  <c r="AE479" i="1" s="1"/>
  <c r="U479" i="1" a="1"/>
  <c r="U479" i="1" s="1"/>
  <c r="Z479" i="1"/>
  <c r="AA479" i="1"/>
  <c r="AB479" i="1"/>
  <c r="AC479" i="1"/>
  <c r="K479" i="1" a="1"/>
  <c r="K479" i="1" s="1"/>
  <c r="A479" i="1" a="1"/>
  <c r="A479" i="1" s="1"/>
  <c r="AE478" i="1" a="1"/>
  <c r="AE478" i="1" s="1"/>
  <c r="U478" i="1" a="1"/>
  <c r="U478" i="1" s="1"/>
  <c r="K478" i="1" a="1"/>
  <c r="K478" i="1" s="1"/>
  <c r="A478" i="1" a="1"/>
  <c r="A478" i="1" s="1"/>
  <c r="AE477" i="1" a="1"/>
  <c r="AE477" i="1" s="1"/>
  <c r="U477" i="1" a="1"/>
  <c r="U477" i="1" s="1"/>
  <c r="K477" i="1" a="1"/>
  <c r="K477" i="1" s="1"/>
  <c r="R477" i="1"/>
  <c r="A477" i="1" a="1"/>
  <c r="A477" i="1" s="1"/>
  <c r="AE476" i="1" a="1"/>
  <c r="AE476" i="1" s="1"/>
  <c r="U476" i="1" a="1"/>
  <c r="U476" i="1" s="1"/>
  <c r="K476" i="1" a="1"/>
  <c r="K476" i="1" s="1"/>
  <c r="A476" i="1" a="1"/>
  <c r="A476" i="1" s="1"/>
  <c r="E476" i="1"/>
  <c r="AE475" i="1" a="1"/>
  <c r="AE475" i="1" s="1"/>
  <c r="U475" i="1" a="1"/>
  <c r="U475" i="1" s="1"/>
  <c r="AA475" i="1"/>
  <c r="K475" i="1" a="1"/>
  <c r="K475" i="1" s="1"/>
  <c r="A475" i="1" a="1"/>
  <c r="A475" i="1" s="1"/>
  <c r="AE474" i="1" a="1"/>
  <c r="AE474" i="1" s="1"/>
  <c r="U474" i="1" a="1"/>
  <c r="U474" i="1" s="1"/>
  <c r="K474" i="1" a="1"/>
  <c r="K474" i="1" s="1"/>
  <c r="A474" i="1" a="1"/>
  <c r="A474" i="1" s="1"/>
  <c r="J474" i="1"/>
  <c r="AE473" i="1" a="1"/>
  <c r="AE473" i="1" s="1"/>
  <c r="U473" i="1" a="1"/>
  <c r="U473" i="1" s="1"/>
  <c r="K473" i="1" a="1"/>
  <c r="K473" i="1" s="1"/>
  <c r="T473" i="1"/>
  <c r="A473" i="1" a="1"/>
  <c r="A473" i="1" s="1"/>
  <c r="AE472" i="1" a="1"/>
  <c r="AE472" i="1" s="1"/>
  <c r="U472" i="1" a="1"/>
  <c r="U472" i="1" s="1"/>
  <c r="K472" i="1" a="1"/>
  <c r="K472" i="1" s="1"/>
  <c r="A472" i="1" a="1"/>
  <c r="A472" i="1" s="1"/>
  <c r="AE471" i="1" a="1"/>
  <c r="AE471" i="1" s="1"/>
  <c r="U471" i="1" a="1"/>
  <c r="U471" i="1" s="1"/>
  <c r="K471" i="1" a="1"/>
  <c r="K471" i="1" s="1"/>
  <c r="A471" i="1" a="1"/>
  <c r="A471" i="1" s="1"/>
  <c r="AE470" i="1" a="1"/>
  <c r="AE470" i="1" s="1"/>
  <c r="U470" i="1" a="1"/>
  <c r="U470" i="1" s="1"/>
  <c r="K470" i="1" a="1"/>
  <c r="K470" i="1" s="1"/>
  <c r="T470" i="1"/>
  <c r="A470" i="1" a="1"/>
  <c r="A470" i="1" s="1"/>
  <c r="I470" i="1"/>
  <c r="AE469" i="1" a="1"/>
  <c r="AE469" i="1" s="1"/>
  <c r="U469" i="1" a="1"/>
  <c r="U469" i="1" s="1"/>
  <c r="K469" i="1" a="1"/>
  <c r="K469" i="1" s="1"/>
  <c r="S469" i="1"/>
  <c r="A469" i="1" a="1"/>
  <c r="A469" i="1" s="1"/>
  <c r="AE468" i="1" a="1"/>
  <c r="AE468" i="1" s="1"/>
  <c r="U468" i="1" a="1"/>
  <c r="U468" i="1" s="1"/>
  <c r="AB468" i="1"/>
  <c r="AD468" i="1"/>
  <c r="K468" i="1" a="1"/>
  <c r="K468" i="1" s="1"/>
  <c r="A468" i="1" a="1"/>
  <c r="A468" i="1" s="1"/>
  <c r="AE467" i="1" a="1"/>
  <c r="AE467" i="1" s="1"/>
  <c r="U467" i="1" a="1"/>
  <c r="U467" i="1" s="1"/>
  <c r="K467" i="1" a="1"/>
  <c r="K467" i="1" s="1"/>
  <c r="A467" i="1" a="1"/>
  <c r="A467" i="1" s="1"/>
  <c r="AE466" i="1" a="1"/>
  <c r="AE466" i="1" s="1"/>
  <c r="U466" i="1" a="1"/>
  <c r="U466" i="1" s="1"/>
  <c r="Y466" i="1"/>
  <c r="AD466" i="1"/>
  <c r="K466" i="1" a="1"/>
  <c r="K466" i="1" s="1"/>
  <c r="Q466" i="1"/>
  <c r="R466" i="1"/>
  <c r="A466" i="1" a="1"/>
  <c r="A466" i="1" s="1"/>
  <c r="AE465" i="1" a="1"/>
  <c r="AE465" i="1" s="1"/>
  <c r="U465" i="1" a="1"/>
  <c r="U465" i="1" s="1"/>
  <c r="K465" i="1" a="1"/>
  <c r="K465" i="1" s="1"/>
  <c r="R465" i="1"/>
  <c r="S465" i="1"/>
  <c r="A465" i="1" a="1"/>
  <c r="A465" i="1" s="1"/>
  <c r="AE464" i="1" a="1"/>
  <c r="AE464" i="1" s="1"/>
  <c r="U464" i="1" a="1"/>
  <c r="U464" i="1" s="1"/>
  <c r="K464" i="1" a="1"/>
  <c r="K464" i="1" s="1"/>
  <c r="A464" i="1" a="1"/>
  <c r="A464" i="1" s="1"/>
  <c r="G464" i="1"/>
  <c r="AE463" i="1" a="1"/>
  <c r="AE463" i="1" s="1"/>
  <c r="U463" i="1" a="1"/>
  <c r="U463" i="1" s="1"/>
  <c r="K463" i="1" a="1"/>
  <c r="K463" i="1" s="1"/>
  <c r="A463" i="1" a="1"/>
  <c r="A463" i="1" s="1"/>
  <c r="AE462" i="1" a="1"/>
  <c r="AE462" i="1" s="1"/>
  <c r="U462" i="1" a="1"/>
  <c r="U462" i="1" s="1"/>
  <c r="K462" i="1" a="1"/>
  <c r="K462" i="1" s="1"/>
  <c r="A462" i="1" a="1"/>
  <c r="A462" i="1" s="1"/>
  <c r="AE461" i="1" a="1"/>
  <c r="AE461" i="1" s="1"/>
  <c r="U461" i="1" a="1"/>
  <c r="U461" i="1" s="1"/>
  <c r="K461" i="1" a="1"/>
  <c r="K461" i="1" s="1"/>
  <c r="A461" i="1" a="1"/>
  <c r="A461" i="1" s="1"/>
  <c r="AE460" i="1" a="1"/>
  <c r="AE460" i="1" s="1"/>
  <c r="U460" i="1" a="1"/>
  <c r="U460" i="1" s="1"/>
  <c r="Y460" i="1"/>
  <c r="AD460" i="1"/>
  <c r="K460" i="1" a="1"/>
  <c r="K460" i="1" s="1"/>
  <c r="A460" i="1" a="1"/>
  <c r="A460" i="1" s="1"/>
  <c r="H460" i="1"/>
  <c r="AE459" i="1" a="1"/>
  <c r="AE459" i="1" s="1"/>
  <c r="U459" i="1" a="1"/>
  <c r="U459" i="1" s="1"/>
  <c r="K459" i="1" a="1"/>
  <c r="K459" i="1" s="1"/>
  <c r="A459" i="1" a="1"/>
  <c r="A459" i="1" s="1"/>
  <c r="D459" i="1"/>
  <c r="E459" i="1"/>
  <c r="H459" i="1"/>
  <c r="I459" i="1"/>
  <c r="J459" i="1"/>
  <c r="AE458" i="1" a="1"/>
  <c r="AE458" i="1" s="1"/>
  <c r="U458" i="1" a="1"/>
  <c r="U458" i="1" s="1"/>
  <c r="Y458" i="1"/>
  <c r="Z458" i="1"/>
  <c r="K458" i="1" a="1"/>
  <c r="K458" i="1" s="1"/>
  <c r="Q458" i="1"/>
  <c r="R458" i="1"/>
  <c r="A458" i="1" a="1"/>
  <c r="A458" i="1" s="1"/>
  <c r="H458" i="1"/>
  <c r="AE457" i="1" a="1"/>
  <c r="AE457" i="1" s="1"/>
  <c r="AH457" i="1"/>
  <c r="U457" i="1" a="1"/>
  <c r="U457" i="1" s="1"/>
  <c r="Y457" i="1"/>
  <c r="K457" i="1" a="1"/>
  <c r="K457" i="1" s="1"/>
  <c r="A457" i="1" a="1"/>
  <c r="A457" i="1" s="1"/>
  <c r="AE456" i="1" a="1"/>
  <c r="AE456" i="1" s="1"/>
  <c r="U456" i="1" a="1"/>
  <c r="U456" i="1" s="1"/>
  <c r="K456" i="1" a="1"/>
  <c r="K456" i="1" s="1"/>
  <c r="A456" i="1" a="1"/>
  <c r="A456" i="1" s="1"/>
  <c r="AE455" i="1" a="1"/>
  <c r="AE455" i="1" s="1"/>
  <c r="U455" i="1" a="1"/>
  <c r="U455" i="1" s="1"/>
  <c r="K455" i="1" a="1"/>
  <c r="K455" i="1" s="1"/>
  <c r="A455" i="1" a="1"/>
  <c r="A455" i="1" s="1"/>
  <c r="J455" i="1"/>
  <c r="AE454" i="1" a="1"/>
  <c r="AE454" i="1" s="1"/>
  <c r="U454" i="1" a="1"/>
  <c r="U454" i="1" s="1"/>
  <c r="K454" i="1" a="1"/>
  <c r="K454" i="1" s="1"/>
  <c r="A454" i="1" a="1"/>
  <c r="A454" i="1" s="1"/>
  <c r="AE453" i="1" a="1"/>
  <c r="AE453" i="1" s="1"/>
  <c r="U453" i="1" a="1"/>
  <c r="U453" i="1" s="1"/>
  <c r="K453" i="1" a="1"/>
  <c r="K453" i="1" s="1"/>
  <c r="A453" i="1" a="1"/>
  <c r="A453" i="1" s="1"/>
  <c r="AE452" i="1" a="1"/>
  <c r="AE452" i="1" s="1"/>
  <c r="U452" i="1" a="1"/>
  <c r="U452" i="1" s="1"/>
  <c r="AB452" i="1"/>
  <c r="AD452" i="1"/>
  <c r="K452" i="1" a="1"/>
  <c r="K452" i="1" s="1"/>
  <c r="P452" i="1"/>
  <c r="Q452" i="1"/>
  <c r="R452" i="1"/>
  <c r="S452" i="1"/>
  <c r="A452" i="1" a="1"/>
  <c r="A452" i="1" s="1"/>
  <c r="I452" i="1"/>
  <c r="AE451" i="1" a="1"/>
  <c r="AE451" i="1" s="1"/>
  <c r="U451" i="1" a="1"/>
  <c r="U451" i="1" s="1"/>
  <c r="K451" i="1" a="1"/>
  <c r="K451" i="1" s="1"/>
  <c r="A451" i="1" a="1"/>
  <c r="A451" i="1" s="1"/>
  <c r="H451" i="1"/>
  <c r="J451" i="1"/>
  <c r="AE450" i="1" a="1"/>
  <c r="AE450" i="1" s="1"/>
  <c r="U450" i="1" a="1"/>
  <c r="U450" i="1" s="1"/>
  <c r="K450" i="1" a="1"/>
  <c r="K450" i="1" s="1"/>
  <c r="A450" i="1" a="1"/>
  <c r="A450" i="1" s="1"/>
  <c r="AE449" i="1" a="1"/>
  <c r="AE449" i="1" s="1"/>
  <c r="U449" i="1" a="1"/>
  <c r="U449" i="1" s="1"/>
  <c r="K449" i="1" a="1"/>
  <c r="K449" i="1" s="1"/>
  <c r="P449" i="1"/>
  <c r="A449" i="1" a="1"/>
  <c r="A449" i="1" s="1"/>
  <c r="AE448" i="1" a="1"/>
  <c r="AE448" i="1" s="1"/>
  <c r="U448" i="1" a="1"/>
  <c r="U448" i="1" s="1"/>
  <c r="K448" i="1" a="1"/>
  <c r="K448" i="1" s="1"/>
  <c r="A448" i="1" a="1"/>
  <c r="A448" i="1" s="1"/>
  <c r="AE447" i="1" a="1"/>
  <c r="AE447" i="1" s="1"/>
  <c r="U447" i="1" a="1"/>
  <c r="U447" i="1" s="1"/>
  <c r="K447" i="1" a="1"/>
  <c r="K447" i="1" s="1"/>
  <c r="A447" i="1" a="1"/>
  <c r="A447" i="1" s="1"/>
  <c r="AE446" i="1" a="1"/>
  <c r="AE446" i="1" s="1"/>
  <c r="U446" i="1" a="1"/>
  <c r="U446" i="1" s="1"/>
  <c r="AC446" i="1"/>
  <c r="K446" i="1" a="1"/>
  <c r="K446" i="1" s="1"/>
  <c r="P446" i="1"/>
  <c r="Q446" i="1"/>
  <c r="A446" i="1" a="1"/>
  <c r="A446" i="1" s="1"/>
  <c r="J446" i="1"/>
  <c r="AE445" i="1" a="1"/>
  <c r="AE445" i="1" s="1"/>
  <c r="U445" i="1" a="1"/>
  <c r="U445" i="1" s="1"/>
  <c r="K445" i="1" a="1"/>
  <c r="K445" i="1" s="1"/>
  <c r="P445" i="1"/>
  <c r="A445" i="1" a="1"/>
  <c r="A445" i="1" s="1"/>
  <c r="AE444" i="1" a="1"/>
  <c r="AE444" i="1" s="1"/>
  <c r="U444" i="1" a="1"/>
  <c r="U444" i="1" s="1"/>
  <c r="K444" i="1" a="1"/>
  <c r="K444" i="1" s="1"/>
  <c r="R444" i="1"/>
  <c r="S444" i="1"/>
  <c r="A444" i="1" a="1"/>
  <c r="A444" i="1" s="1"/>
  <c r="E444" i="1"/>
  <c r="AE443" i="1" a="1"/>
  <c r="AE443" i="1" s="1"/>
  <c r="U443" i="1" a="1"/>
  <c r="U443" i="1" s="1"/>
  <c r="K443" i="1" a="1"/>
  <c r="K443" i="1" s="1"/>
  <c r="A443" i="1" a="1"/>
  <c r="A443" i="1" s="1"/>
  <c r="AE442" i="1" a="1"/>
  <c r="AE442" i="1" s="1"/>
  <c r="U442" i="1" a="1"/>
  <c r="U442" i="1" s="1"/>
  <c r="Z442" i="1"/>
  <c r="AB442" i="1"/>
  <c r="AD442" i="1"/>
  <c r="K442" i="1" a="1"/>
  <c r="K442" i="1" s="1"/>
  <c r="A442" i="1" a="1"/>
  <c r="A442" i="1" s="1"/>
  <c r="AE441" i="1" a="1"/>
  <c r="AE441" i="1" s="1"/>
  <c r="U441" i="1" a="1"/>
  <c r="U441" i="1" s="1"/>
  <c r="K441" i="1" a="1"/>
  <c r="K441" i="1" s="1"/>
  <c r="P441" i="1"/>
  <c r="Q441" i="1"/>
  <c r="R441" i="1"/>
  <c r="A441" i="1" a="1"/>
  <c r="A441" i="1" s="1"/>
  <c r="E441" i="1"/>
  <c r="AE440" i="1" a="1"/>
  <c r="AE440" i="1" s="1"/>
  <c r="U440" i="1" a="1"/>
  <c r="U440" i="1" s="1"/>
  <c r="AD440" i="1"/>
  <c r="K440" i="1" a="1"/>
  <c r="K440" i="1" s="1"/>
  <c r="A440" i="1" a="1"/>
  <c r="A440" i="1" s="1"/>
  <c r="AE439" i="1" a="1"/>
  <c r="AE439" i="1" s="1"/>
  <c r="U439" i="1" a="1"/>
  <c r="U439" i="1" s="1"/>
  <c r="AD439" i="1"/>
  <c r="K439" i="1" a="1"/>
  <c r="K439" i="1" s="1"/>
  <c r="R439" i="1"/>
  <c r="A439" i="1" a="1"/>
  <c r="A439" i="1" s="1"/>
  <c r="AE438" i="1" a="1"/>
  <c r="AE438" i="1" s="1"/>
  <c r="U438" i="1" a="1"/>
  <c r="U438" i="1" s="1"/>
  <c r="K438" i="1" a="1"/>
  <c r="K438" i="1" s="1"/>
  <c r="A438" i="1" a="1"/>
  <c r="A438" i="1" s="1"/>
  <c r="E438" i="1"/>
  <c r="G438" i="1"/>
  <c r="AE437" i="1" a="1"/>
  <c r="AE437" i="1" s="1"/>
  <c r="AH437" i="1"/>
  <c r="U437" i="1" a="1"/>
  <c r="U437" i="1" s="1"/>
  <c r="AB437" i="1"/>
  <c r="AD437" i="1"/>
  <c r="K437" i="1" a="1"/>
  <c r="K437" i="1" s="1"/>
  <c r="O437" i="1"/>
  <c r="P437" i="1"/>
  <c r="Q437" i="1"/>
  <c r="R437" i="1"/>
  <c r="T437" i="1"/>
  <c r="A437" i="1" a="1"/>
  <c r="A437" i="1" s="1"/>
  <c r="AE436" i="1" a="1"/>
  <c r="AE436" i="1" s="1"/>
  <c r="U436" i="1" a="1"/>
  <c r="U436" i="1" s="1"/>
  <c r="K436" i="1" a="1"/>
  <c r="K436" i="1" s="1"/>
  <c r="Q436" i="1"/>
  <c r="S436" i="1"/>
  <c r="A436" i="1" a="1"/>
  <c r="A436" i="1" s="1"/>
  <c r="I436" i="1"/>
  <c r="J436" i="1"/>
  <c r="AE435" i="1" a="1"/>
  <c r="AE435" i="1" s="1"/>
  <c r="U435" i="1" a="1"/>
  <c r="U435" i="1" s="1"/>
  <c r="AC435" i="1"/>
  <c r="AD435" i="1"/>
  <c r="K435" i="1" a="1"/>
  <c r="K435" i="1" s="1"/>
  <c r="N435" i="1"/>
  <c r="A435" i="1" a="1"/>
  <c r="A435" i="1" s="1"/>
  <c r="AE434" i="1" a="1"/>
  <c r="AE434" i="1" s="1"/>
  <c r="U434" i="1" a="1"/>
  <c r="U434" i="1" s="1"/>
  <c r="AB434" i="1"/>
  <c r="AC434" i="1"/>
  <c r="AD434" i="1"/>
  <c r="K434" i="1" a="1"/>
  <c r="K434" i="1" s="1"/>
  <c r="A434" i="1" a="1"/>
  <c r="A434" i="1" s="1"/>
  <c r="AE433" i="1" a="1"/>
  <c r="AE433" i="1" s="1"/>
  <c r="U433" i="1" a="1"/>
  <c r="U433" i="1" s="1"/>
  <c r="AC433" i="1"/>
  <c r="K433" i="1" a="1"/>
  <c r="K433" i="1" s="1"/>
  <c r="A433" i="1" a="1"/>
  <c r="A433" i="1" s="1"/>
  <c r="AE432" i="1" a="1"/>
  <c r="AE432" i="1" s="1"/>
  <c r="U432" i="1" a="1"/>
  <c r="U432" i="1" s="1"/>
  <c r="K432" i="1" a="1"/>
  <c r="K432" i="1" s="1"/>
  <c r="A432" i="1" a="1"/>
  <c r="A432" i="1" s="1"/>
  <c r="E432" i="1"/>
  <c r="F432" i="1"/>
  <c r="J432" i="1"/>
  <c r="AE431" i="1" a="1"/>
  <c r="AE431" i="1" s="1"/>
  <c r="U431" i="1" a="1"/>
  <c r="U431" i="1" s="1"/>
  <c r="K431" i="1" a="1"/>
  <c r="K431" i="1" s="1"/>
  <c r="A431" i="1" a="1"/>
  <c r="A431" i="1" s="1"/>
  <c r="AE430" i="1" a="1"/>
  <c r="AE430" i="1" s="1"/>
  <c r="U430" i="1" a="1"/>
  <c r="U430" i="1" s="1"/>
  <c r="K430" i="1" a="1"/>
  <c r="K430" i="1" s="1"/>
  <c r="A430" i="1" a="1"/>
  <c r="A430" i="1" s="1"/>
  <c r="AE429" i="1" a="1"/>
  <c r="AE429" i="1" s="1"/>
  <c r="U429" i="1" a="1"/>
  <c r="U429" i="1" s="1"/>
  <c r="K429" i="1" a="1"/>
  <c r="K429" i="1" s="1"/>
  <c r="O429" i="1"/>
  <c r="Q429" i="1"/>
  <c r="S429" i="1"/>
  <c r="T429" i="1"/>
  <c r="A429" i="1" a="1"/>
  <c r="A429" i="1" s="1"/>
  <c r="AE428" i="1" a="1"/>
  <c r="AE428" i="1" s="1"/>
  <c r="U428" i="1" a="1"/>
  <c r="U428" i="1" s="1"/>
  <c r="K428" i="1" a="1"/>
  <c r="K428" i="1" s="1"/>
  <c r="A428" i="1" a="1"/>
  <c r="A428" i="1" s="1"/>
  <c r="AE427" i="1" a="1"/>
  <c r="AE427" i="1" s="1"/>
  <c r="U427" i="1" a="1"/>
  <c r="U427" i="1" s="1"/>
  <c r="K427" i="1" a="1"/>
  <c r="K427" i="1" s="1"/>
  <c r="A427" i="1" a="1"/>
  <c r="A427" i="1" s="1"/>
  <c r="H427" i="1"/>
  <c r="J427" i="1"/>
  <c r="AE426" i="1" a="1"/>
  <c r="AE426" i="1" s="1"/>
  <c r="U426" i="1" a="1"/>
  <c r="U426" i="1" s="1"/>
  <c r="K426" i="1" a="1"/>
  <c r="K426" i="1" s="1"/>
  <c r="T426" i="1"/>
  <c r="A426" i="1" a="1"/>
  <c r="A426" i="1" s="1"/>
  <c r="AE425" i="1" a="1"/>
  <c r="AE425" i="1" s="1"/>
  <c r="U425" i="1" a="1"/>
  <c r="U425" i="1" s="1"/>
  <c r="K425" i="1" a="1"/>
  <c r="K425" i="1" s="1"/>
  <c r="A425" i="1" a="1"/>
  <c r="A425" i="1" s="1"/>
  <c r="AE424" i="1" a="1"/>
  <c r="AE424" i="1" s="1"/>
  <c r="U424" i="1" a="1"/>
  <c r="U424" i="1" s="1"/>
  <c r="K424" i="1" a="1"/>
  <c r="K424" i="1" s="1"/>
  <c r="A424" i="1" a="1"/>
  <c r="A424" i="1" s="1"/>
  <c r="AE423" i="1" a="1"/>
  <c r="AE423" i="1" s="1"/>
  <c r="U423" i="1" a="1"/>
  <c r="U423" i="1" s="1"/>
  <c r="K423" i="1" a="1"/>
  <c r="K423" i="1" s="1"/>
  <c r="A423" i="1" a="1"/>
  <c r="A423" i="1" s="1"/>
  <c r="G423" i="1"/>
  <c r="H423" i="1"/>
  <c r="AE422" i="1" a="1"/>
  <c r="AE422" i="1" s="1"/>
  <c r="U422" i="1" a="1"/>
  <c r="U422" i="1" s="1"/>
  <c r="W422" i="1"/>
  <c r="Y422" i="1"/>
  <c r="Z422" i="1"/>
  <c r="AA422" i="1"/>
  <c r="AB422" i="1"/>
  <c r="K422" i="1" a="1"/>
  <c r="K422" i="1" s="1"/>
  <c r="A422" i="1" a="1"/>
  <c r="A422" i="1" s="1"/>
  <c r="AE421" i="1" a="1"/>
  <c r="AE421" i="1" s="1"/>
  <c r="U421" i="1" a="1"/>
  <c r="U421" i="1" s="1"/>
  <c r="AD421" i="1"/>
  <c r="K421" i="1" a="1"/>
  <c r="K421" i="1" s="1"/>
  <c r="P421" i="1"/>
  <c r="R421" i="1"/>
  <c r="S421" i="1"/>
  <c r="A421" i="1" a="1"/>
  <c r="A421" i="1" s="1"/>
  <c r="AE420" i="1" a="1"/>
  <c r="AE420" i="1" s="1"/>
  <c r="U420" i="1" a="1"/>
  <c r="U420" i="1" s="1"/>
  <c r="AA420" i="1"/>
  <c r="AC420" i="1"/>
  <c r="K420" i="1" a="1"/>
  <c r="K420" i="1" s="1"/>
  <c r="Q420" i="1"/>
  <c r="R420" i="1"/>
  <c r="S420" i="1"/>
  <c r="A420" i="1" a="1"/>
  <c r="A420" i="1" s="1"/>
  <c r="AE419" i="1" a="1"/>
  <c r="AE419" i="1" s="1"/>
  <c r="U419" i="1" a="1"/>
  <c r="U419" i="1" s="1"/>
  <c r="K419" i="1" a="1"/>
  <c r="K419" i="1" s="1"/>
  <c r="A419" i="1" a="1"/>
  <c r="A419" i="1" s="1"/>
  <c r="J419" i="1"/>
  <c r="AE418" i="1" a="1"/>
  <c r="AE418" i="1" s="1"/>
  <c r="U418" i="1" a="1"/>
  <c r="U418" i="1" s="1"/>
  <c r="AC418" i="1"/>
  <c r="AD418" i="1"/>
  <c r="K418" i="1" a="1"/>
  <c r="K418" i="1" s="1"/>
  <c r="A418" i="1" a="1"/>
  <c r="A418" i="1" s="1"/>
  <c r="AE417" i="1" a="1"/>
  <c r="AE417" i="1" s="1"/>
  <c r="U417" i="1" a="1"/>
  <c r="U417" i="1" s="1"/>
  <c r="AC417" i="1"/>
  <c r="K417" i="1" a="1"/>
  <c r="K417" i="1" s="1"/>
  <c r="S417" i="1"/>
  <c r="T417" i="1"/>
  <c r="A417" i="1" a="1"/>
  <c r="A417" i="1" s="1"/>
  <c r="AE416" i="1" a="1"/>
  <c r="AE416" i="1" s="1"/>
  <c r="U416" i="1" a="1"/>
  <c r="U416" i="1" s="1"/>
  <c r="K416" i="1" a="1"/>
  <c r="K416" i="1" s="1"/>
  <c r="A416" i="1" a="1"/>
  <c r="A416" i="1" s="1"/>
  <c r="AE415" i="1" a="1"/>
  <c r="AE415" i="1" s="1"/>
  <c r="U415" i="1" a="1"/>
  <c r="U415" i="1" s="1"/>
  <c r="K415" i="1" a="1"/>
  <c r="K415" i="1" s="1"/>
  <c r="A415" i="1" a="1"/>
  <c r="A415" i="1" s="1"/>
  <c r="AE414" i="1" a="1"/>
  <c r="AE414" i="1" s="1"/>
  <c r="U414" i="1" a="1"/>
  <c r="U414" i="1" s="1"/>
  <c r="W414" i="1"/>
  <c r="Y414" i="1"/>
  <c r="Z414" i="1"/>
  <c r="AD414" i="1"/>
  <c r="K414" i="1" a="1"/>
  <c r="K414" i="1" s="1"/>
  <c r="A414" i="1" a="1"/>
  <c r="A414" i="1" s="1"/>
  <c r="AE413" i="1" a="1"/>
  <c r="AE413" i="1" s="1"/>
  <c r="U413" i="1" a="1"/>
  <c r="U413" i="1" s="1"/>
  <c r="K413" i="1" a="1"/>
  <c r="K413" i="1" s="1"/>
  <c r="A413" i="1" a="1"/>
  <c r="A413" i="1" s="1"/>
  <c r="AE412" i="1" a="1"/>
  <c r="AE412" i="1" s="1"/>
  <c r="U412" i="1" a="1"/>
  <c r="U412" i="1" s="1"/>
  <c r="AB412" i="1"/>
  <c r="K412" i="1" a="1"/>
  <c r="K412" i="1" s="1"/>
  <c r="A412" i="1" a="1"/>
  <c r="A412" i="1" s="1"/>
  <c r="AE411" i="1" a="1"/>
  <c r="AE411" i="1" s="1"/>
  <c r="U411" i="1" a="1"/>
  <c r="U411" i="1" s="1"/>
  <c r="Y411" i="1"/>
  <c r="AC411" i="1"/>
  <c r="AD411" i="1"/>
  <c r="K411" i="1" a="1"/>
  <c r="K411" i="1" s="1"/>
  <c r="P411" i="1"/>
  <c r="Q411" i="1"/>
  <c r="R411" i="1"/>
  <c r="S411" i="1"/>
  <c r="A411" i="1" a="1"/>
  <c r="A411" i="1" s="1"/>
  <c r="I411" i="1"/>
  <c r="J411" i="1"/>
  <c r="AE410" i="1" a="1"/>
  <c r="AE410" i="1" s="1"/>
  <c r="U410" i="1" a="1"/>
  <c r="U410" i="1" s="1"/>
  <c r="K410" i="1" a="1"/>
  <c r="K410" i="1" s="1"/>
  <c r="A410" i="1" a="1"/>
  <c r="A410" i="1" s="1"/>
  <c r="H410" i="1"/>
  <c r="AE409" i="1" a="1"/>
  <c r="AE409" i="1" s="1"/>
  <c r="U409" i="1" a="1"/>
  <c r="U409" i="1" s="1"/>
  <c r="K409" i="1" a="1"/>
  <c r="K409" i="1" s="1"/>
  <c r="A409" i="1" a="1"/>
  <c r="A409" i="1" s="1"/>
  <c r="AE408" i="1" a="1"/>
  <c r="AE408" i="1" s="1"/>
  <c r="U408" i="1" a="1"/>
  <c r="U408" i="1" s="1"/>
  <c r="K408" i="1" a="1"/>
  <c r="K408" i="1" s="1"/>
  <c r="S408" i="1"/>
  <c r="T408" i="1"/>
  <c r="A408" i="1" a="1"/>
  <c r="A408" i="1" s="1"/>
  <c r="AE407" i="1" a="1"/>
  <c r="AE407" i="1" s="1"/>
  <c r="U407" i="1" a="1"/>
  <c r="U407" i="1" s="1"/>
  <c r="K407" i="1" a="1"/>
  <c r="K407" i="1" s="1"/>
  <c r="Q407" i="1"/>
  <c r="R407" i="1"/>
  <c r="S407" i="1"/>
  <c r="A407" i="1" a="1"/>
  <c r="A407" i="1" s="1"/>
  <c r="I407" i="1"/>
  <c r="AE406" i="1" a="1"/>
  <c r="AE406" i="1" s="1"/>
  <c r="U406" i="1" a="1"/>
  <c r="U406" i="1" s="1"/>
  <c r="X406" i="1"/>
  <c r="K406" i="1" a="1"/>
  <c r="L406" i="1" s="1"/>
  <c r="K406" i="1"/>
  <c r="P406" i="1"/>
  <c r="S406" i="1"/>
  <c r="A406" i="1" a="1"/>
  <c r="A406" i="1" s="1"/>
  <c r="D406" i="1"/>
  <c r="E406" i="1"/>
  <c r="F406" i="1"/>
  <c r="AE405" i="1" a="1"/>
  <c r="AE405" i="1" s="1"/>
  <c r="U405" i="1" a="1"/>
  <c r="U405" i="1" s="1"/>
  <c r="K405" i="1" a="1"/>
  <c r="K405" i="1" s="1"/>
  <c r="A405" i="1" a="1"/>
  <c r="A405" i="1" s="1"/>
  <c r="AE404" i="1" a="1"/>
  <c r="AE404" i="1" s="1"/>
  <c r="U404" i="1" a="1"/>
  <c r="U404" i="1" s="1"/>
  <c r="K404" i="1" a="1"/>
  <c r="K404" i="1" s="1"/>
  <c r="R404" i="1"/>
  <c r="S404" i="1"/>
  <c r="T404" i="1"/>
  <c r="A404" i="1" a="1"/>
  <c r="A404" i="1" s="1"/>
  <c r="AE403" i="1" a="1"/>
  <c r="AE403" i="1" s="1"/>
  <c r="U403" i="1" a="1"/>
  <c r="U403" i="1" s="1"/>
  <c r="K403" i="1" a="1"/>
  <c r="K403" i="1" s="1"/>
  <c r="A403" i="1" a="1"/>
  <c r="A403" i="1" s="1"/>
  <c r="AE402" i="1" a="1"/>
  <c r="AE402" i="1" s="1"/>
  <c r="U402" i="1" a="1"/>
  <c r="U402" i="1" s="1"/>
  <c r="K402" i="1" a="1"/>
  <c r="K402" i="1" s="1"/>
  <c r="A402" i="1" a="1"/>
  <c r="A402" i="1" s="1"/>
  <c r="AE401" i="1" a="1"/>
  <c r="AE401" i="1" s="1"/>
  <c r="U401" i="1" a="1"/>
  <c r="U401" i="1" s="1"/>
  <c r="K401" i="1" a="1"/>
  <c r="K401" i="1" s="1"/>
  <c r="A401" i="1" a="1"/>
  <c r="A401" i="1" s="1"/>
  <c r="AE400" i="1" a="1"/>
  <c r="AE400" i="1" s="1"/>
  <c r="U400" i="1" a="1"/>
  <c r="U400" i="1" s="1"/>
  <c r="AC400" i="1"/>
  <c r="K400" i="1" a="1"/>
  <c r="K400" i="1" s="1"/>
  <c r="Q400" i="1"/>
  <c r="R400" i="1"/>
  <c r="A400" i="1" a="1"/>
  <c r="A400" i="1" s="1"/>
  <c r="J400" i="1"/>
  <c r="AE399" i="1" a="1"/>
  <c r="AE399" i="1" s="1"/>
  <c r="U399" i="1" a="1"/>
  <c r="U399" i="1" s="1"/>
  <c r="K399" i="1" a="1"/>
  <c r="K399" i="1" s="1"/>
  <c r="A399" i="1" a="1"/>
  <c r="A399" i="1" s="1"/>
  <c r="H399" i="1"/>
  <c r="AE398" i="1" a="1"/>
  <c r="AE398" i="1" s="1"/>
  <c r="U398" i="1" a="1"/>
  <c r="U398" i="1" s="1"/>
  <c r="AC398" i="1"/>
  <c r="K398" i="1" a="1"/>
  <c r="K398" i="1" s="1"/>
  <c r="S398" i="1"/>
  <c r="T398" i="1"/>
  <c r="A398" i="1" a="1"/>
  <c r="A398" i="1" s="1"/>
  <c r="J398" i="1"/>
  <c r="AE397" i="1" a="1"/>
  <c r="AE397" i="1" s="1"/>
  <c r="U397" i="1" a="1"/>
  <c r="U397" i="1" s="1"/>
  <c r="K397" i="1" a="1"/>
  <c r="K397" i="1" s="1"/>
  <c r="A397" i="1" a="1"/>
  <c r="A397" i="1" s="1"/>
  <c r="AE396" i="1" a="1"/>
  <c r="AE396" i="1" s="1"/>
  <c r="U396" i="1" a="1"/>
  <c r="U396" i="1" s="1"/>
  <c r="K396" i="1" a="1"/>
  <c r="K396" i="1" s="1"/>
  <c r="A396" i="1" a="1"/>
  <c r="A396" i="1" s="1"/>
  <c r="AE395" i="1" a="1"/>
  <c r="AE395" i="1" s="1"/>
  <c r="U395" i="1" a="1"/>
  <c r="U395" i="1" s="1"/>
  <c r="K395" i="1" a="1"/>
  <c r="K395" i="1" s="1"/>
  <c r="A395" i="1" a="1"/>
  <c r="A395" i="1" s="1"/>
  <c r="AE394" i="1" a="1"/>
  <c r="AE394" i="1" s="1"/>
  <c r="U394" i="1" a="1"/>
  <c r="U394" i="1" s="1"/>
  <c r="Z394" i="1"/>
  <c r="K394" i="1" a="1"/>
  <c r="K394" i="1" s="1"/>
  <c r="A394" i="1" a="1"/>
  <c r="A394" i="1" s="1"/>
  <c r="AE393" i="1" a="1"/>
  <c r="AE393" i="1" s="1"/>
  <c r="U393" i="1" a="1"/>
  <c r="U393" i="1" s="1"/>
  <c r="K393" i="1" a="1"/>
  <c r="K393" i="1" s="1"/>
  <c r="A393" i="1" a="1"/>
  <c r="A393" i="1" s="1"/>
  <c r="AE392" i="1" a="1"/>
  <c r="AE392" i="1" s="1"/>
  <c r="U392" i="1" a="1"/>
  <c r="U392" i="1" s="1"/>
  <c r="K392" i="1" a="1"/>
  <c r="K392" i="1" s="1"/>
  <c r="A392" i="1" a="1"/>
  <c r="A392" i="1" s="1"/>
  <c r="AE391" i="1" a="1"/>
  <c r="AE391" i="1" s="1"/>
  <c r="U391" i="1" a="1"/>
  <c r="U391" i="1" s="1"/>
  <c r="Y391" i="1"/>
  <c r="AA391" i="1"/>
  <c r="K391" i="1" a="1"/>
  <c r="K391" i="1" s="1"/>
  <c r="A391" i="1" a="1"/>
  <c r="A391" i="1" s="1"/>
  <c r="AE390" i="1" a="1"/>
  <c r="AE390" i="1" s="1"/>
  <c r="U390" i="1" a="1"/>
  <c r="U390" i="1" s="1"/>
  <c r="K390" i="1" a="1"/>
  <c r="K390" i="1" s="1"/>
  <c r="A390" i="1" a="1"/>
  <c r="A390" i="1" s="1"/>
  <c r="H390" i="1"/>
  <c r="AE389" i="1" a="1"/>
  <c r="AE389" i="1" s="1"/>
  <c r="U389" i="1" a="1"/>
  <c r="U389" i="1" s="1"/>
  <c r="K389" i="1" a="1"/>
  <c r="K389" i="1" s="1"/>
  <c r="P389" i="1"/>
  <c r="A389" i="1" a="1"/>
  <c r="A389" i="1" s="1"/>
  <c r="E389" i="1"/>
  <c r="AE388" i="1" a="1"/>
  <c r="AE388" i="1" s="1"/>
  <c r="U388" i="1" a="1"/>
  <c r="U388" i="1" s="1"/>
  <c r="K388" i="1" a="1"/>
  <c r="K388" i="1" s="1"/>
  <c r="A388" i="1" a="1"/>
  <c r="A388" i="1" s="1"/>
  <c r="AE387" i="1" a="1"/>
  <c r="AE387" i="1" s="1"/>
  <c r="U387" i="1" a="1"/>
  <c r="U387" i="1" s="1"/>
  <c r="K387" i="1" a="1"/>
  <c r="K387" i="1" s="1"/>
  <c r="R387" i="1"/>
  <c r="S387" i="1"/>
  <c r="A387" i="1" a="1"/>
  <c r="A387" i="1" s="1"/>
  <c r="G387" i="1"/>
  <c r="H387" i="1"/>
  <c r="AE386" i="1" a="1"/>
  <c r="AE386" i="1" s="1"/>
  <c r="U386" i="1" a="1"/>
  <c r="U386" i="1" s="1"/>
  <c r="K386" i="1" a="1"/>
  <c r="K386" i="1" s="1"/>
  <c r="A386" i="1" a="1"/>
  <c r="A386" i="1" s="1"/>
  <c r="AE385" i="1" a="1"/>
  <c r="AE385" i="1" s="1"/>
  <c r="U385" i="1" a="1"/>
  <c r="U385" i="1" s="1"/>
  <c r="K385" i="1" a="1"/>
  <c r="K385" i="1" s="1"/>
  <c r="O385" i="1"/>
  <c r="P385" i="1"/>
  <c r="A385" i="1" a="1"/>
  <c r="A385" i="1" s="1"/>
  <c r="AE384" i="1" a="1"/>
  <c r="AE384" i="1" s="1"/>
  <c r="U384" i="1" a="1"/>
  <c r="U384" i="1" s="1"/>
  <c r="K384" i="1" a="1"/>
  <c r="K384" i="1" s="1"/>
  <c r="T384" i="1"/>
  <c r="A384" i="1" a="1"/>
  <c r="A384" i="1" s="1"/>
  <c r="AE383" i="1" a="1"/>
  <c r="AE383" i="1" s="1"/>
  <c r="U383" i="1" a="1"/>
  <c r="U383" i="1" s="1"/>
  <c r="K383" i="1" a="1"/>
  <c r="K383" i="1" s="1"/>
  <c r="O383" i="1"/>
  <c r="P383" i="1"/>
  <c r="S383" i="1"/>
  <c r="A383" i="1" a="1"/>
  <c r="A383" i="1" s="1"/>
  <c r="F383" i="1"/>
  <c r="G383" i="1"/>
  <c r="AE382" i="1" a="1"/>
  <c r="AE382" i="1" s="1"/>
  <c r="U382" i="1" a="1"/>
  <c r="U382" i="1" s="1"/>
  <c r="K382" i="1" a="1"/>
  <c r="K382" i="1" s="1"/>
  <c r="A382" i="1" a="1"/>
  <c r="A382" i="1" s="1"/>
  <c r="AE381" i="1" a="1"/>
  <c r="AE381" i="1" s="1"/>
  <c r="U381" i="1" a="1"/>
  <c r="U381" i="1" s="1"/>
  <c r="Z381" i="1"/>
  <c r="K381" i="1" a="1"/>
  <c r="K381" i="1" s="1"/>
  <c r="P381" i="1"/>
  <c r="Q381" i="1"/>
  <c r="R381" i="1"/>
  <c r="A381" i="1" a="1"/>
  <c r="A381" i="1" s="1"/>
  <c r="AE380" i="1" a="1"/>
  <c r="AE380" i="1" s="1"/>
  <c r="U380" i="1" a="1"/>
  <c r="U380" i="1" s="1"/>
  <c r="K380" i="1" a="1"/>
  <c r="K380" i="1" s="1"/>
  <c r="N380" i="1"/>
  <c r="A380" i="1" a="1"/>
  <c r="A380" i="1" s="1"/>
  <c r="E380" i="1"/>
  <c r="F380" i="1"/>
  <c r="AE379" i="1" a="1"/>
  <c r="AE379" i="1" s="1"/>
  <c r="U379" i="1" a="1"/>
  <c r="U379" i="1" s="1"/>
  <c r="AB379" i="1"/>
  <c r="AC379" i="1"/>
  <c r="K379" i="1" a="1"/>
  <c r="K379" i="1" s="1"/>
  <c r="S379" i="1"/>
  <c r="A379" i="1" a="1"/>
  <c r="A379" i="1" s="1"/>
  <c r="I379" i="1"/>
  <c r="J379" i="1"/>
  <c r="AE378" i="1" a="1"/>
  <c r="AE378" i="1" s="1"/>
  <c r="U378" i="1" a="1"/>
  <c r="U378" i="1" s="1"/>
  <c r="K378" i="1" a="1"/>
  <c r="K378" i="1" s="1"/>
  <c r="T378" i="1"/>
  <c r="A378" i="1" a="1"/>
  <c r="A378" i="1" s="1"/>
  <c r="AE377" i="1" a="1"/>
  <c r="AE377" i="1" s="1"/>
  <c r="U377" i="1" a="1"/>
  <c r="U377" i="1" s="1"/>
  <c r="X377" i="1"/>
  <c r="Z377" i="1"/>
  <c r="AB377" i="1"/>
  <c r="AC377" i="1"/>
  <c r="K377" i="1" a="1"/>
  <c r="K377" i="1" s="1"/>
  <c r="A377" i="1" a="1"/>
  <c r="A377" i="1" s="1"/>
  <c r="G377" i="1"/>
  <c r="H377" i="1"/>
  <c r="I377" i="1"/>
  <c r="AE376" i="1" a="1"/>
  <c r="AE376" i="1" s="1"/>
  <c r="U376" i="1" a="1"/>
  <c r="U376" i="1" s="1"/>
  <c r="K376" i="1" a="1"/>
  <c r="K376" i="1" s="1"/>
  <c r="A376" i="1" a="1"/>
  <c r="A376" i="1" s="1"/>
  <c r="AE375" i="1" a="1"/>
  <c r="AE375" i="1" s="1"/>
  <c r="U375" i="1" a="1"/>
  <c r="U375" i="1" s="1"/>
  <c r="K375" i="1" a="1"/>
  <c r="K375" i="1" s="1"/>
  <c r="O375" i="1"/>
  <c r="Q375" i="1"/>
  <c r="R375" i="1"/>
  <c r="S375" i="1"/>
  <c r="A375" i="1" a="1"/>
  <c r="A375" i="1" s="1"/>
  <c r="AE374" i="1" a="1"/>
  <c r="AE374" i="1" s="1"/>
  <c r="U374" i="1" a="1"/>
  <c r="U374" i="1" s="1"/>
  <c r="AC374" i="1"/>
  <c r="AD374" i="1"/>
  <c r="K374" i="1" a="1"/>
  <c r="K374" i="1" s="1"/>
  <c r="A374" i="1" a="1"/>
  <c r="A374" i="1" s="1"/>
  <c r="AE373" i="1" a="1"/>
  <c r="AE373" i="1" s="1"/>
  <c r="U373" i="1" a="1"/>
  <c r="U373" i="1" s="1"/>
  <c r="AB373" i="1"/>
  <c r="K373" i="1" a="1"/>
  <c r="K373" i="1" s="1"/>
  <c r="N373" i="1"/>
  <c r="A373" i="1" a="1"/>
  <c r="A373" i="1" s="1"/>
  <c r="E373" i="1"/>
  <c r="F373" i="1"/>
  <c r="AE372" i="1" a="1"/>
  <c r="AE372" i="1" s="1"/>
  <c r="U372" i="1" a="1"/>
  <c r="U372" i="1" s="1"/>
  <c r="Z372" i="1"/>
  <c r="K372" i="1" a="1"/>
  <c r="K372" i="1" s="1"/>
  <c r="N372" i="1"/>
  <c r="A372" i="1" a="1"/>
  <c r="A372" i="1" s="1"/>
  <c r="AE371" i="1" a="1"/>
  <c r="AE371" i="1" s="1"/>
  <c r="U371" i="1" a="1"/>
  <c r="U371" i="1" s="1"/>
  <c r="AA371" i="1"/>
  <c r="AB371" i="1"/>
  <c r="AC371" i="1"/>
  <c r="K371" i="1" a="1"/>
  <c r="K371" i="1" s="1"/>
  <c r="R371" i="1"/>
  <c r="A371" i="1" a="1"/>
  <c r="A371" i="1" s="1"/>
  <c r="H371" i="1"/>
  <c r="I371" i="1"/>
  <c r="J371" i="1"/>
  <c r="AE370" i="1" a="1"/>
  <c r="AE370" i="1" s="1"/>
  <c r="U370" i="1" a="1"/>
  <c r="U370" i="1" s="1"/>
  <c r="AA370" i="1"/>
  <c r="K370" i="1" a="1"/>
  <c r="K370" i="1" s="1"/>
  <c r="A370" i="1" a="1"/>
  <c r="A370" i="1" s="1"/>
  <c r="AE369" i="1" a="1"/>
  <c r="AE369" i="1" s="1"/>
  <c r="U369" i="1" a="1"/>
  <c r="U369" i="1" s="1"/>
  <c r="K369" i="1" a="1"/>
  <c r="K369" i="1" s="1"/>
  <c r="A369" i="1" a="1"/>
  <c r="A369" i="1" s="1"/>
  <c r="AE368" i="1" a="1"/>
  <c r="AE368" i="1" s="1"/>
  <c r="U368" i="1" a="1"/>
  <c r="U368" i="1" s="1"/>
  <c r="AA368" i="1"/>
  <c r="K368" i="1" a="1"/>
  <c r="K368" i="1" s="1"/>
  <c r="A368" i="1" a="1"/>
  <c r="A368" i="1" s="1"/>
  <c r="AE367" i="1" a="1"/>
  <c r="AE367" i="1" s="1"/>
  <c r="U367" i="1" a="1"/>
  <c r="U367" i="1" s="1"/>
  <c r="K367" i="1" a="1"/>
  <c r="K367" i="1" s="1"/>
  <c r="S367" i="1"/>
  <c r="A367" i="1" a="1"/>
  <c r="A367" i="1" s="1"/>
  <c r="AE366" i="1" a="1"/>
  <c r="AE366" i="1" s="1"/>
  <c r="U366" i="1" a="1"/>
  <c r="U366" i="1" s="1"/>
  <c r="K366" i="1" a="1"/>
  <c r="K366" i="1" s="1"/>
  <c r="A366" i="1" a="1"/>
  <c r="A366" i="1" s="1"/>
  <c r="AE365" i="1" a="1"/>
  <c r="AE365" i="1" s="1"/>
  <c r="U365" i="1" a="1"/>
  <c r="U365" i="1" s="1"/>
  <c r="K365" i="1" a="1"/>
  <c r="K365" i="1" s="1"/>
  <c r="S365" i="1"/>
  <c r="A365" i="1" a="1"/>
  <c r="A365" i="1" s="1"/>
  <c r="AE364" i="1" a="1"/>
  <c r="AE364" i="1" s="1"/>
  <c r="U364" i="1" a="1"/>
  <c r="U364" i="1" s="1"/>
  <c r="AC364" i="1"/>
  <c r="K364" i="1" a="1"/>
  <c r="K364" i="1" s="1"/>
  <c r="A364" i="1" a="1"/>
  <c r="A364" i="1" s="1"/>
  <c r="AE363" i="1" a="1"/>
  <c r="AE363" i="1" s="1"/>
  <c r="U363" i="1" a="1"/>
  <c r="U363" i="1" s="1"/>
  <c r="K363" i="1" a="1"/>
  <c r="K363" i="1" s="1"/>
  <c r="A363" i="1" a="1"/>
  <c r="A363" i="1" s="1"/>
  <c r="AE362" i="1" a="1"/>
  <c r="AE362" i="1" s="1"/>
  <c r="U362" i="1" a="1"/>
  <c r="U362" i="1" s="1"/>
  <c r="Z362" i="1"/>
  <c r="AA362" i="1"/>
  <c r="AD362" i="1"/>
  <c r="K362" i="1" a="1"/>
  <c r="K362" i="1" s="1"/>
  <c r="A362" i="1" a="1"/>
  <c r="A362" i="1" s="1"/>
  <c r="AE361" i="1" a="1"/>
  <c r="AE361" i="1" s="1"/>
  <c r="U361" i="1" a="1"/>
  <c r="U361" i="1" s="1"/>
  <c r="Z361" i="1"/>
  <c r="K361" i="1" a="1"/>
  <c r="K361" i="1" s="1"/>
  <c r="Q361" i="1"/>
  <c r="R361" i="1"/>
  <c r="S361" i="1"/>
  <c r="A361" i="1" a="1"/>
  <c r="A361" i="1" s="1"/>
  <c r="AE360" i="1" a="1"/>
  <c r="AE360" i="1" s="1"/>
  <c r="U360" i="1" a="1"/>
  <c r="U360" i="1" s="1"/>
  <c r="K360" i="1" a="1"/>
  <c r="K360" i="1" s="1"/>
  <c r="A360" i="1" a="1"/>
  <c r="A360" i="1" s="1"/>
  <c r="AE359" i="1" a="1"/>
  <c r="AE359" i="1" s="1"/>
  <c r="U359" i="1" a="1"/>
  <c r="U359" i="1" s="1"/>
  <c r="Y359" i="1"/>
  <c r="K359" i="1" a="1"/>
  <c r="K359" i="1" s="1"/>
  <c r="A359" i="1" a="1"/>
  <c r="A359" i="1" s="1"/>
  <c r="AE358" i="1" a="1"/>
  <c r="AE358" i="1" s="1"/>
  <c r="U358" i="1" a="1"/>
  <c r="U358" i="1" s="1"/>
  <c r="K358" i="1" a="1"/>
  <c r="K358" i="1" s="1"/>
  <c r="A358" i="1" a="1"/>
  <c r="A358" i="1" s="1"/>
  <c r="AE357" i="1" a="1"/>
  <c r="AE357" i="1" s="1"/>
  <c r="U357" i="1" a="1"/>
  <c r="U357" i="1" s="1"/>
  <c r="K357" i="1" a="1"/>
  <c r="K357" i="1" s="1"/>
  <c r="Q357" i="1"/>
  <c r="S357" i="1"/>
  <c r="A357" i="1" a="1"/>
  <c r="A357" i="1" s="1"/>
  <c r="AE356" i="1" a="1"/>
  <c r="AE356" i="1" s="1"/>
  <c r="U356" i="1" a="1"/>
  <c r="U356" i="1" s="1"/>
  <c r="K356" i="1" a="1"/>
  <c r="K356" i="1" s="1"/>
  <c r="A356" i="1" a="1"/>
  <c r="A356" i="1" s="1"/>
  <c r="AE355" i="1" a="1"/>
  <c r="AE355" i="1" s="1"/>
  <c r="U355" i="1" a="1"/>
  <c r="U355" i="1" s="1"/>
  <c r="K355" i="1" a="1"/>
  <c r="K355" i="1" s="1"/>
  <c r="O355" i="1"/>
  <c r="A355" i="1" a="1"/>
  <c r="A355" i="1" s="1"/>
  <c r="AE354" i="1" a="1"/>
  <c r="AE354" i="1" s="1"/>
  <c r="U354" i="1" a="1"/>
  <c r="U354" i="1" s="1"/>
  <c r="K354" i="1" a="1"/>
  <c r="K354" i="1" s="1"/>
  <c r="A354" i="1" a="1"/>
  <c r="A354" i="1" s="1"/>
  <c r="AE353" i="1" a="1"/>
  <c r="AE353" i="1" s="1"/>
  <c r="U353" i="1" a="1"/>
  <c r="U353" i="1" s="1"/>
  <c r="AC353" i="1"/>
  <c r="K353" i="1" a="1"/>
  <c r="K353" i="1" s="1"/>
  <c r="A353" i="1" a="1"/>
  <c r="A353" i="1" s="1"/>
  <c r="AE352" i="1" a="1"/>
  <c r="AE352" i="1" s="1"/>
  <c r="U352" i="1" a="1"/>
  <c r="U352" i="1" s="1"/>
  <c r="X352" i="1"/>
  <c r="K352" i="1" a="1"/>
  <c r="K352" i="1" s="1"/>
  <c r="A352" i="1" a="1"/>
  <c r="A352" i="1" s="1"/>
  <c r="G352" i="1"/>
  <c r="AE351" i="1" a="1"/>
  <c r="AE351" i="1" s="1"/>
  <c r="U351" i="1" a="1"/>
  <c r="U351" i="1" s="1"/>
  <c r="AA351" i="1"/>
  <c r="K351" i="1" a="1"/>
  <c r="K351" i="1" s="1"/>
  <c r="A351" i="1" a="1"/>
  <c r="A351" i="1" s="1"/>
  <c r="AE350" i="1" a="1"/>
  <c r="AE350" i="1" s="1"/>
  <c r="U350" i="1" a="1"/>
  <c r="U350" i="1" s="1"/>
  <c r="Z350" i="1"/>
  <c r="AA350" i="1"/>
  <c r="K350" i="1" a="1"/>
  <c r="K350" i="1" s="1"/>
  <c r="A350" i="1" a="1"/>
  <c r="A350" i="1" s="1"/>
  <c r="AE349" i="1" a="1"/>
  <c r="AE349" i="1" s="1"/>
  <c r="U349" i="1" a="1"/>
  <c r="U349" i="1" s="1"/>
  <c r="K349" i="1" a="1"/>
  <c r="K349" i="1" s="1"/>
  <c r="A349" i="1" a="1"/>
  <c r="A349" i="1" s="1"/>
  <c r="AE348" i="1" a="1"/>
  <c r="AE348" i="1" s="1"/>
  <c r="U348" i="1" a="1"/>
  <c r="U348" i="1" s="1"/>
  <c r="K348" i="1" a="1"/>
  <c r="K348" i="1" s="1"/>
  <c r="A348" i="1" a="1"/>
  <c r="A348" i="1" s="1"/>
  <c r="AE347" i="1" a="1"/>
  <c r="AE347" i="1" s="1"/>
  <c r="U347" i="1" a="1"/>
  <c r="U347" i="1" s="1"/>
  <c r="K347" i="1" a="1"/>
  <c r="K347" i="1" s="1"/>
  <c r="A347" i="1" a="1"/>
  <c r="A347" i="1" s="1"/>
  <c r="AE346" i="1" a="1"/>
  <c r="AE346" i="1" s="1"/>
  <c r="U346" i="1" a="1"/>
  <c r="U346" i="1" s="1"/>
  <c r="K346" i="1" a="1"/>
  <c r="K346" i="1" s="1"/>
  <c r="R346" i="1"/>
  <c r="T346" i="1"/>
  <c r="A346" i="1" a="1"/>
  <c r="A346" i="1" s="1"/>
  <c r="J346" i="1"/>
  <c r="AE345" i="1" a="1"/>
  <c r="AE345" i="1" s="1"/>
  <c r="U345" i="1" a="1"/>
  <c r="U345" i="1" s="1"/>
  <c r="Y345" i="1"/>
  <c r="Z345" i="1"/>
  <c r="K345" i="1" a="1"/>
  <c r="K345" i="1" s="1"/>
  <c r="A345" i="1" a="1"/>
  <c r="A345" i="1" s="1"/>
  <c r="AE344" i="1" a="1"/>
  <c r="AE344" i="1" s="1"/>
  <c r="U344" i="1" a="1"/>
  <c r="U344" i="1" s="1"/>
  <c r="K344" i="1" a="1"/>
  <c r="K344" i="1" s="1"/>
  <c r="A344" i="1" a="1"/>
  <c r="A344" i="1" s="1"/>
  <c r="AE343" i="1" a="1"/>
  <c r="AE343" i="1" s="1"/>
  <c r="U343" i="1" a="1"/>
  <c r="U343" i="1" s="1"/>
  <c r="Y343" i="1"/>
  <c r="Z343" i="1"/>
  <c r="AA343" i="1"/>
  <c r="AD343" i="1"/>
  <c r="K343" i="1" a="1"/>
  <c r="K343" i="1" s="1"/>
  <c r="A343" i="1" a="1"/>
  <c r="A343" i="1" s="1"/>
  <c r="G343" i="1"/>
  <c r="J343" i="1"/>
  <c r="AE342" i="1" a="1"/>
  <c r="AE342" i="1" s="1"/>
  <c r="U342" i="1" a="1"/>
  <c r="U342" i="1" s="1"/>
  <c r="Y342" i="1"/>
  <c r="Z342" i="1"/>
  <c r="AA342" i="1"/>
  <c r="AC342" i="1"/>
  <c r="AD342" i="1"/>
  <c r="K342" i="1" a="1"/>
  <c r="K342" i="1" s="1"/>
  <c r="T342" i="1"/>
  <c r="A342" i="1" a="1"/>
  <c r="A342" i="1" s="1"/>
  <c r="H342" i="1"/>
  <c r="AE341" i="1" a="1"/>
  <c r="AE341" i="1" s="1"/>
  <c r="U341" i="1" a="1"/>
  <c r="U341" i="1" s="1"/>
  <c r="AD341" i="1"/>
  <c r="K341" i="1" a="1"/>
  <c r="K341" i="1" s="1"/>
  <c r="R341" i="1"/>
  <c r="A341" i="1" a="1"/>
  <c r="A341" i="1" s="1"/>
  <c r="AE340" i="1" a="1"/>
  <c r="AE340" i="1" s="1"/>
  <c r="U340" i="1" a="1"/>
  <c r="U340" i="1" s="1"/>
  <c r="AA340" i="1"/>
  <c r="AB340" i="1"/>
  <c r="AC340" i="1"/>
  <c r="AD340" i="1"/>
  <c r="K340" i="1" a="1"/>
  <c r="K340" i="1" s="1"/>
  <c r="Q340" i="1"/>
  <c r="A340" i="1" a="1"/>
  <c r="A340" i="1" s="1"/>
  <c r="I340" i="1"/>
  <c r="J340" i="1"/>
  <c r="AE339" i="1" a="1"/>
  <c r="AE339" i="1" s="1"/>
  <c r="U339" i="1" a="1"/>
  <c r="U339" i="1" s="1"/>
  <c r="X339" i="1"/>
  <c r="Y339" i="1"/>
  <c r="Z339" i="1"/>
  <c r="AA339" i="1"/>
  <c r="AB339" i="1"/>
  <c r="AC339" i="1"/>
  <c r="K339" i="1" a="1"/>
  <c r="K339" i="1" s="1"/>
  <c r="Q339" i="1"/>
  <c r="R339" i="1"/>
  <c r="S339" i="1"/>
  <c r="T339" i="1"/>
  <c r="A339" i="1" a="1"/>
  <c r="A339" i="1" s="1"/>
  <c r="E339" i="1"/>
  <c r="AE338" i="1" a="1"/>
  <c r="AE338" i="1" s="1"/>
  <c r="AF338" i="1"/>
  <c r="AG338" i="1"/>
  <c r="AH338" i="1"/>
  <c r="U338" i="1" a="1"/>
  <c r="U338" i="1" s="1"/>
  <c r="AC338" i="1"/>
  <c r="AD338" i="1"/>
  <c r="K338" i="1" a="1"/>
  <c r="K338" i="1" s="1"/>
  <c r="R338" i="1"/>
  <c r="S338" i="1"/>
  <c r="A338" i="1" a="1"/>
  <c r="A338" i="1" s="1"/>
  <c r="J338" i="1"/>
  <c r="AE337" i="1" a="1"/>
  <c r="AE337" i="1" s="1"/>
  <c r="U337" i="1" a="1"/>
  <c r="U337" i="1" s="1"/>
  <c r="K337" i="1" a="1"/>
  <c r="K337" i="1" s="1"/>
  <c r="O337" i="1"/>
  <c r="P337" i="1"/>
  <c r="Q337" i="1"/>
  <c r="S337" i="1"/>
  <c r="T337" i="1"/>
  <c r="A337" i="1" a="1"/>
  <c r="A337" i="1" s="1"/>
  <c r="AE336" i="1" a="1"/>
  <c r="AE336" i="1" s="1"/>
  <c r="U336" i="1" a="1"/>
  <c r="U336" i="1" s="1"/>
  <c r="K336" i="1" a="1"/>
  <c r="K336" i="1" s="1"/>
  <c r="A336" i="1" a="1"/>
  <c r="A336" i="1" s="1"/>
  <c r="I336" i="1"/>
  <c r="J336" i="1"/>
  <c r="AE335" i="1" a="1"/>
  <c r="AE335" i="1" s="1"/>
  <c r="U335" i="1" a="1"/>
  <c r="U335" i="1" s="1"/>
  <c r="K335" i="1" a="1"/>
  <c r="K335" i="1" s="1"/>
  <c r="A335" i="1" a="1"/>
  <c r="A335" i="1" s="1"/>
  <c r="F335" i="1"/>
  <c r="J335" i="1"/>
  <c r="AE334" i="1" a="1"/>
  <c r="AE334" i="1" s="1"/>
  <c r="U334" i="1" a="1"/>
  <c r="U334" i="1" s="1"/>
  <c r="Z334" i="1"/>
  <c r="AA334" i="1"/>
  <c r="AB334" i="1"/>
  <c r="K334" i="1" a="1"/>
  <c r="K334" i="1" s="1"/>
  <c r="N334" i="1"/>
  <c r="R334" i="1"/>
  <c r="S334" i="1"/>
  <c r="A334" i="1" a="1"/>
  <c r="A334" i="1" s="1"/>
  <c r="AE333" i="1" a="1"/>
  <c r="AE333" i="1" s="1"/>
  <c r="U333" i="1" a="1"/>
  <c r="U333" i="1" s="1"/>
  <c r="AD333" i="1"/>
  <c r="K333" i="1" a="1"/>
  <c r="K333" i="1" s="1"/>
  <c r="P333" i="1"/>
  <c r="Q333" i="1"/>
  <c r="A333" i="1" a="1"/>
  <c r="A333" i="1" s="1"/>
  <c r="AE332" i="1" a="1"/>
  <c r="AE332" i="1" s="1"/>
  <c r="U332" i="1" a="1"/>
  <c r="U332" i="1" s="1"/>
  <c r="Z332" i="1"/>
  <c r="AB332" i="1"/>
  <c r="K332" i="1" a="1"/>
  <c r="K332" i="1" s="1"/>
  <c r="S332" i="1"/>
  <c r="A332" i="1" a="1"/>
  <c r="A332" i="1" s="1"/>
  <c r="AE331" i="1" a="1"/>
  <c r="AE331" i="1" s="1"/>
  <c r="U331" i="1" a="1"/>
  <c r="U331" i="1" s="1"/>
  <c r="Y331" i="1"/>
  <c r="Z331" i="1"/>
  <c r="AA331" i="1"/>
  <c r="AB331" i="1"/>
  <c r="K331" i="1" a="1"/>
  <c r="K331" i="1" s="1"/>
  <c r="P331" i="1"/>
  <c r="A331" i="1" a="1"/>
  <c r="A331" i="1" s="1"/>
  <c r="AE330" i="1" a="1"/>
  <c r="AE330" i="1" s="1"/>
  <c r="U330" i="1" a="1"/>
  <c r="U330" i="1" s="1"/>
  <c r="X330" i="1"/>
  <c r="Z330" i="1"/>
  <c r="AA330" i="1"/>
  <c r="AB330" i="1"/>
  <c r="AC330" i="1"/>
  <c r="K330" i="1" a="1"/>
  <c r="K330" i="1" s="1"/>
  <c r="N330" i="1"/>
  <c r="O330" i="1"/>
  <c r="Q330" i="1"/>
  <c r="R330" i="1"/>
  <c r="S330" i="1"/>
  <c r="T330" i="1"/>
  <c r="A330" i="1" a="1"/>
  <c r="A330" i="1" s="1"/>
  <c r="G330" i="1"/>
  <c r="I330" i="1"/>
  <c r="AE329" i="1" a="1"/>
  <c r="AE329" i="1" s="1"/>
  <c r="U329" i="1" a="1"/>
  <c r="U329" i="1" s="1"/>
  <c r="AC329" i="1"/>
  <c r="K329" i="1" a="1"/>
  <c r="K329" i="1" s="1"/>
  <c r="O329" i="1"/>
  <c r="P329" i="1"/>
  <c r="Q329" i="1"/>
  <c r="R329" i="1"/>
  <c r="A329" i="1" a="1"/>
  <c r="A329" i="1" s="1"/>
  <c r="AE328" i="1" a="1"/>
  <c r="AE328" i="1" s="1"/>
  <c r="U328" i="1" a="1"/>
  <c r="U328" i="1" s="1"/>
  <c r="K328" i="1" a="1"/>
  <c r="K328" i="1" s="1"/>
  <c r="O328" i="1"/>
  <c r="Q328" i="1"/>
  <c r="S328" i="1"/>
  <c r="T328" i="1"/>
  <c r="A328" i="1" a="1"/>
  <c r="A328" i="1" s="1"/>
  <c r="J328" i="1"/>
  <c r="AE327" i="1" a="1"/>
  <c r="AE327" i="1" s="1"/>
  <c r="U327" i="1" a="1"/>
  <c r="U327" i="1" s="1"/>
  <c r="AD327" i="1"/>
  <c r="K327" i="1" a="1"/>
  <c r="K327" i="1" s="1"/>
  <c r="A327" i="1" a="1"/>
  <c r="A327" i="1" s="1"/>
  <c r="E327" i="1"/>
  <c r="AE326" i="1" a="1"/>
  <c r="AE326" i="1" s="1"/>
  <c r="U326" i="1" a="1"/>
  <c r="U326" i="1" s="1"/>
  <c r="AC326" i="1"/>
  <c r="K326" i="1" a="1"/>
  <c r="K326" i="1" s="1"/>
  <c r="Q326" i="1"/>
  <c r="S326" i="1"/>
  <c r="T326" i="1"/>
  <c r="A326" i="1" a="1"/>
  <c r="A326" i="1" s="1"/>
  <c r="I326" i="1"/>
  <c r="AE325" i="1" a="1"/>
  <c r="AE325" i="1" s="1"/>
  <c r="U325" i="1" a="1"/>
  <c r="U325" i="1" s="1"/>
  <c r="X325" i="1"/>
  <c r="Y325" i="1"/>
  <c r="Z325" i="1"/>
  <c r="K325" i="1" a="1"/>
  <c r="K325" i="1" s="1"/>
  <c r="R325" i="1"/>
  <c r="S325" i="1"/>
  <c r="T325" i="1"/>
  <c r="A325" i="1" a="1"/>
  <c r="A325" i="1" s="1"/>
  <c r="H325" i="1"/>
  <c r="I325" i="1"/>
  <c r="J325" i="1"/>
  <c r="AE324" i="1" a="1"/>
  <c r="AE324" i="1" s="1"/>
  <c r="U324" i="1" a="1"/>
  <c r="U324" i="1" s="1"/>
  <c r="AC324" i="1"/>
  <c r="K324" i="1" a="1"/>
  <c r="K324" i="1" s="1"/>
  <c r="N324" i="1"/>
  <c r="O324" i="1"/>
  <c r="R324" i="1"/>
  <c r="T324" i="1"/>
  <c r="A324" i="1" a="1"/>
  <c r="A324" i="1" s="1"/>
  <c r="AE323" i="1" a="1"/>
  <c r="AE323" i="1" s="1"/>
  <c r="U323" i="1" a="1"/>
  <c r="U323" i="1" s="1"/>
  <c r="Y323" i="1"/>
  <c r="AB323" i="1"/>
  <c r="AD323" i="1"/>
  <c r="K323" i="1" a="1"/>
  <c r="K323" i="1" s="1"/>
  <c r="N323" i="1"/>
  <c r="O323" i="1"/>
  <c r="A323" i="1" a="1"/>
  <c r="A323" i="1" s="1"/>
  <c r="AE322" i="1" a="1"/>
  <c r="AE322" i="1" s="1"/>
  <c r="U322" i="1" a="1"/>
  <c r="U322" i="1" s="1"/>
  <c r="AA322" i="1"/>
  <c r="K322" i="1" a="1"/>
  <c r="K322" i="1" s="1"/>
  <c r="S322" i="1"/>
  <c r="A322" i="1" a="1"/>
  <c r="A322" i="1" s="1"/>
  <c r="AE321" i="1" a="1"/>
  <c r="AE321" i="1" s="1"/>
  <c r="U321" i="1" a="1"/>
  <c r="U321" i="1" s="1"/>
  <c r="W321" i="1"/>
  <c r="X321" i="1"/>
  <c r="Y321" i="1"/>
  <c r="K321" i="1" a="1"/>
  <c r="K321" i="1" s="1"/>
  <c r="R321" i="1"/>
  <c r="T321" i="1"/>
  <c r="A321" i="1" a="1"/>
  <c r="A321" i="1" s="1"/>
  <c r="I321" i="1"/>
  <c r="AE320" i="1" a="1"/>
  <c r="AE320" i="1" s="1"/>
  <c r="U320" i="1" a="1"/>
  <c r="U320" i="1" s="1"/>
  <c r="AB320" i="1"/>
  <c r="AC320" i="1"/>
  <c r="AD320" i="1"/>
  <c r="K320" i="1" a="1"/>
  <c r="K320" i="1" s="1"/>
  <c r="A320" i="1" a="1"/>
  <c r="A320" i="1" s="1"/>
  <c r="AE319" i="1" a="1"/>
  <c r="AE319" i="1" s="1"/>
  <c r="U319" i="1" a="1"/>
  <c r="U319" i="1" s="1"/>
  <c r="Z319" i="1"/>
  <c r="AA319" i="1"/>
  <c r="AC319" i="1"/>
  <c r="K319" i="1" a="1"/>
  <c r="K319" i="1" s="1"/>
  <c r="S319" i="1"/>
  <c r="A319" i="1" a="1"/>
  <c r="A319" i="1" s="1"/>
  <c r="J319" i="1"/>
  <c r="AE318" i="1" a="1"/>
  <c r="AE318" i="1" s="1"/>
  <c r="U318" i="1" a="1"/>
  <c r="U318" i="1" s="1"/>
  <c r="K318" i="1" a="1"/>
  <c r="K318" i="1" s="1"/>
  <c r="Q318" i="1"/>
  <c r="S318" i="1"/>
  <c r="A318" i="1" a="1"/>
  <c r="A318" i="1" s="1"/>
  <c r="AE317" i="1" a="1"/>
  <c r="AE317" i="1" s="1"/>
  <c r="U317" i="1" a="1"/>
  <c r="U317" i="1" s="1"/>
  <c r="AA317" i="1"/>
  <c r="AD317" i="1"/>
  <c r="K317" i="1" a="1"/>
  <c r="K317" i="1" s="1"/>
  <c r="R317" i="1"/>
  <c r="S317" i="1"/>
  <c r="T317" i="1"/>
  <c r="A317" i="1" a="1"/>
  <c r="A317" i="1" s="1"/>
  <c r="AE316" i="1" a="1"/>
  <c r="AE316" i="1" s="1"/>
  <c r="U316" i="1" a="1"/>
  <c r="U316" i="1" s="1"/>
  <c r="K316" i="1" a="1"/>
  <c r="K316" i="1" s="1"/>
  <c r="N316" i="1"/>
  <c r="P316" i="1"/>
  <c r="Q316" i="1"/>
  <c r="R316" i="1"/>
  <c r="S316" i="1"/>
  <c r="T316" i="1"/>
  <c r="A316" i="1" a="1"/>
  <c r="A316" i="1" s="1"/>
  <c r="E316" i="1"/>
  <c r="AE315" i="1" a="1"/>
  <c r="AE315" i="1" s="1"/>
  <c r="U315" i="1" a="1"/>
  <c r="V315" i="1" s="1"/>
  <c r="K315" i="1" a="1"/>
  <c r="K315" i="1" s="1"/>
  <c r="R315" i="1"/>
  <c r="A315" i="1" a="1"/>
  <c r="A315" i="1" s="1"/>
  <c r="J315" i="1"/>
  <c r="AE314" i="1" a="1"/>
  <c r="AE314" i="1" s="1"/>
  <c r="U314" i="1" a="1"/>
  <c r="U314" i="1" s="1"/>
  <c r="Z314" i="1"/>
  <c r="K314" i="1" a="1"/>
  <c r="K314" i="1" s="1"/>
  <c r="R314" i="1"/>
  <c r="S314" i="1"/>
  <c r="A314" i="1" a="1"/>
  <c r="A314" i="1" s="1"/>
  <c r="AE313" i="1" a="1"/>
  <c r="AE313" i="1" s="1"/>
  <c r="U313" i="1" a="1"/>
  <c r="U313" i="1" s="1"/>
  <c r="Y313" i="1"/>
  <c r="AA313" i="1"/>
  <c r="AB313" i="1"/>
  <c r="AC313" i="1"/>
  <c r="AD313" i="1"/>
  <c r="K313" i="1" a="1"/>
  <c r="K313" i="1" s="1"/>
  <c r="T313" i="1"/>
  <c r="A313" i="1" a="1"/>
  <c r="A313" i="1" s="1"/>
  <c r="AE312" i="1" a="1"/>
  <c r="AE312" i="1" s="1"/>
  <c r="U312" i="1" a="1"/>
  <c r="U312" i="1" s="1"/>
  <c r="Z312" i="1"/>
  <c r="AB312" i="1"/>
  <c r="AC312" i="1"/>
  <c r="AD312" i="1"/>
  <c r="K312" i="1" a="1"/>
  <c r="K312" i="1" s="1"/>
  <c r="A312" i="1" a="1"/>
  <c r="A312" i="1" s="1"/>
  <c r="AE311" i="1" a="1"/>
  <c r="AE311" i="1" s="1"/>
  <c r="U311" i="1" a="1"/>
  <c r="U311" i="1" s="1"/>
  <c r="K311" i="1" a="1"/>
  <c r="K311" i="1" s="1"/>
  <c r="M311" i="1"/>
  <c r="N311" i="1"/>
  <c r="O311" i="1"/>
  <c r="A311" i="1" a="1"/>
  <c r="A311" i="1" s="1"/>
  <c r="AE310" i="1" a="1"/>
  <c r="AE310" i="1" s="1"/>
  <c r="U310" i="1" a="1"/>
  <c r="U310" i="1" s="1"/>
  <c r="Y310" i="1"/>
  <c r="AC310" i="1"/>
  <c r="K310" i="1" a="1"/>
  <c r="K310" i="1" s="1"/>
  <c r="P310" i="1"/>
  <c r="Q310" i="1"/>
  <c r="R310" i="1"/>
  <c r="A310" i="1" a="1"/>
  <c r="A310" i="1" s="1"/>
  <c r="AE309" i="1" a="1"/>
  <c r="AE309" i="1" s="1"/>
  <c r="U309" i="1" a="1"/>
  <c r="U309" i="1" s="1"/>
  <c r="K309" i="1" a="1"/>
  <c r="K309" i="1" s="1"/>
  <c r="A309" i="1" a="1"/>
  <c r="A309" i="1" s="1"/>
  <c r="AE308" i="1" a="1"/>
  <c r="AE308" i="1" s="1"/>
  <c r="U308" i="1" a="1"/>
  <c r="U308" i="1" s="1"/>
  <c r="Z308" i="1"/>
  <c r="AA308" i="1"/>
  <c r="K308" i="1" a="1"/>
  <c r="K308" i="1" s="1"/>
  <c r="A308" i="1" a="1"/>
  <c r="A308" i="1" s="1"/>
  <c r="D308" i="1"/>
  <c r="E308" i="1"/>
  <c r="G308" i="1"/>
  <c r="AE307" i="1" a="1"/>
  <c r="AE307" i="1" s="1"/>
  <c r="U307" i="1" a="1"/>
  <c r="U307" i="1" s="1"/>
  <c r="Y307" i="1"/>
  <c r="AC307" i="1"/>
  <c r="K307" i="1" a="1"/>
  <c r="K307" i="1" s="1"/>
  <c r="O307" i="1"/>
  <c r="P307" i="1"/>
  <c r="Q307" i="1"/>
  <c r="A307" i="1" a="1"/>
  <c r="A307" i="1" s="1"/>
  <c r="AE306" i="1" a="1"/>
  <c r="AE306" i="1" s="1"/>
  <c r="U306" i="1" a="1"/>
  <c r="U306" i="1" s="1"/>
  <c r="K306" i="1" a="1"/>
  <c r="K306" i="1" s="1"/>
  <c r="R306" i="1"/>
  <c r="S306" i="1"/>
  <c r="T306" i="1"/>
  <c r="A306" i="1" a="1"/>
  <c r="A306" i="1" s="1"/>
  <c r="I306" i="1"/>
  <c r="AE305" i="1" a="1"/>
  <c r="AE305" i="1" s="1"/>
  <c r="U305" i="1" a="1"/>
  <c r="U305" i="1" s="1"/>
  <c r="X305" i="1"/>
  <c r="Y305" i="1"/>
  <c r="K305" i="1" a="1"/>
  <c r="K305" i="1" s="1"/>
  <c r="A305" i="1" a="1"/>
  <c r="A305" i="1" s="1"/>
  <c r="E305" i="1"/>
  <c r="AE304" i="1" a="1"/>
  <c r="AE304" i="1" s="1"/>
  <c r="U304" i="1" a="1"/>
  <c r="U304" i="1" s="1"/>
  <c r="AB304" i="1"/>
  <c r="AC304" i="1"/>
  <c r="K304" i="1" a="1"/>
  <c r="K304" i="1" s="1"/>
  <c r="S304" i="1"/>
  <c r="T304" i="1"/>
  <c r="A304" i="1" a="1"/>
  <c r="A304" i="1" s="1"/>
  <c r="AE303" i="1" a="1"/>
  <c r="AE303" i="1" s="1"/>
  <c r="U303" i="1" a="1"/>
  <c r="U303" i="1" s="1"/>
  <c r="W303" i="1"/>
  <c r="AA303" i="1"/>
  <c r="AB303" i="1"/>
  <c r="AC303" i="1"/>
  <c r="AD303" i="1"/>
  <c r="K303" i="1" a="1"/>
  <c r="K303" i="1" s="1"/>
  <c r="S303" i="1"/>
  <c r="A303" i="1" a="1"/>
  <c r="A303" i="1" s="1"/>
  <c r="H303" i="1"/>
  <c r="I303" i="1"/>
  <c r="J303" i="1"/>
  <c r="AE302" i="1" a="1"/>
  <c r="AE302" i="1" s="1"/>
  <c r="U302" i="1" a="1"/>
  <c r="U302" i="1" s="1"/>
  <c r="AB302" i="1"/>
  <c r="AC302" i="1"/>
  <c r="K302" i="1" a="1"/>
  <c r="K302" i="1" s="1"/>
  <c r="S302" i="1"/>
  <c r="A302" i="1" a="1"/>
  <c r="A302" i="1" s="1"/>
  <c r="AE301" i="1" a="1"/>
  <c r="AE301" i="1" s="1"/>
  <c r="U301" i="1" a="1"/>
  <c r="U301" i="1" s="1"/>
  <c r="Y301" i="1"/>
  <c r="Z301" i="1"/>
  <c r="AA301" i="1"/>
  <c r="K301" i="1" a="1"/>
  <c r="K301" i="1" s="1"/>
  <c r="S301" i="1"/>
  <c r="A301" i="1" a="1"/>
  <c r="A301" i="1" s="1"/>
  <c r="G301" i="1"/>
  <c r="AE300" i="1" a="1"/>
  <c r="AE300" i="1" s="1"/>
  <c r="U300" i="1" a="1"/>
  <c r="U300" i="1" s="1"/>
  <c r="X300" i="1"/>
  <c r="AD300" i="1"/>
  <c r="K300" i="1" a="1"/>
  <c r="K300" i="1" s="1"/>
  <c r="P300" i="1"/>
  <c r="Q300" i="1"/>
  <c r="A300" i="1" a="1"/>
  <c r="A300" i="1" s="1"/>
  <c r="F300" i="1"/>
  <c r="AE299" i="1" a="1"/>
  <c r="AE299" i="1" s="1"/>
  <c r="U299" i="1" a="1"/>
  <c r="U299" i="1" s="1"/>
  <c r="X299" i="1"/>
  <c r="Y299" i="1"/>
  <c r="Z299" i="1"/>
  <c r="AD299" i="1"/>
  <c r="K299" i="1" a="1"/>
  <c r="K299" i="1" s="1"/>
  <c r="Q299" i="1"/>
  <c r="R299" i="1"/>
  <c r="S299" i="1"/>
  <c r="T299" i="1"/>
  <c r="A299" i="1" a="1"/>
  <c r="A299" i="1" s="1"/>
  <c r="I299" i="1"/>
  <c r="AE298" i="1" a="1"/>
  <c r="AE298" i="1" s="1"/>
  <c r="U298" i="1" a="1"/>
  <c r="U298" i="1" s="1"/>
  <c r="K298" i="1" a="1"/>
  <c r="K298" i="1" s="1"/>
  <c r="A298" i="1" a="1"/>
  <c r="A298" i="1" s="1"/>
  <c r="E298" i="1"/>
  <c r="F298" i="1"/>
  <c r="G298" i="1"/>
  <c r="H298" i="1"/>
  <c r="J298" i="1"/>
  <c r="AE297" i="1" a="1"/>
  <c r="AE297" i="1" s="1"/>
  <c r="U297" i="1" a="1"/>
  <c r="U297" i="1" s="1"/>
  <c r="AB297" i="1"/>
  <c r="K297" i="1" a="1"/>
  <c r="K297" i="1" s="1"/>
  <c r="A297" i="1" a="1"/>
  <c r="A297" i="1" s="1"/>
  <c r="AE296" i="1" a="1"/>
  <c r="AE296" i="1" s="1"/>
  <c r="U296" i="1" a="1"/>
  <c r="U296" i="1" s="1"/>
  <c r="K296" i="1" a="1"/>
  <c r="K296" i="1" s="1"/>
  <c r="R296" i="1"/>
  <c r="S296" i="1"/>
  <c r="T296" i="1"/>
  <c r="A296" i="1" a="1"/>
  <c r="A296" i="1" s="1"/>
  <c r="AE295" i="1" a="1"/>
  <c r="AE295" i="1" s="1"/>
  <c r="U295" i="1" a="1"/>
  <c r="U295" i="1" s="1"/>
  <c r="K295" i="1" a="1"/>
  <c r="K295" i="1" s="1"/>
  <c r="Q295" i="1"/>
  <c r="R295" i="1"/>
  <c r="S295" i="1"/>
  <c r="T295" i="1"/>
  <c r="A295" i="1" a="1"/>
  <c r="A295" i="1" s="1"/>
  <c r="AE294" i="1" a="1"/>
  <c r="AE294" i="1" s="1"/>
  <c r="U294" i="1" a="1"/>
  <c r="U294" i="1" s="1"/>
  <c r="X294" i="1"/>
  <c r="Y294" i="1"/>
  <c r="Z294" i="1"/>
  <c r="AA294" i="1"/>
  <c r="AB294" i="1"/>
  <c r="K294" i="1" a="1"/>
  <c r="K294" i="1" s="1"/>
  <c r="O294" i="1"/>
  <c r="Q294" i="1"/>
  <c r="R294" i="1"/>
  <c r="T294" i="1"/>
  <c r="A294" i="1" a="1"/>
  <c r="A294" i="1" s="1"/>
  <c r="G294" i="1"/>
  <c r="I294" i="1"/>
  <c r="AE293" i="1" a="1"/>
  <c r="AE293" i="1" s="1"/>
  <c r="U293" i="1" a="1"/>
  <c r="U293" i="1" s="1"/>
  <c r="X293" i="1"/>
  <c r="Y293" i="1"/>
  <c r="Z293" i="1"/>
  <c r="AA293" i="1"/>
  <c r="AB293" i="1"/>
  <c r="K293" i="1" a="1"/>
  <c r="K293" i="1" s="1"/>
  <c r="Q293" i="1"/>
  <c r="S293" i="1"/>
  <c r="T293" i="1"/>
  <c r="A293" i="1" a="1"/>
  <c r="A293" i="1" s="1"/>
  <c r="F293" i="1"/>
  <c r="G293" i="1"/>
  <c r="J293" i="1"/>
  <c r="AE292" i="1" a="1"/>
  <c r="AE292" i="1" s="1"/>
  <c r="U292" i="1" a="1"/>
  <c r="U292" i="1" s="1"/>
  <c r="K292" i="1" a="1"/>
  <c r="K292" i="1" s="1"/>
  <c r="Q292" i="1"/>
  <c r="T292" i="1"/>
  <c r="A292" i="1" a="1"/>
  <c r="A292" i="1" s="1"/>
  <c r="I292" i="1"/>
  <c r="AE291" i="1" a="1"/>
  <c r="AE291" i="1" s="1"/>
  <c r="U291" i="1" a="1"/>
  <c r="U291" i="1" s="1"/>
  <c r="W291" i="1"/>
  <c r="Y291" i="1"/>
  <c r="K291" i="1" a="1"/>
  <c r="K291" i="1" s="1"/>
  <c r="R291" i="1"/>
  <c r="S291" i="1"/>
  <c r="T291" i="1"/>
  <c r="A291" i="1" a="1"/>
  <c r="A291" i="1" s="1"/>
  <c r="I291" i="1"/>
  <c r="AE290" i="1" a="1"/>
  <c r="AE290" i="1" s="1"/>
  <c r="U290" i="1" a="1"/>
  <c r="U290" i="1" s="1"/>
  <c r="W290" i="1"/>
  <c r="X290" i="1"/>
  <c r="Y290" i="1"/>
  <c r="K290" i="1" a="1"/>
  <c r="K290" i="1" s="1"/>
  <c r="A290" i="1" a="1"/>
  <c r="A290" i="1" s="1"/>
  <c r="AE289" i="1" a="1"/>
  <c r="AE289" i="1" s="1"/>
  <c r="AG289" i="1"/>
  <c r="AH289" i="1"/>
  <c r="U289" i="1" a="1"/>
  <c r="U289" i="1" s="1"/>
  <c r="Y289" i="1"/>
  <c r="K289" i="1" a="1"/>
  <c r="K289" i="1" s="1"/>
  <c r="A289" i="1" a="1"/>
  <c r="A289" i="1" s="1"/>
  <c r="AE288" i="1" a="1"/>
  <c r="AE288" i="1" s="1"/>
  <c r="U288" i="1" a="1"/>
  <c r="U288" i="1" s="1"/>
  <c r="AB288" i="1"/>
  <c r="AC288" i="1"/>
  <c r="AD288" i="1"/>
  <c r="K288" i="1" a="1"/>
  <c r="K288" i="1" s="1"/>
  <c r="Q288" i="1"/>
  <c r="A288" i="1" a="1"/>
  <c r="A288" i="1" s="1"/>
  <c r="I288" i="1"/>
  <c r="AE287" i="1" a="1"/>
  <c r="AE287" i="1" s="1"/>
  <c r="U287" i="1" a="1"/>
  <c r="U287" i="1" s="1"/>
  <c r="AB287" i="1"/>
  <c r="AD287" i="1"/>
  <c r="K287" i="1" a="1"/>
  <c r="K287" i="1" s="1"/>
  <c r="S287" i="1"/>
  <c r="A287" i="1" a="1"/>
  <c r="A287" i="1" s="1"/>
  <c r="AE286" i="1" a="1"/>
  <c r="AE286" i="1" s="1"/>
  <c r="U286" i="1" a="1"/>
  <c r="U286" i="1" s="1"/>
  <c r="AA286" i="1"/>
  <c r="AB286" i="1"/>
  <c r="K286" i="1" a="1"/>
  <c r="K286" i="1" s="1"/>
  <c r="R286" i="1"/>
  <c r="T286" i="1"/>
  <c r="A286" i="1" a="1"/>
  <c r="A286" i="1" s="1"/>
  <c r="I286" i="1"/>
  <c r="AE285" i="1" a="1"/>
  <c r="AE285" i="1" s="1"/>
  <c r="U285" i="1" a="1"/>
  <c r="U285" i="1" s="1"/>
  <c r="X285" i="1"/>
  <c r="Z285" i="1"/>
  <c r="AA285" i="1"/>
  <c r="AC285" i="1"/>
  <c r="K285" i="1" a="1"/>
  <c r="K285" i="1" s="1"/>
  <c r="Q285" i="1"/>
  <c r="R285" i="1"/>
  <c r="S285" i="1"/>
  <c r="T285" i="1"/>
  <c r="A285" i="1" a="1"/>
  <c r="A285" i="1" s="1"/>
  <c r="H285" i="1"/>
  <c r="I285" i="1"/>
  <c r="AE284" i="1" a="1"/>
  <c r="AE284" i="1" s="1"/>
  <c r="U284" i="1" a="1"/>
  <c r="U284" i="1" s="1"/>
  <c r="X284" i="1"/>
  <c r="AC284" i="1"/>
  <c r="K284" i="1" a="1"/>
  <c r="K284" i="1" s="1"/>
  <c r="P284" i="1"/>
  <c r="Q284" i="1"/>
  <c r="R284" i="1"/>
  <c r="S284" i="1"/>
  <c r="A284" i="1" a="1"/>
  <c r="A284" i="1" s="1"/>
  <c r="D284" i="1"/>
  <c r="E284" i="1"/>
  <c r="G284" i="1"/>
  <c r="J284" i="1"/>
  <c r="AE283" i="1" a="1"/>
  <c r="AE283" i="1" s="1"/>
  <c r="U283" i="1" a="1"/>
  <c r="U283" i="1" s="1"/>
  <c r="Y283" i="1"/>
  <c r="AD283" i="1"/>
  <c r="K283" i="1" a="1"/>
  <c r="K283" i="1" s="1"/>
  <c r="R283" i="1"/>
  <c r="T283" i="1"/>
  <c r="A283" i="1" a="1"/>
  <c r="A283" i="1" s="1"/>
  <c r="AE282" i="1" a="1"/>
  <c r="AE282" i="1" s="1"/>
  <c r="U282" i="1" a="1"/>
  <c r="U282" i="1" s="1"/>
  <c r="K282" i="1" a="1"/>
  <c r="K282" i="1" s="1"/>
  <c r="Q282" i="1"/>
  <c r="T282" i="1"/>
  <c r="A282" i="1" a="1"/>
  <c r="A282" i="1" s="1"/>
  <c r="AE281" i="1" a="1"/>
  <c r="AE281" i="1" s="1"/>
  <c r="U281" i="1" a="1"/>
  <c r="U281" i="1" s="1"/>
  <c r="AC281" i="1"/>
  <c r="AD281" i="1"/>
  <c r="K281" i="1" a="1"/>
  <c r="K281" i="1" s="1"/>
  <c r="R281" i="1"/>
  <c r="S281" i="1"/>
  <c r="A281" i="1" a="1"/>
  <c r="A281" i="1" s="1"/>
  <c r="E281" i="1"/>
  <c r="G281" i="1"/>
  <c r="AE280" i="1" a="1"/>
  <c r="AE280" i="1" s="1"/>
  <c r="U280" i="1" a="1"/>
  <c r="U280" i="1" s="1"/>
  <c r="AB280" i="1"/>
  <c r="K280" i="1" a="1"/>
  <c r="K280" i="1" s="1"/>
  <c r="A280" i="1" a="1"/>
  <c r="A280" i="1" s="1"/>
  <c r="G280" i="1"/>
  <c r="H280" i="1"/>
  <c r="I280" i="1"/>
  <c r="J280" i="1"/>
  <c r="AE279" i="1" a="1"/>
  <c r="AE279" i="1" s="1"/>
  <c r="U279" i="1" a="1"/>
  <c r="U279" i="1" s="1"/>
  <c r="AB279" i="1"/>
  <c r="K279" i="1" a="1"/>
  <c r="K279" i="1" s="1"/>
  <c r="S279" i="1"/>
  <c r="T279" i="1"/>
  <c r="A279" i="1" a="1"/>
  <c r="A279" i="1" s="1"/>
  <c r="I279" i="1"/>
  <c r="AE278" i="1" a="1"/>
  <c r="AE278" i="1" s="1"/>
  <c r="U278" i="1" a="1"/>
  <c r="U278" i="1" s="1"/>
  <c r="AC278" i="1"/>
  <c r="AD278" i="1"/>
  <c r="K278" i="1" a="1"/>
  <c r="K278" i="1" s="1"/>
  <c r="R278" i="1"/>
  <c r="A278" i="1" a="1"/>
  <c r="A278" i="1" s="1"/>
  <c r="AE277" i="1" a="1"/>
  <c r="AE277" i="1" s="1"/>
  <c r="U277" i="1" a="1"/>
  <c r="U277" i="1" s="1"/>
  <c r="Y277" i="1"/>
  <c r="Z277" i="1"/>
  <c r="AA277" i="1"/>
  <c r="AB277" i="1"/>
  <c r="AC277" i="1"/>
  <c r="K277" i="1" a="1"/>
  <c r="K277" i="1" s="1"/>
  <c r="A277" i="1" a="1"/>
  <c r="A277" i="1" s="1"/>
  <c r="I277" i="1"/>
  <c r="J277" i="1"/>
  <c r="AE276" i="1" a="1"/>
  <c r="AE276" i="1" s="1"/>
  <c r="U276" i="1" a="1"/>
  <c r="U276" i="1" s="1"/>
  <c r="AC276" i="1"/>
  <c r="AD276" i="1"/>
  <c r="K276" i="1" a="1"/>
  <c r="K276" i="1" s="1"/>
  <c r="A276" i="1" a="1"/>
  <c r="A276" i="1" s="1"/>
  <c r="I276" i="1"/>
  <c r="AE275" i="1" a="1"/>
  <c r="AE275" i="1" s="1"/>
  <c r="U275" i="1" a="1"/>
  <c r="U275" i="1" s="1"/>
  <c r="X275" i="1"/>
  <c r="AA275" i="1"/>
  <c r="AC275" i="1"/>
  <c r="AD275" i="1"/>
  <c r="K275" i="1" a="1"/>
  <c r="K275" i="1" s="1"/>
  <c r="A275" i="1" a="1"/>
  <c r="A275" i="1" s="1"/>
  <c r="AE274" i="1" a="1"/>
  <c r="AE274" i="1" s="1"/>
  <c r="U274" i="1" a="1"/>
  <c r="U274" i="1" s="1"/>
  <c r="X274" i="1"/>
  <c r="Y274" i="1"/>
  <c r="Z274" i="1"/>
  <c r="K274" i="1" a="1"/>
  <c r="K274" i="1" s="1"/>
  <c r="Q274" i="1"/>
  <c r="A274" i="1" a="1"/>
  <c r="A274" i="1" s="1"/>
  <c r="AE273" i="1" a="1"/>
  <c r="AE273" i="1" s="1"/>
  <c r="U273" i="1" a="1"/>
  <c r="U273" i="1" s="1"/>
  <c r="X273" i="1"/>
  <c r="Y273" i="1"/>
  <c r="Z273" i="1"/>
  <c r="AA273" i="1"/>
  <c r="AB273" i="1"/>
  <c r="K273" i="1" a="1"/>
  <c r="K273" i="1" s="1"/>
  <c r="R273" i="1"/>
  <c r="S273" i="1"/>
  <c r="A273" i="1" a="1"/>
  <c r="A273" i="1" s="1"/>
  <c r="F273" i="1"/>
  <c r="I273" i="1"/>
  <c r="AE272" i="1" a="1"/>
  <c r="AE272" i="1" s="1"/>
  <c r="U272" i="1" a="1"/>
  <c r="U272" i="1" s="1"/>
  <c r="AD272" i="1"/>
  <c r="K272" i="1" a="1"/>
  <c r="K272" i="1" s="1"/>
  <c r="Q272" i="1"/>
  <c r="R272" i="1"/>
  <c r="A272" i="1" a="1"/>
  <c r="A272" i="1" s="1"/>
  <c r="H272" i="1"/>
  <c r="AE271" i="1" a="1"/>
  <c r="AE271" i="1" s="1"/>
  <c r="U271" i="1" a="1"/>
  <c r="U271" i="1" s="1"/>
  <c r="K271" i="1" a="1"/>
  <c r="K271" i="1" s="1"/>
  <c r="T271" i="1"/>
  <c r="A271" i="1" a="1"/>
  <c r="A271" i="1" s="1"/>
  <c r="H271" i="1"/>
  <c r="I271" i="1"/>
  <c r="AE270" i="1" a="1"/>
  <c r="AE270" i="1" s="1"/>
  <c r="U270" i="1" a="1"/>
  <c r="U270" i="1" s="1"/>
  <c r="AA270" i="1"/>
  <c r="K270" i="1" a="1"/>
  <c r="K270" i="1" s="1"/>
  <c r="A270" i="1" a="1"/>
  <c r="A270" i="1" s="1"/>
  <c r="J270" i="1"/>
  <c r="AE269" i="1" a="1"/>
  <c r="AE269" i="1" s="1"/>
  <c r="AH269" i="1"/>
  <c r="U269" i="1" a="1"/>
  <c r="U269" i="1" s="1"/>
  <c r="K269" i="1" a="1"/>
  <c r="K269" i="1" s="1"/>
  <c r="P269" i="1"/>
  <c r="A269" i="1" a="1"/>
  <c r="A269" i="1" s="1"/>
  <c r="J269" i="1"/>
  <c r="AE268" i="1" a="1"/>
  <c r="AE268" i="1" s="1"/>
  <c r="U268" i="1" a="1"/>
  <c r="U268" i="1" s="1"/>
  <c r="Y268" i="1"/>
  <c r="K268" i="1" a="1"/>
  <c r="K268" i="1" s="1"/>
  <c r="A268" i="1" a="1"/>
  <c r="A268" i="1" s="1"/>
  <c r="F268" i="1"/>
  <c r="G268" i="1"/>
  <c r="H268" i="1"/>
  <c r="AE267" i="1" a="1"/>
  <c r="AE267" i="1" s="1"/>
  <c r="U267" i="1" a="1"/>
  <c r="U267" i="1" s="1"/>
  <c r="AA267" i="1"/>
  <c r="AB267" i="1"/>
  <c r="AC267" i="1"/>
  <c r="K267" i="1" a="1"/>
  <c r="K267" i="1" s="1"/>
  <c r="R267" i="1"/>
  <c r="A267" i="1" a="1"/>
  <c r="A267" i="1" s="1"/>
  <c r="AE266" i="1" a="1"/>
  <c r="AE266" i="1" s="1"/>
  <c r="U266" i="1" a="1"/>
  <c r="U266" i="1" s="1"/>
  <c r="Y266" i="1"/>
  <c r="AA266" i="1"/>
  <c r="AB266" i="1"/>
  <c r="AC266" i="1"/>
  <c r="K266" i="1" a="1"/>
  <c r="K266" i="1" s="1"/>
  <c r="Q266" i="1"/>
  <c r="R266" i="1"/>
  <c r="S266" i="1"/>
  <c r="T266" i="1"/>
  <c r="A266" i="1" a="1"/>
  <c r="A266" i="1" s="1"/>
  <c r="C266" i="1"/>
  <c r="E266" i="1"/>
  <c r="I266" i="1"/>
  <c r="AE265" i="1" a="1"/>
  <c r="AE265" i="1" s="1"/>
  <c r="U265" i="1" a="1"/>
  <c r="U265" i="1" s="1"/>
  <c r="Y265" i="1"/>
  <c r="AD265" i="1"/>
  <c r="K265" i="1" a="1"/>
  <c r="K265" i="1" s="1"/>
  <c r="S265" i="1"/>
  <c r="T265" i="1"/>
  <c r="A265" i="1" a="1"/>
  <c r="A265" i="1" s="1"/>
  <c r="H265" i="1"/>
  <c r="AE264" i="1" a="1"/>
  <c r="AE264" i="1" s="1"/>
  <c r="AH264" i="1"/>
  <c r="U264" i="1" a="1"/>
  <c r="U264" i="1" s="1"/>
  <c r="K264" i="1" a="1"/>
  <c r="K264" i="1" s="1"/>
  <c r="T264" i="1"/>
  <c r="A264" i="1" a="1"/>
  <c r="A264" i="1" s="1"/>
  <c r="AE263" i="1" a="1"/>
  <c r="AE263" i="1" s="1"/>
  <c r="U263" i="1" a="1"/>
  <c r="U263" i="1" s="1"/>
  <c r="Y263" i="1"/>
  <c r="Z263" i="1"/>
  <c r="AD263" i="1"/>
  <c r="K263" i="1" a="1"/>
  <c r="K263" i="1" s="1"/>
  <c r="A263" i="1" a="1"/>
  <c r="A263" i="1" s="1"/>
  <c r="AE262" i="1" a="1"/>
  <c r="AE262" i="1" s="1"/>
  <c r="U262" i="1" a="1"/>
  <c r="U262" i="1" s="1"/>
  <c r="K262" i="1" a="1"/>
  <c r="K262" i="1" s="1"/>
  <c r="Q262" i="1"/>
  <c r="R262" i="1"/>
  <c r="A262" i="1" a="1"/>
  <c r="A262" i="1" s="1"/>
  <c r="AE261" i="1" a="1"/>
  <c r="AE261" i="1" s="1"/>
  <c r="AH261" i="1"/>
  <c r="U261" i="1" a="1"/>
  <c r="U261" i="1" s="1"/>
  <c r="Z261" i="1"/>
  <c r="AA261" i="1"/>
  <c r="AB261" i="1"/>
  <c r="AC261" i="1"/>
  <c r="K261" i="1" a="1"/>
  <c r="K261" i="1" s="1"/>
  <c r="A261" i="1" a="1"/>
  <c r="A261" i="1" s="1"/>
  <c r="E261" i="1"/>
  <c r="AE260" i="1" a="1"/>
  <c r="AE260" i="1" s="1"/>
  <c r="U260" i="1" a="1"/>
  <c r="U260" i="1" s="1"/>
  <c r="K260" i="1" a="1"/>
  <c r="K260" i="1" s="1"/>
  <c r="A260" i="1" a="1"/>
  <c r="A260" i="1" s="1"/>
  <c r="F260" i="1"/>
  <c r="G260" i="1"/>
  <c r="H260" i="1"/>
  <c r="J260" i="1"/>
  <c r="AE259" i="1" a="1"/>
  <c r="AE259" i="1" s="1"/>
  <c r="U259" i="1" a="1"/>
  <c r="U259" i="1" s="1"/>
  <c r="K259" i="1" a="1"/>
  <c r="K259" i="1" s="1"/>
  <c r="R259" i="1"/>
  <c r="S259" i="1"/>
  <c r="T259" i="1"/>
  <c r="A259" i="1" a="1"/>
  <c r="A259" i="1" s="1"/>
  <c r="AE258" i="1" a="1"/>
  <c r="AE258" i="1" s="1"/>
  <c r="U258" i="1" a="1"/>
  <c r="U258" i="1" s="1"/>
  <c r="K258" i="1" a="1"/>
  <c r="K258" i="1" s="1"/>
  <c r="A258" i="1" a="1"/>
  <c r="A258" i="1" s="1"/>
  <c r="J258" i="1"/>
  <c r="AE257" i="1" a="1"/>
  <c r="AE257" i="1" s="1"/>
  <c r="U257" i="1" a="1"/>
  <c r="U257" i="1" s="1"/>
  <c r="AB257" i="1"/>
  <c r="AC257" i="1"/>
  <c r="K257" i="1" a="1"/>
  <c r="K257" i="1" s="1"/>
  <c r="R257" i="1"/>
  <c r="S257" i="1"/>
  <c r="T257" i="1"/>
  <c r="A257" i="1" a="1"/>
  <c r="A257" i="1" s="1"/>
  <c r="F257" i="1"/>
  <c r="H257" i="1"/>
  <c r="AE256" i="1" a="1"/>
  <c r="AE256" i="1" s="1"/>
  <c r="U256" i="1" a="1"/>
  <c r="U256" i="1" s="1"/>
  <c r="AC256" i="1"/>
  <c r="AD256" i="1"/>
  <c r="K256" i="1" a="1"/>
  <c r="K256" i="1" s="1"/>
  <c r="A256" i="1" a="1"/>
  <c r="A256" i="1" s="1"/>
  <c r="H256" i="1"/>
  <c r="I256" i="1"/>
  <c r="AE255" i="1" a="1"/>
  <c r="AE255" i="1" s="1"/>
  <c r="U255" i="1" a="1"/>
  <c r="U255" i="1" s="1"/>
  <c r="W255" i="1"/>
  <c r="K255" i="1" a="1"/>
  <c r="K255" i="1" s="1"/>
  <c r="R255" i="1"/>
  <c r="S255" i="1"/>
  <c r="T255" i="1"/>
  <c r="A255" i="1" a="1"/>
  <c r="A255" i="1" s="1"/>
  <c r="I255" i="1"/>
  <c r="J255" i="1"/>
  <c r="AE254" i="1" a="1"/>
  <c r="AE254" i="1" s="1"/>
  <c r="U254" i="1" a="1"/>
  <c r="U254" i="1" s="1"/>
  <c r="Y254" i="1"/>
  <c r="Z254" i="1"/>
  <c r="AB254" i="1"/>
  <c r="AC254" i="1"/>
  <c r="K254" i="1" a="1"/>
  <c r="K254" i="1" s="1"/>
  <c r="O254" i="1"/>
  <c r="P254" i="1"/>
  <c r="S254" i="1"/>
  <c r="T254" i="1"/>
  <c r="A254" i="1" a="1"/>
  <c r="A254" i="1" s="1"/>
  <c r="AE253" i="1" a="1"/>
  <c r="AE253" i="1" s="1"/>
  <c r="U253" i="1" a="1"/>
  <c r="U253" i="1" s="1"/>
  <c r="Z253" i="1"/>
  <c r="AA253" i="1"/>
  <c r="K253" i="1" a="1"/>
  <c r="K253" i="1" s="1"/>
  <c r="A253" i="1" a="1"/>
  <c r="A253" i="1" s="1"/>
  <c r="AE252" i="1" a="1"/>
  <c r="AE252" i="1" s="1"/>
  <c r="U252" i="1" a="1"/>
  <c r="U252" i="1" s="1"/>
  <c r="W252" i="1"/>
  <c r="AC252" i="1"/>
  <c r="AD252" i="1"/>
  <c r="K252" i="1" a="1"/>
  <c r="K252" i="1" s="1"/>
  <c r="Q252" i="1"/>
  <c r="S252" i="1"/>
  <c r="T252" i="1"/>
  <c r="A252" i="1" a="1"/>
  <c r="A252" i="1" s="1"/>
  <c r="J252" i="1"/>
  <c r="AE251" i="1" a="1"/>
  <c r="AE251" i="1" s="1"/>
  <c r="U251" i="1" a="1"/>
  <c r="U251" i="1" s="1"/>
  <c r="Z251" i="1"/>
  <c r="AD251" i="1"/>
  <c r="K251" i="1" a="1"/>
  <c r="K251" i="1" s="1"/>
  <c r="Q251" i="1"/>
  <c r="A251" i="1" a="1"/>
  <c r="A251" i="1" s="1"/>
  <c r="E251" i="1"/>
  <c r="F251" i="1"/>
  <c r="J251" i="1"/>
  <c r="AE250" i="1" a="1"/>
  <c r="AE250" i="1" s="1"/>
  <c r="U250" i="1" a="1"/>
  <c r="U250" i="1" s="1"/>
  <c r="AD250" i="1"/>
  <c r="K250" i="1" a="1"/>
  <c r="K250" i="1" s="1"/>
  <c r="A250" i="1" a="1"/>
  <c r="A250" i="1" s="1"/>
  <c r="AE249" i="1" a="1"/>
  <c r="AE249" i="1" s="1"/>
  <c r="U249" i="1" a="1"/>
  <c r="U249" i="1" s="1"/>
  <c r="Y249" i="1"/>
  <c r="K249" i="1" a="1"/>
  <c r="K249" i="1" s="1"/>
  <c r="O249" i="1"/>
  <c r="A249" i="1" a="1"/>
  <c r="A249" i="1" s="1"/>
  <c r="G249" i="1"/>
  <c r="H249" i="1"/>
  <c r="AE248" i="1" a="1"/>
  <c r="AE248" i="1" s="1"/>
  <c r="U248" i="1" a="1"/>
  <c r="U248" i="1" s="1"/>
  <c r="AC248" i="1"/>
  <c r="AD248" i="1"/>
  <c r="K248" i="1" a="1"/>
  <c r="K248" i="1" s="1"/>
  <c r="A248" i="1" a="1"/>
  <c r="A248" i="1" s="1"/>
  <c r="D248" i="1"/>
  <c r="AE247" i="1" a="1"/>
  <c r="AE247" i="1" s="1"/>
  <c r="AG247" i="1"/>
  <c r="U247" i="1" a="1"/>
  <c r="U247" i="1" s="1"/>
  <c r="Z247" i="1"/>
  <c r="AD247" i="1"/>
  <c r="K247" i="1" a="1"/>
  <c r="K247" i="1" s="1"/>
  <c r="Q247" i="1"/>
  <c r="A247" i="1" a="1"/>
  <c r="A247" i="1" s="1"/>
  <c r="H247" i="1"/>
  <c r="I247" i="1"/>
  <c r="AE246" i="1" a="1"/>
  <c r="AE246" i="1" s="1"/>
  <c r="U246" i="1" a="1"/>
  <c r="U246" i="1" s="1"/>
  <c r="K246" i="1" a="1"/>
  <c r="K246" i="1" s="1"/>
  <c r="T246" i="1"/>
  <c r="A246" i="1" a="1"/>
  <c r="A246" i="1" s="1"/>
  <c r="AE245" i="1" a="1"/>
  <c r="AE245" i="1" s="1"/>
  <c r="U245" i="1" a="1"/>
  <c r="U245" i="1" s="1"/>
  <c r="K245" i="1" a="1"/>
  <c r="K245" i="1" s="1"/>
  <c r="A245" i="1" a="1"/>
  <c r="A245" i="1" s="1"/>
  <c r="H245" i="1"/>
  <c r="I245" i="1"/>
  <c r="J245" i="1"/>
  <c r="AE244" i="1" a="1"/>
  <c r="AE244" i="1" s="1"/>
  <c r="U244" i="1" a="1"/>
  <c r="U244" i="1" s="1"/>
  <c r="AD244" i="1"/>
  <c r="K244" i="1" a="1"/>
  <c r="K244" i="1" s="1"/>
  <c r="A244" i="1" a="1"/>
  <c r="A244" i="1" s="1"/>
  <c r="I244" i="1"/>
  <c r="J244" i="1"/>
  <c r="AE243" i="1" a="1"/>
  <c r="AE243" i="1" s="1"/>
  <c r="U243" i="1" a="1"/>
  <c r="U243" i="1" s="1"/>
  <c r="K243" i="1" a="1"/>
  <c r="K243" i="1" s="1"/>
  <c r="A243" i="1" a="1"/>
  <c r="A243" i="1" s="1"/>
  <c r="AE242" i="1" a="1"/>
  <c r="AE242" i="1" s="1"/>
  <c r="U242" i="1" a="1"/>
  <c r="U242" i="1" s="1"/>
  <c r="K242" i="1" a="1"/>
  <c r="K242" i="1" s="1"/>
  <c r="A242" i="1" a="1"/>
  <c r="A242" i="1" s="1"/>
  <c r="G242" i="1"/>
  <c r="H242" i="1"/>
  <c r="J242" i="1"/>
  <c r="AE241" i="1" a="1"/>
  <c r="AE241" i="1" s="1"/>
  <c r="U241" i="1" a="1"/>
  <c r="U241" i="1" s="1"/>
  <c r="K241" i="1" a="1"/>
  <c r="K241" i="1" s="1"/>
  <c r="T241" i="1"/>
  <c r="A241" i="1" a="1"/>
  <c r="A241" i="1" s="1"/>
  <c r="AE240" i="1" a="1"/>
  <c r="AE240" i="1" s="1"/>
  <c r="U240" i="1" a="1"/>
  <c r="U240" i="1" s="1"/>
  <c r="K240" i="1" a="1"/>
  <c r="K240" i="1" s="1"/>
  <c r="R240" i="1"/>
  <c r="A240" i="1" a="1"/>
  <c r="A240" i="1" s="1"/>
  <c r="G240" i="1"/>
  <c r="H240" i="1"/>
  <c r="I240" i="1"/>
  <c r="J240" i="1"/>
  <c r="AE239" i="1" a="1"/>
  <c r="AE239" i="1" s="1"/>
  <c r="U239" i="1" a="1"/>
  <c r="U239" i="1" s="1"/>
  <c r="AC239" i="1"/>
  <c r="AD239" i="1"/>
  <c r="K239" i="1" a="1"/>
  <c r="K239" i="1" s="1"/>
  <c r="A239" i="1" a="1"/>
  <c r="A239" i="1" s="1"/>
  <c r="I239" i="1"/>
  <c r="J239" i="1"/>
  <c r="AE238" i="1" a="1"/>
  <c r="AE238" i="1" s="1"/>
  <c r="U238" i="1" a="1"/>
  <c r="U238" i="1" s="1"/>
  <c r="X238" i="1"/>
  <c r="Y238" i="1"/>
  <c r="Z238" i="1"/>
  <c r="AA238" i="1"/>
  <c r="AB238" i="1"/>
  <c r="AD238" i="1"/>
  <c r="K238" i="1" a="1"/>
  <c r="K238" i="1" s="1"/>
  <c r="T238" i="1"/>
  <c r="A238" i="1" a="1"/>
  <c r="A238" i="1" s="1"/>
  <c r="AE237" i="1" a="1"/>
  <c r="AE237" i="1" s="1"/>
  <c r="U237" i="1" a="1"/>
  <c r="U237" i="1" s="1"/>
  <c r="K237" i="1" a="1"/>
  <c r="K237" i="1" s="1"/>
  <c r="A237" i="1" a="1"/>
  <c r="A237" i="1" s="1"/>
  <c r="H237" i="1"/>
  <c r="I237" i="1"/>
  <c r="J237" i="1"/>
  <c r="AE236" i="1" a="1"/>
  <c r="AE236" i="1" s="1"/>
  <c r="U236" i="1" a="1"/>
  <c r="U236" i="1" s="1"/>
  <c r="Y236" i="1"/>
  <c r="AB236" i="1"/>
  <c r="AC236" i="1"/>
  <c r="K236" i="1" a="1"/>
  <c r="K236" i="1" s="1"/>
  <c r="T236" i="1"/>
  <c r="A236" i="1" a="1"/>
  <c r="A236" i="1" s="1"/>
  <c r="AE235" i="1" a="1"/>
  <c r="AE235" i="1" s="1"/>
  <c r="U235" i="1" a="1"/>
  <c r="U235" i="1" s="1"/>
  <c r="X235" i="1"/>
  <c r="Y235" i="1"/>
  <c r="Z235" i="1"/>
  <c r="AA235" i="1"/>
  <c r="AB235" i="1"/>
  <c r="AC235" i="1"/>
  <c r="AD235" i="1"/>
  <c r="K235" i="1" a="1"/>
  <c r="K235" i="1" s="1"/>
  <c r="S235" i="1"/>
  <c r="T235" i="1"/>
  <c r="A235" i="1" a="1"/>
  <c r="A235" i="1" s="1"/>
  <c r="I235" i="1"/>
  <c r="AE234" i="1" a="1"/>
  <c r="AE234" i="1" s="1"/>
  <c r="U234" i="1" a="1"/>
  <c r="U234" i="1" s="1"/>
  <c r="K234" i="1" a="1"/>
  <c r="K234" i="1" s="1"/>
  <c r="A234" i="1" a="1"/>
  <c r="A234" i="1" s="1"/>
  <c r="D234" i="1"/>
  <c r="E234" i="1"/>
  <c r="AE233" i="1" a="1"/>
  <c r="AE233" i="1" s="1"/>
  <c r="U233" i="1" a="1"/>
  <c r="U233" i="1" s="1"/>
  <c r="K233" i="1" a="1"/>
  <c r="K233" i="1" s="1"/>
  <c r="T233" i="1"/>
  <c r="A233" i="1" a="1"/>
  <c r="A233" i="1" s="1"/>
  <c r="AE232" i="1" a="1"/>
  <c r="AE232" i="1" s="1"/>
  <c r="U232" i="1" a="1"/>
  <c r="U232" i="1" s="1"/>
  <c r="AD232" i="1"/>
  <c r="K232" i="1" a="1"/>
  <c r="K232" i="1" s="1"/>
  <c r="A232" i="1" a="1"/>
  <c r="A232" i="1" s="1"/>
  <c r="E232" i="1"/>
  <c r="F232" i="1"/>
  <c r="J232" i="1"/>
  <c r="AE231" i="1" a="1"/>
  <c r="AE231" i="1" s="1"/>
  <c r="U231" i="1" a="1"/>
  <c r="U231" i="1" s="1"/>
  <c r="AD231" i="1"/>
  <c r="K231" i="1" a="1"/>
  <c r="K231" i="1" s="1"/>
  <c r="A231" i="1" a="1"/>
  <c r="A231" i="1" s="1"/>
  <c r="AE230" i="1" a="1"/>
  <c r="AE230" i="1" s="1"/>
  <c r="U230" i="1" a="1"/>
  <c r="U230" i="1" s="1"/>
  <c r="K230" i="1" a="1"/>
  <c r="K230" i="1" s="1"/>
  <c r="P230" i="1"/>
  <c r="A230" i="1" a="1"/>
  <c r="A230" i="1" s="1"/>
  <c r="I230" i="1"/>
  <c r="J230" i="1"/>
  <c r="AE229" i="1" a="1"/>
  <c r="AE229" i="1" s="1"/>
  <c r="U229" i="1" a="1"/>
  <c r="U229" i="1" s="1"/>
  <c r="Y229" i="1"/>
  <c r="Z229" i="1"/>
  <c r="AC229" i="1"/>
  <c r="AD229" i="1"/>
  <c r="K229" i="1" a="1"/>
  <c r="K229" i="1" s="1"/>
  <c r="S229" i="1"/>
  <c r="T229" i="1"/>
  <c r="A229" i="1" a="1"/>
  <c r="A229" i="1" s="1"/>
  <c r="E229" i="1"/>
  <c r="F229" i="1"/>
  <c r="H229" i="1"/>
  <c r="AE228" i="1" a="1"/>
  <c r="AE228" i="1" s="1"/>
  <c r="U228" i="1" a="1"/>
  <c r="U228" i="1" s="1"/>
  <c r="X228" i="1"/>
  <c r="Y228" i="1"/>
  <c r="Z228" i="1"/>
  <c r="AA228" i="1"/>
  <c r="AB228" i="1"/>
  <c r="AC228" i="1"/>
  <c r="AD228" i="1"/>
  <c r="K228" i="1" a="1"/>
  <c r="K228" i="1" s="1"/>
  <c r="O228" i="1"/>
  <c r="P228" i="1"/>
  <c r="T228" i="1"/>
  <c r="A228" i="1" a="1"/>
  <c r="A228" i="1" s="1"/>
  <c r="AE227" i="1" a="1"/>
  <c r="AE227" i="1" s="1"/>
  <c r="U227" i="1" a="1"/>
  <c r="U227" i="1" s="1"/>
  <c r="W227" i="1"/>
  <c r="X227" i="1"/>
  <c r="Y227" i="1"/>
  <c r="Z227" i="1"/>
  <c r="AA227" i="1"/>
  <c r="AB227" i="1"/>
  <c r="K227" i="1" a="1"/>
  <c r="K227" i="1" s="1"/>
  <c r="Q227" i="1"/>
  <c r="A227" i="1" a="1"/>
  <c r="A227" i="1" s="1"/>
  <c r="B227" i="1"/>
  <c r="AE226" i="1" a="1"/>
  <c r="AE226" i="1" s="1"/>
  <c r="AH226" i="1"/>
  <c r="U226" i="1" a="1"/>
  <c r="U226" i="1" s="1"/>
  <c r="W226" i="1"/>
  <c r="X226" i="1"/>
  <c r="Y226" i="1"/>
  <c r="Z226" i="1"/>
  <c r="AA226" i="1"/>
  <c r="AB226" i="1"/>
  <c r="K226" i="1" a="1"/>
  <c r="K226" i="1" s="1"/>
  <c r="Q226" i="1"/>
  <c r="A226" i="1" a="1"/>
  <c r="A226" i="1" s="1"/>
  <c r="AE225" i="1" a="1"/>
  <c r="AE225" i="1" s="1"/>
  <c r="U225" i="1" a="1"/>
  <c r="U225" i="1" s="1"/>
  <c r="W225" i="1"/>
  <c r="X225" i="1"/>
  <c r="Y225" i="1"/>
  <c r="Z225" i="1"/>
  <c r="AA225" i="1"/>
  <c r="AB225" i="1"/>
  <c r="AC225" i="1"/>
  <c r="AD225" i="1"/>
  <c r="K225" i="1" a="1"/>
  <c r="K225" i="1" s="1"/>
  <c r="Q225" i="1"/>
  <c r="R225" i="1"/>
  <c r="A225" i="1" a="1"/>
  <c r="A225" i="1" s="1"/>
  <c r="G225" i="1"/>
  <c r="H225" i="1"/>
  <c r="J225" i="1"/>
  <c r="AE224" i="1" a="1"/>
  <c r="AE224" i="1" s="1"/>
  <c r="U224" i="1" a="1"/>
  <c r="U224" i="1" s="1"/>
  <c r="Z224" i="1"/>
  <c r="AA224" i="1"/>
  <c r="AB224" i="1"/>
  <c r="AC224" i="1"/>
  <c r="AD224" i="1"/>
  <c r="K224" i="1" a="1"/>
  <c r="K224" i="1" s="1"/>
  <c r="A224" i="1" a="1"/>
  <c r="A224" i="1" s="1"/>
  <c r="I224" i="1"/>
  <c r="AE223" i="1" a="1"/>
  <c r="AE223" i="1" s="1"/>
  <c r="U223" i="1" a="1"/>
  <c r="U223" i="1" s="1"/>
  <c r="X223" i="1"/>
  <c r="Y223" i="1"/>
  <c r="AA223" i="1"/>
  <c r="AB223" i="1"/>
  <c r="K223" i="1" a="1"/>
  <c r="K223" i="1" s="1"/>
  <c r="R223" i="1"/>
  <c r="S223" i="1"/>
  <c r="T223" i="1"/>
  <c r="A223" i="1" a="1"/>
  <c r="A223" i="1" s="1"/>
  <c r="AE222" i="1" a="1"/>
  <c r="AE222" i="1" s="1"/>
  <c r="U222" i="1" a="1"/>
  <c r="U222" i="1" s="1"/>
  <c r="X222" i="1"/>
  <c r="K222" i="1" a="1"/>
  <c r="K222" i="1" s="1"/>
  <c r="P222" i="1"/>
  <c r="A222" i="1" a="1"/>
  <c r="A222" i="1" s="1"/>
  <c r="H222" i="1"/>
  <c r="I222" i="1"/>
  <c r="J222" i="1"/>
  <c r="AE221" i="1" a="1"/>
  <c r="AE221" i="1" s="1"/>
  <c r="U221" i="1" a="1"/>
  <c r="U221" i="1" s="1"/>
  <c r="K221" i="1" a="1"/>
  <c r="K221" i="1" s="1"/>
  <c r="Q221" i="1"/>
  <c r="R221" i="1"/>
  <c r="A221" i="1" a="1"/>
  <c r="A221" i="1" s="1"/>
  <c r="E221" i="1"/>
  <c r="F221" i="1"/>
  <c r="H221" i="1"/>
  <c r="I221" i="1"/>
  <c r="AE220" i="1" a="1"/>
  <c r="AE220" i="1" s="1"/>
  <c r="U220" i="1" a="1"/>
  <c r="U220" i="1" s="1"/>
  <c r="AA220" i="1"/>
  <c r="AB220" i="1"/>
  <c r="AC220" i="1"/>
  <c r="AD220" i="1"/>
  <c r="K220" i="1" a="1"/>
  <c r="K220" i="1" s="1"/>
  <c r="A220" i="1" a="1"/>
  <c r="A220" i="1" s="1"/>
  <c r="H220" i="1"/>
  <c r="I220" i="1"/>
  <c r="AE219" i="1" a="1"/>
  <c r="AE219" i="1" s="1"/>
  <c r="AH219" i="1"/>
  <c r="U219" i="1" a="1"/>
  <c r="U219" i="1" s="1"/>
  <c r="K219" i="1" a="1"/>
  <c r="K219" i="1" s="1"/>
  <c r="S219" i="1"/>
  <c r="A219" i="1" a="1"/>
  <c r="A219" i="1" s="1"/>
  <c r="I219" i="1"/>
  <c r="J219" i="1"/>
  <c r="AE218" i="1" a="1"/>
  <c r="AE218" i="1" s="1"/>
  <c r="U218" i="1" a="1"/>
  <c r="U218" i="1" s="1"/>
  <c r="AD218" i="1"/>
  <c r="K218" i="1" a="1"/>
  <c r="K218" i="1" s="1"/>
  <c r="A218" i="1" a="1"/>
  <c r="A218" i="1" s="1"/>
  <c r="I218" i="1"/>
  <c r="J218" i="1"/>
  <c r="AE217" i="1" a="1"/>
  <c r="AE217" i="1" s="1"/>
  <c r="U217" i="1" a="1"/>
  <c r="U217" i="1" s="1"/>
  <c r="AA217" i="1"/>
  <c r="AB217" i="1"/>
  <c r="K217" i="1" a="1"/>
  <c r="K217" i="1" s="1"/>
  <c r="R217" i="1"/>
  <c r="S217" i="1"/>
  <c r="T217" i="1"/>
  <c r="A217" i="1" a="1"/>
  <c r="A217" i="1" s="1"/>
  <c r="AE216" i="1" a="1"/>
  <c r="AE216" i="1" s="1"/>
  <c r="U216" i="1" a="1"/>
  <c r="U216" i="1" s="1"/>
  <c r="AA216" i="1"/>
  <c r="AB216" i="1"/>
  <c r="K216" i="1" a="1"/>
  <c r="K216" i="1" s="1"/>
  <c r="O216" i="1"/>
  <c r="P216" i="1"/>
  <c r="R216" i="1"/>
  <c r="S216" i="1"/>
  <c r="A216" i="1" a="1"/>
  <c r="A216" i="1" s="1"/>
  <c r="AE215" i="1" a="1"/>
  <c r="AE215" i="1" s="1"/>
  <c r="U215" i="1" a="1"/>
  <c r="U215" i="1" s="1"/>
  <c r="Z215" i="1"/>
  <c r="AB215" i="1"/>
  <c r="AC215" i="1"/>
  <c r="AD215" i="1"/>
  <c r="K215" i="1" a="1"/>
  <c r="K215" i="1" s="1"/>
  <c r="R215" i="1"/>
  <c r="S215" i="1"/>
  <c r="A215" i="1" a="1"/>
  <c r="A215" i="1" s="1"/>
  <c r="I215" i="1"/>
  <c r="J215" i="1"/>
  <c r="AE214" i="1" a="1"/>
  <c r="AE214" i="1" s="1"/>
  <c r="U214" i="1" a="1"/>
  <c r="U214" i="1" s="1"/>
  <c r="W214" i="1"/>
  <c r="X214" i="1"/>
  <c r="Z214" i="1"/>
  <c r="AA214" i="1"/>
  <c r="K214" i="1" a="1"/>
  <c r="K214" i="1" s="1"/>
  <c r="O214" i="1"/>
  <c r="P214" i="1"/>
  <c r="Q214" i="1"/>
  <c r="R214" i="1"/>
  <c r="A214" i="1" a="1"/>
  <c r="A214" i="1" s="1"/>
  <c r="E214" i="1"/>
  <c r="F214" i="1"/>
  <c r="J214" i="1"/>
  <c r="AE213" i="1" a="1"/>
  <c r="AE213" i="1" s="1"/>
  <c r="U213" i="1" a="1"/>
  <c r="U213" i="1" s="1"/>
  <c r="AA213" i="1"/>
  <c r="AB213" i="1"/>
  <c r="K213" i="1" a="1"/>
  <c r="K213" i="1" s="1"/>
  <c r="R213" i="1"/>
  <c r="S213" i="1"/>
  <c r="T213" i="1"/>
  <c r="A213" i="1" a="1"/>
  <c r="A213" i="1" s="1"/>
  <c r="AE212" i="1" a="1"/>
  <c r="AE212" i="1" s="1"/>
  <c r="U212" i="1" a="1"/>
  <c r="U212" i="1" s="1"/>
  <c r="X212" i="1"/>
  <c r="K212" i="1" a="1"/>
  <c r="K212" i="1" s="1"/>
  <c r="A212" i="1" a="1"/>
  <c r="A212" i="1" s="1"/>
  <c r="H212" i="1"/>
  <c r="I212" i="1"/>
  <c r="J212" i="1"/>
  <c r="AE211" i="1" a="1"/>
  <c r="AE211" i="1" s="1"/>
  <c r="U211" i="1" a="1"/>
  <c r="U211" i="1" s="1"/>
  <c r="Z211" i="1"/>
  <c r="AA211" i="1"/>
  <c r="K211" i="1" a="1"/>
  <c r="K211" i="1" s="1"/>
  <c r="A211" i="1" a="1"/>
  <c r="A211" i="1" s="1"/>
  <c r="AE210" i="1" a="1"/>
  <c r="AE210" i="1" s="1"/>
  <c r="AH210" i="1"/>
  <c r="U210" i="1" a="1"/>
  <c r="U210" i="1" s="1"/>
  <c r="X210" i="1"/>
  <c r="Y210" i="1"/>
  <c r="Z210" i="1"/>
  <c r="AA210" i="1"/>
  <c r="AB210" i="1"/>
  <c r="AC210" i="1"/>
  <c r="K210" i="1" a="1"/>
  <c r="K210" i="1" s="1"/>
  <c r="Q210" i="1"/>
  <c r="R210" i="1"/>
  <c r="A210" i="1" a="1"/>
  <c r="A210" i="1" s="1"/>
  <c r="H210" i="1"/>
  <c r="I210" i="1"/>
  <c r="AE209" i="1" a="1"/>
  <c r="AE209" i="1" s="1"/>
  <c r="U209" i="1" a="1"/>
  <c r="U209" i="1" s="1"/>
  <c r="K209" i="1" a="1"/>
  <c r="K209" i="1" s="1"/>
  <c r="Q209" i="1"/>
  <c r="S209" i="1"/>
  <c r="A209" i="1" a="1"/>
  <c r="A209" i="1" s="1"/>
  <c r="AE208" i="1" a="1"/>
  <c r="AE208" i="1" s="1"/>
  <c r="U208" i="1" a="1"/>
  <c r="U208" i="1" s="1"/>
  <c r="X208" i="1"/>
  <c r="Y208" i="1"/>
  <c r="Z208" i="1"/>
  <c r="AC208" i="1"/>
  <c r="AD208" i="1"/>
  <c r="K208" i="1" a="1"/>
  <c r="K208" i="1" s="1"/>
  <c r="A208" i="1" a="1"/>
  <c r="A208" i="1" s="1"/>
  <c r="AE207" i="1" a="1"/>
  <c r="AE207" i="1" s="1"/>
  <c r="U207" i="1" a="1"/>
  <c r="U207" i="1" s="1"/>
  <c r="AD207" i="1"/>
  <c r="K207" i="1" a="1"/>
  <c r="K207" i="1" s="1"/>
  <c r="T207" i="1"/>
  <c r="A207" i="1" a="1"/>
  <c r="A207" i="1" s="1"/>
  <c r="AE206" i="1" a="1"/>
  <c r="AE206" i="1" s="1"/>
  <c r="U206" i="1" a="1"/>
  <c r="U206" i="1" s="1"/>
  <c r="AD206" i="1"/>
  <c r="K206" i="1" a="1"/>
  <c r="K206" i="1" s="1"/>
  <c r="R206" i="1"/>
  <c r="S206" i="1"/>
  <c r="A206" i="1" a="1"/>
  <c r="A206" i="1" s="1"/>
  <c r="I206" i="1"/>
  <c r="J206" i="1"/>
  <c r="AE205" i="1" a="1"/>
  <c r="AE205" i="1" s="1"/>
  <c r="U205" i="1" a="1"/>
  <c r="U205" i="1" s="1"/>
  <c r="Z205" i="1"/>
  <c r="AA205" i="1"/>
  <c r="AC205" i="1"/>
  <c r="AD205" i="1"/>
  <c r="K205" i="1" a="1"/>
  <c r="K205" i="1" s="1"/>
  <c r="R205" i="1"/>
  <c r="A205" i="1" a="1"/>
  <c r="A205" i="1" s="1"/>
  <c r="G205" i="1"/>
  <c r="H205" i="1"/>
  <c r="I205" i="1"/>
  <c r="J205" i="1"/>
  <c r="AE204" i="1" a="1"/>
  <c r="AE204" i="1" s="1"/>
  <c r="U204" i="1" a="1"/>
  <c r="U204" i="1" s="1"/>
  <c r="AA204" i="1"/>
  <c r="AB204" i="1"/>
  <c r="K204" i="1" a="1"/>
  <c r="K204" i="1" s="1"/>
  <c r="R204" i="1"/>
  <c r="S204" i="1"/>
  <c r="A204" i="1" a="1"/>
  <c r="A204" i="1" s="1"/>
  <c r="AE203" i="1" a="1"/>
  <c r="AE203" i="1" s="1"/>
  <c r="U203" i="1" a="1"/>
  <c r="U203" i="1" s="1"/>
  <c r="K203" i="1" a="1"/>
  <c r="K203" i="1" s="1"/>
  <c r="R203" i="1"/>
  <c r="S203" i="1"/>
  <c r="T203" i="1"/>
  <c r="A203" i="1" a="1"/>
  <c r="A203" i="1" s="1"/>
  <c r="I203" i="1"/>
  <c r="J203" i="1"/>
  <c r="AE202" i="1" a="1"/>
  <c r="AE202" i="1" s="1"/>
  <c r="U202" i="1" a="1"/>
  <c r="U202" i="1" s="1"/>
  <c r="AB202" i="1"/>
  <c r="AC202" i="1"/>
  <c r="K202" i="1" a="1"/>
  <c r="K202" i="1" s="1"/>
  <c r="A202" i="1" a="1"/>
  <c r="A202" i="1" s="1"/>
  <c r="AE201" i="1" a="1"/>
  <c r="AE201" i="1" s="1"/>
  <c r="U201" i="1" a="1"/>
  <c r="U201" i="1" s="1"/>
  <c r="AA201" i="1"/>
  <c r="AB201" i="1"/>
  <c r="AC201" i="1"/>
  <c r="AD201" i="1"/>
  <c r="K201" i="1" a="1"/>
  <c r="K201" i="1" s="1"/>
  <c r="R201" i="1"/>
  <c r="S201" i="1"/>
  <c r="A201" i="1" a="1"/>
  <c r="A201" i="1" s="1"/>
  <c r="I201" i="1"/>
  <c r="J201" i="1"/>
  <c r="AE200" i="1" a="1"/>
  <c r="AE200" i="1" s="1"/>
  <c r="U200" i="1" a="1"/>
  <c r="U200" i="1" s="1"/>
  <c r="K200" i="1" a="1"/>
  <c r="K200" i="1" s="1"/>
  <c r="P200" i="1"/>
  <c r="S200" i="1"/>
  <c r="A200" i="1" a="1"/>
  <c r="A200" i="1" s="1"/>
  <c r="I200" i="1"/>
  <c r="J200" i="1"/>
  <c r="AE199" i="1" a="1"/>
  <c r="AE199" i="1" s="1"/>
  <c r="U199" i="1" a="1"/>
  <c r="U199" i="1" s="1"/>
  <c r="Y199" i="1"/>
  <c r="Z199" i="1"/>
  <c r="AB199" i="1"/>
  <c r="AC199" i="1"/>
  <c r="K199" i="1" a="1"/>
  <c r="K199" i="1" s="1"/>
  <c r="Q199" i="1"/>
  <c r="T199" i="1"/>
  <c r="A199" i="1" a="1"/>
  <c r="A199" i="1" s="1"/>
  <c r="G199" i="1"/>
  <c r="AE198" i="1" a="1"/>
  <c r="AE198" i="1" s="1"/>
  <c r="U198" i="1" a="1"/>
  <c r="U198" i="1" s="1"/>
  <c r="W198" i="1"/>
  <c r="K198" i="1" a="1"/>
  <c r="K198" i="1" s="1"/>
  <c r="T198" i="1"/>
  <c r="A198" i="1" a="1"/>
  <c r="A198" i="1" s="1"/>
  <c r="E198" i="1"/>
  <c r="AE197" i="1" a="1"/>
  <c r="AE197" i="1" s="1"/>
  <c r="U197" i="1" a="1"/>
  <c r="U197" i="1" s="1"/>
  <c r="K197" i="1" a="1"/>
  <c r="K197" i="1" s="1"/>
  <c r="S197" i="1"/>
  <c r="A197" i="1" a="1"/>
  <c r="A197" i="1" s="1"/>
  <c r="J197" i="1"/>
  <c r="AE196" i="1" a="1"/>
  <c r="AE196" i="1" s="1"/>
  <c r="U196" i="1" a="1"/>
  <c r="U196" i="1" s="1"/>
  <c r="V196" i="1"/>
  <c r="W196" i="1"/>
  <c r="X196" i="1"/>
  <c r="Y196" i="1"/>
  <c r="Z196" i="1"/>
  <c r="AA196" i="1"/>
  <c r="AB196" i="1"/>
  <c r="K196" i="1" a="1"/>
  <c r="K196" i="1" s="1"/>
  <c r="A196" i="1" a="1"/>
  <c r="A196" i="1" s="1"/>
  <c r="AE195" i="1" a="1"/>
  <c r="AE195" i="1" s="1"/>
  <c r="U195" i="1" a="1"/>
  <c r="U195" i="1" s="1"/>
  <c r="AC195" i="1"/>
  <c r="K195" i="1" a="1"/>
  <c r="K195" i="1" s="1"/>
  <c r="M195" i="1"/>
  <c r="R195" i="1"/>
  <c r="S195" i="1"/>
  <c r="A195" i="1" a="1"/>
  <c r="A195" i="1" s="1"/>
  <c r="F195" i="1"/>
  <c r="G195" i="1"/>
  <c r="I195" i="1"/>
  <c r="J195" i="1"/>
  <c r="AE194" i="1" a="1"/>
  <c r="AE194" i="1" s="1"/>
  <c r="U194" i="1" a="1"/>
  <c r="U194" i="1" s="1"/>
  <c r="AB194" i="1"/>
  <c r="AC194" i="1"/>
  <c r="AD194" i="1"/>
  <c r="K194" i="1" a="1"/>
  <c r="K194" i="1" s="1"/>
  <c r="A194" i="1" a="1"/>
  <c r="A194" i="1" s="1"/>
  <c r="J194" i="1"/>
  <c r="AE193" i="1" a="1"/>
  <c r="AE193" i="1" s="1"/>
  <c r="U193" i="1" a="1"/>
  <c r="U193" i="1" s="1"/>
  <c r="Z193" i="1"/>
  <c r="AA193" i="1"/>
  <c r="AC193" i="1"/>
  <c r="AD193" i="1"/>
  <c r="K193" i="1" a="1"/>
  <c r="K193" i="1" s="1"/>
  <c r="S193" i="1"/>
  <c r="T193" i="1"/>
  <c r="A193" i="1" a="1"/>
  <c r="A193" i="1" s="1"/>
  <c r="F193" i="1"/>
  <c r="AE192" i="1" a="1"/>
  <c r="AE192" i="1" s="1"/>
  <c r="U192" i="1" a="1"/>
  <c r="U192" i="1" s="1"/>
  <c r="K192" i="1" a="1"/>
  <c r="K192" i="1" s="1"/>
  <c r="A192" i="1" a="1"/>
  <c r="A192" i="1" s="1"/>
  <c r="G192" i="1"/>
  <c r="H192" i="1"/>
  <c r="I192" i="1"/>
  <c r="J192" i="1"/>
  <c r="AE191" i="1" a="1"/>
  <c r="AE191" i="1" s="1"/>
  <c r="U191" i="1" a="1"/>
  <c r="U191" i="1" s="1"/>
  <c r="X191" i="1"/>
  <c r="Y191" i="1"/>
  <c r="AA191" i="1"/>
  <c r="AC191" i="1"/>
  <c r="AD191" i="1"/>
  <c r="K191" i="1" a="1"/>
  <c r="K191" i="1" s="1"/>
  <c r="P191" i="1"/>
  <c r="Q191" i="1"/>
  <c r="R191" i="1"/>
  <c r="A191" i="1" a="1"/>
  <c r="A191" i="1" s="1"/>
  <c r="J191" i="1"/>
  <c r="AE190" i="1" a="1"/>
  <c r="AE190" i="1" s="1"/>
  <c r="U190" i="1" a="1"/>
  <c r="U190" i="1" s="1"/>
  <c r="AA190" i="1"/>
  <c r="AB190" i="1"/>
  <c r="K190" i="1" a="1"/>
  <c r="K190" i="1" s="1"/>
  <c r="S190" i="1"/>
  <c r="T190" i="1"/>
  <c r="A190" i="1" a="1"/>
  <c r="A190" i="1" s="1"/>
  <c r="E190" i="1"/>
  <c r="G190" i="1"/>
  <c r="H190" i="1"/>
  <c r="I190" i="1"/>
  <c r="J190" i="1"/>
  <c r="AE189" i="1" a="1"/>
  <c r="AE189" i="1" s="1"/>
  <c r="U189" i="1" a="1"/>
  <c r="U189" i="1" s="1"/>
  <c r="AD189" i="1"/>
  <c r="K189" i="1" a="1"/>
  <c r="K189" i="1" s="1"/>
  <c r="P189" i="1"/>
  <c r="A189" i="1" a="1"/>
  <c r="A189" i="1" s="1"/>
  <c r="I189" i="1"/>
  <c r="AE188" i="1" a="1"/>
  <c r="AE188" i="1" s="1"/>
  <c r="U188" i="1" a="1"/>
  <c r="U188" i="1" s="1"/>
  <c r="W188" i="1"/>
  <c r="X188" i="1"/>
  <c r="Y188" i="1"/>
  <c r="Z188" i="1"/>
  <c r="AA188" i="1"/>
  <c r="AB188" i="1"/>
  <c r="K188" i="1" a="1"/>
  <c r="K188" i="1" s="1"/>
  <c r="T188" i="1"/>
  <c r="A188" i="1" a="1"/>
  <c r="A188" i="1" s="1"/>
  <c r="I188" i="1"/>
  <c r="AE187" i="1" a="1"/>
  <c r="AE187" i="1" s="1"/>
  <c r="U187" i="1" a="1"/>
  <c r="U187" i="1" s="1"/>
  <c r="AA187" i="1"/>
  <c r="AB187" i="1"/>
  <c r="AD187" i="1"/>
  <c r="K187" i="1" a="1"/>
  <c r="K187" i="1" s="1"/>
  <c r="A187" i="1" a="1"/>
  <c r="A187" i="1" s="1"/>
  <c r="J187" i="1"/>
  <c r="AE186" i="1" a="1"/>
  <c r="AE186" i="1" s="1"/>
  <c r="U186" i="1" a="1"/>
  <c r="U186" i="1" s="1"/>
  <c r="K186" i="1" a="1"/>
  <c r="K186" i="1" s="1"/>
  <c r="T186" i="1"/>
  <c r="A186" i="1" a="1"/>
  <c r="A186" i="1" s="1"/>
  <c r="AE185" i="1" a="1"/>
  <c r="AE185" i="1" s="1"/>
  <c r="U185" i="1" a="1"/>
  <c r="U185" i="1" s="1"/>
  <c r="K185" i="1" a="1"/>
  <c r="K185" i="1" s="1"/>
  <c r="A185" i="1" a="1"/>
  <c r="A185" i="1" s="1"/>
  <c r="AE184" i="1" a="1"/>
  <c r="AE184" i="1" s="1"/>
  <c r="U184" i="1" a="1"/>
  <c r="U184" i="1" s="1"/>
  <c r="K184" i="1" a="1"/>
  <c r="K184" i="1" s="1"/>
  <c r="A184" i="1" a="1"/>
  <c r="A184" i="1" s="1"/>
  <c r="AE183" i="1" a="1"/>
  <c r="AE183" i="1" s="1"/>
  <c r="U183" i="1" a="1"/>
  <c r="U183" i="1" s="1"/>
  <c r="Y183" i="1"/>
  <c r="AD183" i="1"/>
  <c r="K183" i="1" a="1"/>
  <c r="K183" i="1" s="1"/>
  <c r="O183" i="1"/>
  <c r="P183" i="1"/>
  <c r="R183" i="1"/>
  <c r="S183" i="1"/>
  <c r="A183" i="1" a="1"/>
  <c r="A183" i="1" s="1"/>
  <c r="F183" i="1"/>
  <c r="G183" i="1"/>
  <c r="I183" i="1"/>
  <c r="J183" i="1"/>
  <c r="AE182" i="1" a="1"/>
  <c r="AE182" i="1" s="1"/>
  <c r="U182" i="1" a="1"/>
  <c r="U182" i="1" s="1"/>
  <c r="AD182" i="1"/>
  <c r="K182" i="1" a="1"/>
  <c r="K182" i="1" s="1"/>
  <c r="S182" i="1"/>
  <c r="T182" i="1"/>
  <c r="A182" i="1" a="1"/>
  <c r="A182" i="1" s="1"/>
  <c r="AE181" i="1" a="1"/>
  <c r="AE181" i="1" s="1"/>
  <c r="U181" i="1" a="1"/>
  <c r="U181" i="1" s="1"/>
  <c r="K181" i="1" a="1"/>
  <c r="K181" i="1" s="1"/>
  <c r="A181" i="1" a="1"/>
  <c r="A181" i="1" s="1"/>
  <c r="AE180" i="1" a="1"/>
  <c r="AE180" i="1" s="1"/>
  <c r="U180" i="1" a="1"/>
  <c r="U180" i="1" s="1"/>
  <c r="W180" i="1"/>
  <c r="X180" i="1"/>
  <c r="K180" i="1" a="1"/>
  <c r="K180" i="1" s="1"/>
  <c r="O180" i="1"/>
  <c r="A180" i="1" a="1"/>
  <c r="A180" i="1" s="1"/>
  <c r="F180" i="1"/>
  <c r="AE179" i="1" a="1"/>
  <c r="AE179" i="1" s="1"/>
  <c r="U179" i="1" a="1"/>
  <c r="U179" i="1" s="1"/>
  <c r="Y179" i="1"/>
  <c r="K179" i="1" a="1"/>
  <c r="K179" i="1" s="1"/>
  <c r="A179" i="1" a="1"/>
  <c r="A179" i="1" s="1"/>
  <c r="I179" i="1"/>
  <c r="AE178" i="1" a="1"/>
  <c r="AE178" i="1" s="1"/>
  <c r="U178" i="1" a="1"/>
  <c r="U178" i="1" s="1"/>
  <c r="AC178" i="1"/>
  <c r="AD178" i="1"/>
  <c r="K178" i="1" a="1"/>
  <c r="K178" i="1" s="1"/>
  <c r="A178" i="1" a="1"/>
  <c r="A178" i="1" s="1"/>
  <c r="I178" i="1"/>
  <c r="AE177" i="1" a="1"/>
  <c r="AE177" i="1" s="1"/>
  <c r="U177" i="1" a="1"/>
  <c r="U177" i="1" s="1"/>
  <c r="K177" i="1" a="1"/>
  <c r="K177" i="1" s="1"/>
  <c r="O177" i="1"/>
  <c r="Q177" i="1"/>
  <c r="R177" i="1"/>
  <c r="S177" i="1"/>
  <c r="T177" i="1"/>
  <c r="A177" i="1" a="1"/>
  <c r="A177" i="1" s="1"/>
  <c r="I177" i="1"/>
  <c r="J177" i="1"/>
  <c r="AE176" i="1" a="1"/>
  <c r="AE176" i="1" s="1"/>
  <c r="U176" i="1" a="1"/>
  <c r="U176" i="1" s="1"/>
  <c r="Y176" i="1"/>
  <c r="K176" i="1" a="1"/>
  <c r="K176" i="1" s="1"/>
  <c r="A176" i="1" a="1"/>
  <c r="A176" i="1" s="1"/>
  <c r="AE175" i="1" a="1"/>
  <c r="AE175" i="1" s="1"/>
  <c r="U175" i="1" a="1"/>
  <c r="U175" i="1" s="1"/>
  <c r="Y175" i="1"/>
  <c r="K175" i="1" a="1"/>
  <c r="K175" i="1" s="1"/>
  <c r="Q175" i="1"/>
  <c r="A175" i="1" a="1"/>
  <c r="A175" i="1" s="1"/>
  <c r="J175" i="1"/>
  <c r="AE174" i="1" a="1"/>
  <c r="AE174" i="1" s="1"/>
  <c r="U174" i="1" a="1"/>
  <c r="U174" i="1" s="1"/>
  <c r="Y174" i="1"/>
  <c r="K174" i="1" a="1"/>
  <c r="K174" i="1" s="1"/>
  <c r="A174" i="1" a="1"/>
  <c r="A174" i="1" s="1"/>
  <c r="AE173" i="1" a="1"/>
  <c r="AE173" i="1" s="1"/>
  <c r="AH173" i="1"/>
  <c r="U173" i="1" a="1"/>
  <c r="U173" i="1" s="1"/>
  <c r="K173" i="1" a="1"/>
  <c r="K173" i="1" s="1"/>
  <c r="M173" i="1"/>
  <c r="N173" i="1"/>
  <c r="O173" i="1"/>
  <c r="R173" i="1"/>
  <c r="T173" i="1"/>
  <c r="A173" i="1" a="1"/>
  <c r="A173" i="1" s="1"/>
  <c r="I173" i="1"/>
  <c r="J173" i="1"/>
  <c r="AE172" i="1" a="1"/>
  <c r="AE172" i="1" s="1"/>
  <c r="U172" i="1" a="1"/>
  <c r="U172" i="1" s="1"/>
  <c r="AA172" i="1"/>
  <c r="AB172" i="1"/>
  <c r="K172" i="1" a="1"/>
  <c r="K172" i="1" s="1"/>
  <c r="A172" i="1" a="1"/>
  <c r="A172" i="1" s="1"/>
  <c r="AE171" i="1" a="1"/>
  <c r="AE171" i="1" s="1"/>
  <c r="U171" i="1" a="1"/>
  <c r="U171" i="1" s="1"/>
  <c r="K171" i="1" a="1"/>
  <c r="K171" i="1" s="1"/>
  <c r="A171" i="1" a="1"/>
  <c r="A171" i="1" s="1"/>
  <c r="AE170" i="1" a="1"/>
  <c r="AE170" i="1" s="1"/>
  <c r="U170" i="1" a="1"/>
  <c r="U170" i="1" s="1"/>
  <c r="K170" i="1" a="1"/>
  <c r="K170" i="1" s="1"/>
  <c r="A170" i="1" a="1"/>
  <c r="A170" i="1" s="1"/>
  <c r="AE169" i="1" a="1"/>
  <c r="AE169" i="1" s="1"/>
  <c r="U169" i="1" a="1"/>
  <c r="U169" i="1" s="1"/>
  <c r="K169" i="1" a="1"/>
  <c r="K169" i="1" s="1"/>
  <c r="A169" i="1" a="1"/>
  <c r="A169" i="1" s="1"/>
  <c r="AE168" i="1" a="1"/>
  <c r="AE168" i="1" s="1"/>
  <c r="U168" i="1" a="1"/>
  <c r="U168" i="1" s="1"/>
  <c r="AA168" i="1"/>
  <c r="K168" i="1" a="1"/>
  <c r="K168" i="1" s="1"/>
  <c r="A168" i="1" a="1"/>
  <c r="A168" i="1" s="1"/>
  <c r="AE167" i="1" a="1"/>
  <c r="AE167" i="1" s="1"/>
  <c r="U167" i="1" a="1"/>
  <c r="U167" i="1" s="1"/>
  <c r="K167" i="1" a="1"/>
  <c r="K167" i="1" s="1"/>
  <c r="A167" i="1" a="1"/>
  <c r="A167" i="1" s="1"/>
  <c r="AE166" i="1" a="1"/>
  <c r="AE166" i="1" s="1"/>
  <c r="U166" i="1" a="1"/>
  <c r="U166" i="1" s="1"/>
  <c r="K166" i="1" a="1"/>
  <c r="K166" i="1" s="1"/>
  <c r="S166" i="1"/>
  <c r="A166" i="1" a="1"/>
  <c r="A166" i="1" s="1"/>
  <c r="AE165" i="1" a="1"/>
  <c r="AE165" i="1" s="1"/>
  <c r="U165" i="1" a="1"/>
  <c r="U165" i="1" s="1"/>
  <c r="K165" i="1" a="1"/>
  <c r="K165" i="1" s="1"/>
  <c r="T165" i="1"/>
  <c r="A165" i="1" a="1"/>
  <c r="A165" i="1" s="1"/>
  <c r="AE164" i="1" a="1"/>
  <c r="AE164" i="1" s="1"/>
  <c r="U164" i="1" a="1"/>
  <c r="U164" i="1" s="1"/>
  <c r="AA164" i="1"/>
  <c r="AB164" i="1"/>
  <c r="AC164" i="1"/>
  <c r="K164" i="1" a="1"/>
  <c r="K164" i="1" s="1"/>
  <c r="Q164" i="1"/>
  <c r="R164" i="1"/>
  <c r="S164" i="1"/>
  <c r="T164" i="1"/>
  <c r="A164" i="1" a="1"/>
  <c r="A164" i="1" s="1"/>
  <c r="D164" i="1"/>
  <c r="E164" i="1"/>
  <c r="F164" i="1"/>
  <c r="G164" i="1"/>
  <c r="H164" i="1"/>
  <c r="I164" i="1"/>
  <c r="AE163" i="1" a="1"/>
  <c r="AE163" i="1" s="1"/>
  <c r="U163" i="1" a="1"/>
  <c r="U163" i="1" s="1"/>
  <c r="K163" i="1" a="1"/>
  <c r="K163" i="1" s="1"/>
  <c r="Q163" i="1"/>
  <c r="A163" i="1" a="1"/>
  <c r="A163" i="1" s="1"/>
  <c r="AE162" i="1" a="1"/>
  <c r="AE162" i="1" s="1"/>
  <c r="U162" i="1" a="1"/>
  <c r="U162" i="1" s="1"/>
  <c r="K162" i="1" a="1"/>
  <c r="K162" i="1" s="1"/>
  <c r="A162" i="1" a="1"/>
  <c r="A162" i="1" s="1"/>
  <c r="AE161" i="1" a="1"/>
  <c r="AE161" i="1" s="1"/>
  <c r="U161" i="1" a="1"/>
  <c r="U161" i="1" s="1"/>
  <c r="AD161" i="1"/>
  <c r="K161" i="1" a="1"/>
  <c r="K161" i="1" s="1"/>
  <c r="A161" i="1" a="1"/>
  <c r="A161" i="1" s="1"/>
  <c r="AE160" i="1" a="1"/>
  <c r="AE160" i="1" s="1"/>
  <c r="U160" i="1" a="1"/>
  <c r="U160" i="1" s="1"/>
  <c r="X160" i="1"/>
  <c r="Y160" i="1"/>
  <c r="AA160" i="1"/>
  <c r="AD160" i="1"/>
  <c r="K160" i="1" a="1"/>
  <c r="K160" i="1" s="1"/>
  <c r="A160" i="1" a="1"/>
  <c r="A160" i="1" s="1"/>
  <c r="D160" i="1"/>
  <c r="AE159" i="1" a="1"/>
  <c r="AE159" i="1" s="1"/>
  <c r="U159" i="1" a="1"/>
  <c r="U159" i="1" s="1"/>
  <c r="K159" i="1" a="1"/>
  <c r="K159" i="1" s="1"/>
  <c r="A159" i="1" a="1"/>
  <c r="A159" i="1" s="1"/>
  <c r="AE158" i="1" a="1"/>
  <c r="AE158" i="1" s="1"/>
  <c r="U158" i="1" a="1"/>
  <c r="U158" i="1" s="1"/>
  <c r="K158" i="1" a="1"/>
  <c r="K158" i="1" s="1"/>
  <c r="A158" i="1" a="1"/>
  <c r="A158" i="1" s="1"/>
  <c r="AE157" i="1" a="1"/>
  <c r="AE157" i="1" s="1"/>
  <c r="U157" i="1" a="1"/>
  <c r="U157" i="1" s="1"/>
  <c r="K157" i="1" a="1"/>
  <c r="K157" i="1" s="1"/>
  <c r="R157" i="1"/>
  <c r="S157" i="1"/>
  <c r="T157" i="1"/>
  <c r="A157" i="1" a="1"/>
  <c r="A157" i="1" s="1"/>
  <c r="H157" i="1"/>
  <c r="J157" i="1"/>
  <c r="AE156" i="1" a="1"/>
  <c r="AE156" i="1" s="1"/>
  <c r="U156" i="1" a="1"/>
  <c r="U156" i="1" s="1"/>
  <c r="K156" i="1" a="1"/>
  <c r="K156" i="1" s="1"/>
  <c r="A156" i="1" a="1"/>
  <c r="A156" i="1" s="1"/>
  <c r="AE155" i="1" a="1"/>
  <c r="AE155" i="1" s="1"/>
  <c r="U155" i="1" a="1"/>
  <c r="U155" i="1" s="1"/>
  <c r="K155" i="1" a="1"/>
  <c r="K155" i="1" s="1"/>
  <c r="A155" i="1" a="1"/>
  <c r="A155" i="1" s="1"/>
  <c r="AE154" i="1" a="1"/>
  <c r="AE154" i="1" s="1"/>
  <c r="U154" i="1" a="1"/>
  <c r="U154" i="1" s="1"/>
  <c r="X154" i="1"/>
  <c r="K154" i="1" a="1"/>
  <c r="K154" i="1" s="1"/>
  <c r="R154" i="1"/>
  <c r="A154" i="1" a="1"/>
  <c r="A154" i="1" s="1"/>
  <c r="H154" i="1"/>
  <c r="AE153" i="1" a="1"/>
  <c r="AE153" i="1" s="1"/>
  <c r="U153" i="1" a="1"/>
  <c r="U153" i="1" s="1"/>
  <c r="X153" i="1"/>
  <c r="Y153" i="1"/>
  <c r="Z153" i="1"/>
  <c r="K153" i="1" a="1"/>
  <c r="K153" i="1" s="1"/>
  <c r="A153" i="1" a="1"/>
  <c r="A153" i="1" s="1"/>
  <c r="AE152" i="1" a="1"/>
  <c r="AE152" i="1" s="1"/>
  <c r="U152" i="1" a="1"/>
  <c r="U152" i="1" s="1"/>
  <c r="AC152" i="1"/>
  <c r="K152" i="1" a="1"/>
  <c r="K152" i="1" s="1"/>
  <c r="L152" i="1"/>
  <c r="P152" i="1"/>
  <c r="R152" i="1"/>
  <c r="S152" i="1"/>
  <c r="T152" i="1"/>
  <c r="A152" i="1" a="1"/>
  <c r="A152" i="1" s="1"/>
  <c r="H152" i="1"/>
  <c r="AE151" i="1" a="1"/>
  <c r="AE151" i="1" s="1"/>
  <c r="AH151" i="1"/>
  <c r="U151" i="1" a="1"/>
  <c r="U151" i="1" s="1"/>
  <c r="W151" i="1"/>
  <c r="X151" i="1"/>
  <c r="Y151" i="1"/>
  <c r="Z151" i="1"/>
  <c r="AA151" i="1"/>
  <c r="AC151" i="1"/>
  <c r="K151" i="1" a="1"/>
  <c r="K151" i="1" s="1"/>
  <c r="R151" i="1"/>
  <c r="S151" i="1"/>
  <c r="T151" i="1"/>
  <c r="A151" i="1" a="1"/>
  <c r="A151" i="1" s="1"/>
  <c r="AE150" i="1" a="1"/>
  <c r="AE150" i="1" s="1"/>
  <c r="U150" i="1" a="1"/>
  <c r="U150" i="1" s="1"/>
  <c r="K150" i="1" a="1"/>
  <c r="K150" i="1" s="1"/>
  <c r="S150" i="1"/>
  <c r="T150" i="1"/>
  <c r="A150" i="1" a="1"/>
  <c r="A150" i="1" s="1"/>
  <c r="AE149" i="1" a="1"/>
  <c r="AE149" i="1" s="1"/>
  <c r="U149" i="1" a="1"/>
  <c r="U149" i="1" s="1"/>
  <c r="K149" i="1" a="1"/>
  <c r="K149" i="1" s="1"/>
  <c r="A149" i="1" a="1"/>
  <c r="A149" i="1" s="1"/>
  <c r="AE148" i="1" a="1"/>
  <c r="AE148" i="1" s="1"/>
  <c r="U148" i="1" a="1"/>
  <c r="U148" i="1" s="1"/>
  <c r="K148" i="1" a="1"/>
  <c r="K148" i="1" s="1"/>
  <c r="A148" i="1" a="1"/>
  <c r="A148" i="1" s="1"/>
  <c r="AE147" i="1" a="1"/>
  <c r="AE147" i="1" s="1"/>
  <c r="U147" i="1" a="1"/>
  <c r="U147" i="1" s="1"/>
  <c r="K147" i="1" a="1"/>
  <c r="K147" i="1" s="1"/>
  <c r="A147" i="1" a="1"/>
  <c r="A147" i="1" s="1"/>
  <c r="AE146" i="1" a="1"/>
  <c r="AE146" i="1" s="1"/>
  <c r="U146" i="1" a="1"/>
  <c r="U146" i="1" s="1"/>
  <c r="AB146" i="1"/>
  <c r="AD146" i="1"/>
  <c r="K146" i="1" a="1"/>
  <c r="K146" i="1" s="1"/>
  <c r="A146" i="1" a="1"/>
  <c r="A146" i="1" s="1"/>
  <c r="AE145" i="1" a="1"/>
  <c r="AE145" i="1" s="1"/>
  <c r="U145" i="1" a="1"/>
  <c r="U145" i="1" s="1"/>
  <c r="X145" i="1"/>
  <c r="Y145" i="1"/>
  <c r="Z145" i="1"/>
  <c r="AA145" i="1"/>
  <c r="K145" i="1" a="1"/>
  <c r="K145" i="1" s="1"/>
  <c r="N145" i="1"/>
  <c r="O145" i="1"/>
  <c r="A145" i="1" a="1"/>
  <c r="A145" i="1" s="1"/>
  <c r="I145" i="1"/>
  <c r="J145" i="1"/>
  <c r="AE144" i="1" a="1"/>
  <c r="AE144" i="1" s="1"/>
  <c r="U144" i="1" a="1"/>
  <c r="U144" i="1" s="1"/>
  <c r="K144" i="1" a="1"/>
  <c r="K144" i="1" s="1"/>
  <c r="O144" i="1"/>
  <c r="S144" i="1"/>
  <c r="T144" i="1"/>
  <c r="A144" i="1" a="1"/>
  <c r="A144" i="1" s="1"/>
  <c r="I144" i="1"/>
  <c r="AE143" i="1" a="1"/>
  <c r="AE143" i="1" s="1"/>
  <c r="U143" i="1" a="1"/>
  <c r="U143" i="1" s="1"/>
  <c r="Y143" i="1"/>
  <c r="AB143" i="1"/>
  <c r="AC143" i="1"/>
  <c r="K143" i="1" a="1"/>
  <c r="K143" i="1" s="1"/>
  <c r="A143" i="1" a="1"/>
  <c r="A143" i="1" s="1"/>
  <c r="J143" i="1"/>
  <c r="AE142" i="1" a="1"/>
  <c r="AE142" i="1" s="1"/>
  <c r="U142" i="1" a="1"/>
  <c r="U142" i="1" s="1"/>
  <c r="K142" i="1" a="1"/>
  <c r="K142" i="1" s="1"/>
  <c r="A142" i="1" a="1"/>
  <c r="A142" i="1" s="1"/>
  <c r="G142" i="1"/>
  <c r="AE141" i="1" a="1"/>
  <c r="AE141" i="1" s="1"/>
  <c r="U141" i="1" a="1"/>
  <c r="U141" i="1" s="1"/>
  <c r="K141" i="1" a="1"/>
  <c r="K141" i="1" s="1"/>
  <c r="A141" i="1" a="1"/>
  <c r="A141" i="1" s="1"/>
  <c r="AE140" i="1" a="1"/>
  <c r="AE140" i="1" s="1"/>
  <c r="U140" i="1" a="1"/>
  <c r="U140" i="1" s="1"/>
  <c r="K140" i="1" a="1"/>
  <c r="K140" i="1" s="1"/>
  <c r="A140" i="1" a="1"/>
  <c r="A140" i="1" s="1"/>
  <c r="AE139" i="1" a="1"/>
  <c r="AE139" i="1" s="1"/>
  <c r="U139" i="1" a="1"/>
  <c r="U139" i="1" s="1"/>
  <c r="Y139" i="1"/>
  <c r="Z139" i="1"/>
  <c r="AA139" i="1"/>
  <c r="AB139" i="1"/>
  <c r="AD139" i="1"/>
  <c r="K139" i="1" a="1"/>
  <c r="K139" i="1" s="1"/>
  <c r="Q139" i="1"/>
  <c r="T139" i="1"/>
  <c r="A139" i="1" a="1"/>
  <c r="A139" i="1" s="1"/>
  <c r="I139" i="1"/>
  <c r="J139" i="1"/>
  <c r="AE138" i="1" a="1"/>
  <c r="AE138" i="1" s="1"/>
  <c r="U138" i="1" a="1"/>
  <c r="U138" i="1" s="1"/>
  <c r="K138" i="1" a="1"/>
  <c r="K138" i="1" s="1"/>
  <c r="A138" i="1" a="1"/>
  <c r="A138" i="1" s="1"/>
  <c r="H138" i="1"/>
  <c r="AE137" i="1" a="1"/>
  <c r="AE137" i="1" s="1"/>
  <c r="U137" i="1" a="1"/>
  <c r="U137" i="1" s="1"/>
  <c r="K137" i="1" a="1"/>
  <c r="K137" i="1" s="1"/>
  <c r="A137" i="1" a="1"/>
  <c r="A137" i="1" s="1"/>
  <c r="AE136" i="1" a="1"/>
  <c r="AE136" i="1" s="1"/>
  <c r="U136" i="1" a="1"/>
  <c r="U136" i="1" s="1"/>
  <c r="K136" i="1" a="1"/>
  <c r="K136" i="1" s="1"/>
  <c r="A136" i="1" a="1"/>
  <c r="A136" i="1" s="1"/>
  <c r="AE135" i="1" a="1"/>
  <c r="AE135" i="1" s="1"/>
  <c r="U135" i="1" a="1"/>
  <c r="U135" i="1" s="1"/>
  <c r="AB135" i="1"/>
  <c r="AC135" i="1"/>
  <c r="AD135" i="1"/>
  <c r="K135" i="1" a="1"/>
  <c r="K135" i="1" s="1"/>
  <c r="R135" i="1"/>
  <c r="T135" i="1"/>
  <c r="A135" i="1" a="1"/>
  <c r="A135" i="1" s="1"/>
  <c r="J135" i="1"/>
  <c r="AE134" i="1" a="1"/>
  <c r="AE134" i="1" s="1"/>
  <c r="U134" i="1" a="1"/>
  <c r="U134" i="1" s="1"/>
  <c r="Z134" i="1"/>
  <c r="AA134" i="1"/>
  <c r="AB134" i="1"/>
  <c r="AC134" i="1"/>
  <c r="AD134" i="1"/>
  <c r="K134" i="1" a="1"/>
  <c r="K134" i="1" s="1"/>
  <c r="O134" i="1"/>
  <c r="P134" i="1"/>
  <c r="A134" i="1" a="1"/>
  <c r="A134" i="1" s="1"/>
  <c r="AE133" i="1" a="1"/>
  <c r="AE133" i="1" s="1"/>
  <c r="U133" i="1" a="1"/>
  <c r="U133" i="1" s="1"/>
  <c r="X133" i="1"/>
  <c r="Y133" i="1"/>
  <c r="Z133" i="1"/>
  <c r="AA133" i="1"/>
  <c r="AB133" i="1"/>
  <c r="K133" i="1" a="1"/>
  <c r="K133" i="1" s="1"/>
  <c r="Q133" i="1"/>
  <c r="R133" i="1"/>
  <c r="A133" i="1" a="1"/>
  <c r="A133" i="1" s="1"/>
  <c r="E133" i="1"/>
  <c r="H133" i="1"/>
  <c r="AE132" i="1" a="1"/>
  <c r="AE132" i="1" s="1"/>
  <c r="U132" i="1" a="1"/>
  <c r="U132" i="1" s="1"/>
  <c r="K132" i="1" a="1"/>
  <c r="K132" i="1" s="1"/>
  <c r="P132" i="1"/>
  <c r="R132" i="1"/>
  <c r="A132" i="1" a="1"/>
  <c r="A132" i="1" s="1"/>
  <c r="AE131" i="1" a="1"/>
  <c r="AE131" i="1" s="1"/>
  <c r="U131" i="1" a="1"/>
  <c r="U131" i="1" s="1"/>
  <c r="K131" i="1" a="1"/>
  <c r="K131" i="1" s="1"/>
  <c r="Q131" i="1"/>
  <c r="A131" i="1" a="1"/>
  <c r="A131" i="1" s="1"/>
  <c r="AE130" i="1" a="1"/>
  <c r="AE130" i="1" s="1"/>
  <c r="U130" i="1" a="1"/>
  <c r="U130" i="1" s="1"/>
  <c r="K130" i="1" a="1"/>
  <c r="K130" i="1" s="1"/>
  <c r="A130" i="1" a="1"/>
  <c r="A130" i="1" s="1"/>
  <c r="AE129" i="1" a="1"/>
  <c r="AE129" i="1" s="1"/>
  <c r="U129" i="1" a="1"/>
  <c r="U129" i="1" s="1"/>
  <c r="K129" i="1" a="1"/>
  <c r="K129" i="1" s="1"/>
  <c r="A129" i="1" a="1"/>
  <c r="A129" i="1" s="1"/>
  <c r="G129" i="1"/>
  <c r="AE128" i="1" a="1"/>
  <c r="AE128" i="1" s="1"/>
  <c r="U128" i="1" a="1"/>
  <c r="U128" i="1" s="1"/>
  <c r="K128" i="1" a="1"/>
  <c r="K128" i="1" s="1"/>
  <c r="A128" i="1" a="1"/>
  <c r="A128" i="1" s="1"/>
  <c r="AE127" i="1" a="1"/>
  <c r="AE127" i="1" s="1"/>
  <c r="U127" i="1" a="1"/>
  <c r="U127" i="1" s="1"/>
  <c r="K127" i="1" a="1"/>
  <c r="K127" i="1" s="1"/>
  <c r="A127" i="1" a="1"/>
  <c r="A127" i="1" s="1"/>
  <c r="AE126" i="1" a="1"/>
  <c r="AE126" i="1" s="1"/>
  <c r="U126" i="1" a="1"/>
  <c r="U126" i="1" s="1"/>
  <c r="K126" i="1" a="1"/>
  <c r="K126" i="1" s="1"/>
  <c r="A126" i="1" a="1"/>
  <c r="A126" i="1" s="1"/>
  <c r="AE125" i="1" a="1"/>
  <c r="AE125" i="1" s="1"/>
  <c r="U125" i="1" a="1"/>
  <c r="U125" i="1" s="1"/>
  <c r="AA125" i="1"/>
  <c r="K125" i="1" a="1"/>
  <c r="K125" i="1" s="1"/>
  <c r="A125" i="1" a="1"/>
  <c r="A125" i="1" s="1"/>
  <c r="AE124" i="1" a="1"/>
  <c r="AE124" i="1" s="1"/>
  <c r="U124" i="1" a="1"/>
  <c r="U124" i="1" s="1"/>
  <c r="K124" i="1" a="1"/>
  <c r="K124" i="1" s="1"/>
  <c r="R124" i="1"/>
  <c r="S124" i="1"/>
  <c r="A124" i="1" a="1"/>
  <c r="A124" i="1" s="1"/>
  <c r="AE123" i="1" a="1"/>
  <c r="AE123" i="1" s="1"/>
  <c r="U123" i="1" a="1"/>
  <c r="U123" i="1" s="1"/>
  <c r="K123" i="1" a="1"/>
  <c r="K123" i="1" s="1"/>
  <c r="A123" i="1" a="1"/>
  <c r="A123" i="1" s="1"/>
  <c r="AE122" i="1" a="1"/>
  <c r="AE122" i="1" s="1"/>
  <c r="U122" i="1" a="1"/>
  <c r="U122" i="1" s="1"/>
  <c r="AA122" i="1"/>
  <c r="AD122" i="1"/>
  <c r="K122" i="1" a="1"/>
  <c r="K122" i="1" s="1"/>
  <c r="A122" i="1" a="1"/>
  <c r="A122" i="1" s="1"/>
  <c r="AE121" i="1" a="1"/>
  <c r="AE121" i="1" s="1"/>
  <c r="U121" i="1" a="1"/>
  <c r="U121" i="1" s="1"/>
  <c r="Z121" i="1"/>
  <c r="AA121" i="1"/>
  <c r="AD121" i="1"/>
  <c r="K121" i="1" a="1"/>
  <c r="K121" i="1" s="1"/>
  <c r="P121" i="1"/>
  <c r="Q121" i="1"/>
  <c r="R121" i="1"/>
  <c r="S121" i="1"/>
  <c r="T121" i="1"/>
  <c r="A121" i="1" a="1"/>
  <c r="A121" i="1" s="1"/>
  <c r="G121" i="1"/>
  <c r="J121" i="1"/>
  <c r="AE120" i="1" a="1"/>
  <c r="AE120" i="1" s="1"/>
  <c r="U120" i="1" a="1"/>
  <c r="U120" i="1" s="1"/>
  <c r="Y120" i="1"/>
  <c r="Z120" i="1"/>
  <c r="AA120" i="1"/>
  <c r="K120" i="1" a="1"/>
  <c r="K120" i="1" s="1"/>
  <c r="N120" i="1"/>
  <c r="A120" i="1" a="1"/>
  <c r="A120" i="1" s="1"/>
  <c r="AE119" i="1" a="1"/>
  <c r="AE119" i="1" s="1"/>
  <c r="U119" i="1" a="1"/>
  <c r="U119" i="1" s="1"/>
  <c r="K119" i="1" a="1"/>
  <c r="K119" i="1" s="1"/>
  <c r="A119" i="1" a="1"/>
  <c r="A119" i="1" s="1"/>
  <c r="AE118" i="1" a="1"/>
  <c r="AE118" i="1" s="1"/>
  <c r="U118" i="1" a="1"/>
  <c r="U118" i="1" s="1"/>
  <c r="K118" i="1" a="1"/>
  <c r="K118" i="1" s="1"/>
  <c r="A118" i="1" a="1"/>
  <c r="A118" i="1" s="1"/>
  <c r="AE117" i="1" a="1"/>
  <c r="AE117" i="1" s="1"/>
  <c r="U117" i="1" a="1"/>
  <c r="U117" i="1" s="1"/>
  <c r="K117" i="1" a="1"/>
  <c r="K117" i="1" s="1"/>
  <c r="A117" i="1" a="1"/>
  <c r="A117" i="1" s="1"/>
  <c r="AE116" i="1" a="1"/>
  <c r="AE116" i="1" s="1"/>
  <c r="U116" i="1" a="1"/>
  <c r="U116" i="1" s="1"/>
  <c r="K116" i="1" a="1"/>
  <c r="K116" i="1" s="1"/>
  <c r="A116" i="1" a="1"/>
  <c r="A116" i="1" s="1"/>
  <c r="AE115" i="1" a="1"/>
  <c r="AE115" i="1" s="1"/>
  <c r="U115" i="1" a="1"/>
  <c r="U115" i="1" s="1"/>
  <c r="K115" i="1" a="1"/>
  <c r="K115" i="1" s="1"/>
  <c r="A115" i="1" a="1"/>
  <c r="A115" i="1" s="1"/>
  <c r="AE114" i="1" a="1"/>
  <c r="AE114" i="1" s="1"/>
  <c r="U114" i="1" a="1"/>
  <c r="U114" i="1" s="1"/>
  <c r="K114" i="1" a="1"/>
  <c r="K114" i="1" s="1"/>
  <c r="A114" i="1" a="1"/>
  <c r="A114" i="1" s="1"/>
  <c r="AE113" i="1" a="1"/>
  <c r="AE113" i="1" s="1"/>
  <c r="U113" i="1" a="1"/>
  <c r="U113" i="1" s="1"/>
  <c r="K113" i="1" a="1"/>
  <c r="K113" i="1" s="1"/>
  <c r="A113" i="1" a="1"/>
  <c r="A113" i="1" s="1"/>
  <c r="AE112" i="1" a="1"/>
  <c r="AE112" i="1" s="1"/>
  <c r="U112" i="1" a="1"/>
  <c r="U112" i="1" s="1"/>
  <c r="K112" i="1" a="1"/>
  <c r="K112" i="1" s="1"/>
  <c r="M112" i="1"/>
  <c r="N112" i="1"/>
  <c r="A112" i="1" a="1"/>
  <c r="A112" i="1" s="1"/>
  <c r="AE111" i="1" a="1"/>
  <c r="AE111" i="1" s="1"/>
  <c r="U111" i="1" a="1"/>
  <c r="U111" i="1" s="1"/>
  <c r="K111" i="1" a="1"/>
  <c r="K111" i="1" s="1"/>
  <c r="A111" i="1" a="1"/>
  <c r="A111" i="1" s="1"/>
  <c r="AE110" i="1" a="1"/>
  <c r="AE110" i="1" s="1"/>
  <c r="U110" i="1" a="1"/>
  <c r="U110" i="1" s="1"/>
  <c r="K110" i="1" a="1"/>
  <c r="K110" i="1" s="1"/>
  <c r="A110" i="1" a="1"/>
  <c r="A110" i="1" s="1"/>
  <c r="F110" i="1"/>
  <c r="AE109" i="1" a="1"/>
  <c r="AE109" i="1" s="1"/>
  <c r="U109" i="1" a="1"/>
  <c r="U109" i="1" s="1"/>
  <c r="K109" i="1" a="1"/>
  <c r="K109" i="1" s="1"/>
  <c r="A109" i="1" a="1"/>
  <c r="A109" i="1" s="1"/>
  <c r="AE108" i="1" a="1"/>
  <c r="AE108" i="1" s="1"/>
  <c r="U108" i="1" a="1"/>
  <c r="U108" i="1" s="1"/>
  <c r="AB108" i="1"/>
  <c r="AC108" i="1"/>
  <c r="AD108" i="1"/>
  <c r="K108" i="1" a="1"/>
  <c r="K108" i="1" s="1"/>
  <c r="A108" i="1" a="1"/>
  <c r="A108" i="1" s="1"/>
  <c r="I108" i="1"/>
  <c r="AE107" i="1" a="1"/>
  <c r="AE107" i="1" s="1"/>
  <c r="U107" i="1" a="1"/>
  <c r="U107" i="1" s="1"/>
  <c r="K107" i="1" a="1"/>
  <c r="K107" i="1" s="1"/>
  <c r="A107" i="1" a="1"/>
  <c r="A107" i="1" s="1"/>
  <c r="AE106" i="1" a="1"/>
  <c r="AE106" i="1" s="1"/>
  <c r="U106" i="1" a="1"/>
  <c r="U106" i="1" s="1"/>
  <c r="K106" i="1" a="1"/>
  <c r="K106" i="1" s="1"/>
  <c r="A106" i="1" a="1"/>
  <c r="A106" i="1" s="1"/>
  <c r="AE105" i="1" a="1"/>
  <c r="AE105" i="1" s="1"/>
  <c r="U105" i="1" a="1"/>
  <c r="U105" i="1" s="1"/>
  <c r="K105" i="1" a="1"/>
  <c r="K105" i="1" s="1"/>
  <c r="A105" i="1" a="1"/>
  <c r="A105" i="1" s="1"/>
  <c r="AE104" i="1" a="1"/>
  <c r="AE104" i="1" s="1"/>
  <c r="U104" i="1" a="1"/>
  <c r="U104" i="1" s="1"/>
  <c r="K104" i="1" a="1"/>
  <c r="K104" i="1" s="1"/>
  <c r="A104" i="1" a="1"/>
  <c r="A104" i="1" s="1"/>
  <c r="AE103" i="1" a="1"/>
  <c r="AE103" i="1" s="1"/>
  <c r="U103" i="1" a="1"/>
  <c r="U103" i="1" s="1"/>
  <c r="K103" i="1" a="1"/>
  <c r="K103" i="1" s="1"/>
  <c r="A103" i="1" a="1"/>
  <c r="A103" i="1" s="1"/>
  <c r="AE102" i="1" a="1"/>
  <c r="AE102" i="1" s="1"/>
  <c r="U102" i="1" a="1"/>
  <c r="U102" i="1" s="1"/>
  <c r="K102" i="1" a="1"/>
  <c r="K102" i="1" s="1"/>
  <c r="A102" i="1" a="1"/>
  <c r="A102" i="1" s="1"/>
  <c r="AE101" i="1" a="1"/>
  <c r="AE101" i="1" s="1"/>
  <c r="U101" i="1" a="1"/>
  <c r="U101" i="1" s="1"/>
  <c r="K101" i="1" a="1"/>
  <c r="K101" i="1" s="1"/>
  <c r="R101" i="1"/>
  <c r="A101" i="1" a="1"/>
  <c r="A101" i="1" s="1"/>
  <c r="H101" i="1"/>
  <c r="J101" i="1"/>
  <c r="AE100" i="1" a="1"/>
  <c r="AE100" i="1" s="1"/>
  <c r="U100" i="1" a="1"/>
  <c r="U100" i="1" s="1"/>
  <c r="K100" i="1" a="1"/>
  <c r="K100" i="1" s="1"/>
  <c r="A100" i="1" a="1"/>
  <c r="A100" i="1" s="1"/>
  <c r="AE99" i="1" a="1"/>
  <c r="AE99" i="1" s="1"/>
  <c r="U99" i="1" a="1"/>
  <c r="U99" i="1" s="1"/>
  <c r="AD99" i="1"/>
  <c r="K99" i="1" a="1"/>
  <c r="K99" i="1" s="1"/>
  <c r="A99" i="1" a="1"/>
  <c r="A99" i="1" s="1"/>
  <c r="AE98" i="1" a="1"/>
  <c r="AE98" i="1" s="1"/>
  <c r="U98" i="1" a="1"/>
  <c r="U98" i="1" s="1"/>
  <c r="Z98" i="1"/>
  <c r="AB98" i="1"/>
  <c r="K98" i="1" a="1"/>
  <c r="K98" i="1" s="1"/>
  <c r="A98" i="1" a="1"/>
  <c r="A98" i="1" s="1"/>
  <c r="AE97" i="1" a="1"/>
  <c r="AE97" i="1" s="1"/>
  <c r="AH97" i="1"/>
  <c r="U97" i="1" a="1"/>
  <c r="U97" i="1" s="1"/>
  <c r="K97" i="1" a="1"/>
  <c r="K97" i="1" s="1"/>
  <c r="A97" i="1" a="1"/>
  <c r="A97" i="1" s="1"/>
  <c r="AE96" i="1" a="1"/>
  <c r="AE96" i="1" s="1"/>
  <c r="U96" i="1" a="1"/>
  <c r="U96" i="1" s="1"/>
  <c r="K96" i="1" a="1"/>
  <c r="K96" i="1" s="1"/>
  <c r="A96" i="1" a="1"/>
  <c r="A96" i="1" s="1"/>
  <c r="AE95" i="1" a="1"/>
  <c r="AE95" i="1" s="1"/>
  <c r="U95" i="1" a="1"/>
  <c r="U95" i="1" s="1"/>
  <c r="K95" i="1" a="1"/>
  <c r="K95" i="1" s="1"/>
  <c r="R95" i="1"/>
  <c r="A95" i="1" a="1"/>
  <c r="A95" i="1" s="1"/>
  <c r="AE94" i="1" a="1"/>
  <c r="AE94" i="1" s="1"/>
  <c r="U94" i="1" a="1"/>
  <c r="U94" i="1" s="1"/>
  <c r="Z94" i="1"/>
  <c r="AB94" i="1"/>
  <c r="K94" i="1" a="1"/>
  <c r="K94" i="1" s="1"/>
  <c r="S94" i="1"/>
  <c r="A94" i="1" a="1"/>
  <c r="A94" i="1" s="1"/>
  <c r="J94" i="1"/>
  <c r="AE93" i="1" a="1"/>
  <c r="AE93" i="1" s="1"/>
  <c r="U93" i="1" a="1"/>
  <c r="U93" i="1" s="1"/>
  <c r="K93" i="1" a="1"/>
  <c r="K93" i="1" s="1"/>
  <c r="A93" i="1" a="1"/>
  <c r="A93" i="1" s="1"/>
  <c r="AE92" i="1" a="1"/>
  <c r="AE92" i="1" s="1"/>
  <c r="U92" i="1" a="1"/>
  <c r="U92" i="1" s="1"/>
  <c r="K92" i="1" a="1"/>
  <c r="K92" i="1" s="1"/>
  <c r="A92" i="1" a="1"/>
  <c r="A92" i="1" s="1"/>
  <c r="AE91" i="1" a="1"/>
  <c r="AE91" i="1" s="1"/>
  <c r="U91" i="1" a="1"/>
  <c r="U91" i="1" s="1"/>
  <c r="K91" i="1" a="1"/>
  <c r="K91" i="1" s="1"/>
  <c r="A91" i="1" a="1"/>
  <c r="A91" i="1" s="1"/>
  <c r="AE90" i="1" a="1"/>
  <c r="AE90" i="1" s="1"/>
  <c r="U90" i="1" a="1"/>
  <c r="U90" i="1" s="1"/>
  <c r="X90" i="1"/>
  <c r="Z90" i="1"/>
  <c r="AD90" i="1"/>
  <c r="K90" i="1" a="1"/>
  <c r="K90" i="1" s="1"/>
  <c r="A90" i="1" a="1"/>
  <c r="A90" i="1" s="1"/>
  <c r="J90" i="1"/>
  <c r="AE89" i="1" a="1"/>
  <c r="AE89" i="1" s="1"/>
  <c r="U89" i="1" a="1"/>
  <c r="U89" i="1" s="1"/>
  <c r="Z89" i="1"/>
  <c r="AA89" i="1"/>
  <c r="AC89" i="1"/>
  <c r="K89" i="1" a="1"/>
  <c r="K89" i="1" s="1"/>
  <c r="A89" i="1" a="1"/>
  <c r="A89" i="1" s="1"/>
  <c r="AE88" i="1" a="1"/>
  <c r="AE88" i="1" s="1"/>
  <c r="U88" i="1" a="1"/>
  <c r="U88" i="1" s="1"/>
  <c r="Z88" i="1"/>
  <c r="AB88" i="1"/>
  <c r="AD88" i="1"/>
  <c r="K88" i="1" a="1"/>
  <c r="K88" i="1" s="1"/>
  <c r="A88" i="1" a="1"/>
  <c r="A88" i="1" s="1"/>
  <c r="AE87" i="1" a="1"/>
  <c r="AE87" i="1" s="1"/>
  <c r="AH87" i="1"/>
  <c r="U87" i="1" a="1"/>
  <c r="U87" i="1" s="1"/>
  <c r="K87" i="1" a="1"/>
  <c r="K87" i="1" s="1"/>
  <c r="A87" i="1" a="1"/>
  <c r="A87" i="1" s="1"/>
  <c r="G87" i="1"/>
  <c r="AE86" i="1" a="1"/>
  <c r="AE86" i="1" s="1"/>
  <c r="U86" i="1" a="1"/>
  <c r="U86" i="1" s="1"/>
  <c r="AC86" i="1"/>
  <c r="K86" i="1" a="1"/>
  <c r="K86" i="1" s="1"/>
  <c r="T86" i="1"/>
  <c r="A86" i="1" a="1"/>
  <c r="A86" i="1" s="1"/>
  <c r="AE85" i="1" a="1"/>
  <c r="AE85" i="1" s="1"/>
  <c r="U85" i="1" a="1"/>
  <c r="U85" i="1" s="1"/>
  <c r="K85" i="1" a="1"/>
  <c r="K85" i="1" s="1"/>
  <c r="A85" i="1" a="1"/>
  <c r="A85" i="1" s="1"/>
  <c r="AE84" i="1" a="1"/>
  <c r="AE84" i="1" s="1"/>
  <c r="U84" i="1" a="1"/>
  <c r="U84" i="1" s="1"/>
  <c r="K84" i="1" a="1"/>
  <c r="K84" i="1" s="1"/>
  <c r="A84" i="1" a="1"/>
  <c r="A84" i="1" s="1"/>
  <c r="AE83" i="1" a="1"/>
  <c r="AE83" i="1" s="1"/>
  <c r="U83" i="1" a="1"/>
  <c r="U83" i="1" s="1"/>
  <c r="K83" i="1" a="1"/>
  <c r="K83" i="1" s="1"/>
  <c r="A83" i="1" a="1"/>
  <c r="A83" i="1" s="1"/>
  <c r="AE82" i="1" a="1"/>
  <c r="AE82" i="1" s="1"/>
  <c r="U82" i="1" a="1"/>
  <c r="U82" i="1" s="1"/>
  <c r="K82" i="1" a="1"/>
  <c r="K82" i="1" s="1"/>
  <c r="A82" i="1" a="1"/>
  <c r="A82" i="1" s="1"/>
  <c r="AE81" i="1" a="1"/>
  <c r="AE81" i="1" s="1"/>
  <c r="U81" i="1" a="1"/>
  <c r="U81" i="1" s="1"/>
  <c r="K81" i="1" a="1"/>
  <c r="K81" i="1" s="1"/>
  <c r="A81" i="1" a="1"/>
  <c r="A81" i="1" s="1"/>
  <c r="AE80" i="1" a="1"/>
  <c r="AE80" i="1" s="1"/>
  <c r="U80" i="1" a="1"/>
  <c r="U80" i="1" s="1"/>
  <c r="X80" i="1"/>
  <c r="Y80" i="1"/>
  <c r="AA80" i="1"/>
  <c r="AD80" i="1"/>
  <c r="K80" i="1" a="1"/>
  <c r="K80" i="1" s="1"/>
  <c r="A80" i="1" a="1"/>
  <c r="A80" i="1" s="1"/>
  <c r="AE79" i="1" a="1"/>
  <c r="AE79" i="1" s="1"/>
  <c r="U79" i="1" a="1"/>
  <c r="U79" i="1" s="1"/>
  <c r="AA79" i="1"/>
  <c r="K79" i="1" a="1"/>
  <c r="K79" i="1" s="1"/>
  <c r="A79" i="1" a="1"/>
  <c r="A79" i="1" s="1"/>
  <c r="AE78" i="1" a="1"/>
  <c r="AE78" i="1" s="1"/>
  <c r="U78" i="1" a="1"/>
  <c r="U78" i="1" s="1"/>
  <c r="K78" i="1" a="1"/>
  <c r="K78" i="1" s="1"/>
  <c r="A78" i="1" a="1"/>
  <c r="A78" i="1" s="1"/>
  <c r="J78" i="1"/>
  <c r="AE77" i="1" a="1"/>
  <c r="AE77" i="1" s="1"/>
  <c r="U77" i="1" a="1"/>
  <c r="U77" i="1" s="1"/>
  <c r="K77" i="1" a="1"/>
  <c r="K77" i="1" s="1"/>
  <c r="A77" i="1" a="1"/>
  <c r="A77" i="1" s="1"/>
  <c r="AE76" i="1" a="1"/>
  <c r="AE76" i="1" s="1"/>
  <c r="U76" i="1" a="1"/>
  <c r="U76" i="1" s="1"/>
  <c r="AD76" i="1"/>
  <c r="K76" i="1" a="1"/>
  <c r="K76" i="1" s="1"/>
  <c r="A76" i="1" a="1"/>
  <c r="A76" i="1" s="1"/>
  <c r="AE75" i="1" a="1"/>
  <c r="AE75" i="1" s="1"/>
  <c r="U75" i="1" a="1"/>
  <c r="U75" i="1" s="1"/>
  <c r="K75" i="1" a="1"/>
  <c r="K75" i="1" s="1"/>
  <c r="A75" i="1" a="1"/>
  <c r="A75" i="1" s="1"/>
  <c r="AE74" i="1" a="1"/>
  <c r="AE74" i="1" s="1"/>
  <c r="U74" i="1" a="1"/>
  <c r="U74" i="1" s="1"/>
  <c r="K74" i="1" a="1"/>
  <c r="K74" i="1" s="1"/>
  <c r="A74" i="1" a="1"/>
  <c r="A74" i="1" s="1"/>
  <c r="AE73" i="1" a="1"/>
  <c r="AE73" i="1" s="1"/>
  <c r="U73" i="1" a="1"/>
  <c r="U73" i="1" s="1"/>
  <c r="Y73" i="1"/>
  <c r="Z73" i="1"/>
  <c r="K73" i="1" a="1"/>
  <c r="K73" i="1" s="1"/>
  <c r="A73" i="1" a="1"/>
  <c r="A73" i="1" s="1"/>
  <c r="AE72" i="1" a="1"/>
  <c r="AE72" i="1" s="1"/>
  <c r="U72" i="1" a="1"/>
  <c r="U72" i="1" s="1"/>
  <c r="K72" i="1" a="1"/>
  <c r="K72" i="1" s="1"/>
  <c r="S72" i="1"/>
  <c r="A72" i="1" a="1"/>
  <c r="A72" i="1" s="1"/>
  <c r="AE71" i="1" a="1"/>
  <c r="AE71" i="1" s="1"/>
  <c r="U71" i="1" a="1"/>
  <c r="U71" i="1" s="1"/>
  <c r="K71" i="1" a="1"/>
  <c r="K71" i="1" s="1"/>
  <c r="A71" i="1" a="1"/>
  <c r="A71" i="1" s="1"/>
  <c r="AE70" i="1" a="1"/>
  <c r="AE70" i="1" s="1"/>
  <c r="U70" i="1" a="1"/>
  <c r="U70" i="1" s="1"/>
  <c r="Y70" i="1"/>
  <c r="Z70" i="1"/>
  <c r="K70" i="1" a="1"/>
  <c r="K70" i="1" s="1"/>
  <c r="A70" i="1" a="1"/>
  <c r="A70" i="1" s="1"/>
  <c r="AE69" i="1" a="1"/>
  <c r="AE69" i="1" s="1"/>
  <c r="U69" i="1" a="1"/>
  <c r="U69" i="1" s="1"/>
  <c r="K69" i="1" a="1"/>
  <c r="K69" i="1" s="1"/>
  <c r="A69" i="1" a="1"/>
  <c r="A69" i="1" s="1"/>
  <c r="G69" i="1"/>
  <c r="I69" i="1"/>
  <c r="AE68" i="1" a="1"/>
  <c r="AE68" i="1" s="1"/>
  <c r="U68" i="1" a="1"/>
  <c r="U68" i="1" s="1"/>
  <c r="K68" i="1" a="1"/>
  <c r="K68" i="1" s="1"/>
  <c r="A68" i="1" a="1"/>
  <c r="A68" i="1" s="1"/>
  <c r="F68" i="1"/>
  <c r="AE67" i="1" a="1"/>
  <c r="AE67" i="1" s="1"/>
  <c r="U67" i="1" a="1"/>
  <c r="U67" i="1" s="1"/>
  <c r="AB67" i="1"/>
  <c r="K67" i="1" a="1"/>
  <c r="K67" i="1" s="1"/>
  <c r="A67" i="1" a="1"/>
  <c r="A67" i="1" s="1"/>
  <c r="I67" i="1"/>
  <c r="AE66" i="1" a="1"/>
  <c r="AE66" i="1" s="1"/>
  <c r="U66" i="1" a="1"/>
  <c r="U66" i="1" s="1"/>
  <c r="K66" i="1" a="1"/>
  <c r="K66" i="1" s="1"/>
  <c r="A66" i="1" a="1"/>
  <c r="A66" i="1" s="1"/>
  <c r="AE65" i="1" a="1"/>
  <c r="AE65" i="1" s="1"/>
  <c r="U65" i="1" a="1"/>
  <c r="U65" i="1" s="1"/>
  <c r="K65" i="1" a="1"/>
  <c r="K65" i="1" s="1"/>
  <c r="A65" i="1" a="1"/>
  <c r="A65" i="1" s="1"/>
  <c r="AE64" i="1" a="1"/>
  <c r="AE64" i="1" s="1"/>
  <c r="U64" i="1" a="1"/>
  <c r="U64" i="1" s="1"/>
  <c r="K64" i="1" a="1"/>
  <c r="K64" i="1" s="1"/>
  <c r="A64" i="1" a="1"/>
  <c r="A64" i="1" s="1"/>
  <c r="AE63" i="1" a="1"/>
  <c r="AE63" i="1" s="1"/>
  <c r="U63" i="1" a="1"/>
  <c r="U63" i="1" s="1"/>
  <c r="K63" i="1" a="1"/>
  <c r="K63" i="1" s="1"/>
  <c r="A63" i="1" a="1"/>
  <c r="A63" i="1" s="1"/>
  <c r="AE62" i="1" a="1"/>
  <c r="AE62" i="1" s="1"/>
  <c r="U62" i="1" a="1"/>
  <c r="U62" i="1" s="1"/>
  <c r="K62" i="1" a="1"/>
  <c r="K62" i="1" s="1"/>
  <c r="S62" i="1"/>
  <c r="A62" i="1" a="1"/>
  <c r="A62" i="1" s="1"/>
  <c r="J62" i="1"/>
  <c r="AE61" i="1" a="1"/>
  <c r="AE61" i="1" s="1"/>
  <c r="U61" i="1" a="1"/>
  <c r="U61" i="1" s="1"/>
  <c r="AD61" i="1"/>
  <c r="K61" i="1" a="1"/>
  <c r="K61" i="1" s="1"/>
  <c r="A61" i="1" a="1"/>
  <c r="A61" i="1" s="1"/>
  <c r="I61" i="1"/>
  <c r="AE60" i="1" a="1"/>
  <c r="AE60" i="1" s="1"/>
  <c r="U60" i="1" a="1"/>
  <c r="U60" i="1" s="1"/>
  <c r="K60" i="1" a="1"/>
  <c r="K60" i="1" s="1"/>
  <c r="A60" i="1" a="1"/>
  <c r="A60" i="1" s="1"/>
  <c r="I60" i="1"/>
  <c r="AE59" i="1" a="1"/>
  <c r="AE59" i="1" s="1"/>
  <c r="U59" i="1" a="1"/>
  <c r="U59" i="1" s="1"/>
  <c r="K59" i="1" a="1"/>
  <c r="K59" i="1" s="1"/>
  <c r="T59" i="1"/>
  <c r="A59" i="1" a="1"/>
  <c r="A59" i="1" s="1"/>
  <c r="AE58" i="1" a="1"/>
  <c r="AE58" i="1" s="1"/>
  <c r="U58" i="1" a="1"/>
  <c r="U58" i="1" s="1"/>
  <c r="K58" i="1" a="1"/>
  <c r="K58" i="1" s="1"/>
  <c r="A58" i="1" a="1"/>
  <c r="A58" i="1" s="1"/>
  <c r="AE57" i="1" a="1"/>
  <c r="AE57" i="1" s="1"/>
  <c r="U57" i="1" a="1"/>
  <c r="U57" i="1" s="1"/>
  <c r="Y57" i="1"/>
  <c r="AA57" i="1"/>
  <c r="AD57" i="1"/>
  <c r="K57" i="1" a="1"/>
  <c r="K57" i="1" s="1"/>
  <c r="R57" i="1"/>
  <c r="T57" i="1"/>
  <c r="A57" i="1" a="1"/>
  <c r="A57" i="1" s="1"/>
  <c r="AE56" i="1" a="1"/>
  <c r="AE56" i="1" s="1"/>
  <c r="U56" i="1" a="1"/>
  <c r="U56" i="1" s="1"/>
  <c r="AC56" i="1"/>
  <c r="K56" i="1" a="1"/>
  <c r="K56" i="1" s="1"/>
  <c r="A56" i="1" a="1"/>
  <c r="A56" i="1" s="1"/>
  <c r="AE55" i="1" a="1"/>
  <c r="AE55" i="1" s="1"/>
  <c r="U55" i="1" a="1"/>
  <c r="U55" i="1" s="1"/>
  <c r="K55" i="1" a="1"/>
  <c r="K55" i="1" s="1"/>
  <c r="A55" i="1" a="1"/>
  <c r="A55" i="1" s="1"/>
  <c r="AE54" i="1" a="1"/>
  <c r="AE54" i="1" s="1"/>
  <c r="U54" i="1" a="1"/>
  <c r="U54" i="1" s="1"/>
  <c r="K54" i="1" a="1"/>
  <c r="K54" i="1" s="1"/>
  <c r="A54" i="1" a="1"/>
  <c r="A54" i="1" s="1"/>
  <c r="AE53" i="1" a="1"/>
  <c r="AE53" i="1" s="1"/>
  <c r="U53" i="1" a="1"/>
  <c r="U53" i="1" s="1"/>
  <c r="K53" i="1" a="1"/>
  <c r="K53" i="1" s="1"/>
  <c r="A53" i="1" a="1"/>
  <c r="A53" i="1" s="1"/>
  <c r="AE52" i="1" a="1"/>
  <c r="AE52" i="1" s="1"/>
  <c r="U52" i="1" a="1"/>
  <c r="U52" i="1" s="1"/>
  <c r="X52" i="1"/>
  <c r="K52" i="1" a="1"/>
  <c r="K52" i="1" s="1"/>
  <c r="A52" i="1" a="1"/>
  <c r="A52" i="1" s="1"/>
  <c r="AE51" i="1" a="1"/>
  <c r="AE51" i="1" s="1"/>
  <c r="U51" i="1" a="1"/>
  <c r="U51" i="1" s="1"/>
  <c r="Z51" i="1"/>
  <c r="AA51" i="1"/>
  <c r="K51" i="1" a="1"/>
  <c r="K51" i="1" s="1"/>
  <c r="A51" i="1" a="1"/>
  <c r="A51" i="1" s="1"/>
  <c r="G51" i="1"/>
  <c r="I51" i="1"/>
  <c r="J51" i="1"/>
  <c r="AE50" i="1" a="1"/>
  <c r="AE50" i="1" s="1"/>
  <c r="U50" i="1" a="1"/>
  <c r="U50" i="1" s="1"/>
  <c r="K50" i="1" a="1"/>
  <c r="K50" i="1" s="1"/>
  <c r="Q50" i="1"/>
  <c r="R50" i="1"/>
  <c r="S50" i="1"/>
  <c r="A50" i="1" a="1"/>
  <c r="A50" i="1" s="1"/>
  <c r="E50" i="1"/>
  <c r="AE49" i="1" a="1"/>
  <c r="AE49" i="1" s="1"/>
  <c r="U49" i="1" a="1"/>
  <c r="U49" i="1" s="1"/>
  <c r="K49" i="1" a="1"/>
  <c r="K49" i="1" s="1"/>
  <c r="A49" i="1" a="1"/>
  <c r="A49" i="1" s="1"/>
  <c r="AE48" i="1" a="1"/>
  <c r="AE48" i="1" s="1"/>
  <c r="U48" i="1" a="1"/>
  <c r="U48" i="1" s="1"/>
  <c r="AB48" i="1"/>
  <c r="K48" i="1" a="1"/>
  <c r="K48" i="1" s="1"/>
  <c r="A48" i="1" a="1"/>
  <c r="A48" i="1" s="1"/>
  <c r="F48" i="1"/>
  <c r="AE47" i="1" a="1"/>
  <c r="AE47" i="1" s="1"/>
  <c r="U47" i="1" a="1"/>
  <c r="U47" i="1" s="1"/>
  <c r="X47" i="1"/>
  <c r="K47" i="1" a="1"/>
  <c r="K47" i="1" s="1"/>
  <c r="A47" i="1" a="1"/>
  <c r="A47" i="1" s="1"/>
  <c r="AE46" i="1" a="1"/>
  <c r="AE46" i="1" s="1"/>
  <c r="U46" i="1" a="1"/>
  <c r="U46" i="1" s="1"/>
  <c r="K46" i="1" a="1"/>
  <c r="K46" i="1" s="1"/>
  <c r="A46" i="1" a="1"/>
  <c r="A46" i="1" s="1"/>
  <c r="AE45" i="1" a="1"/>
  <c r="AE45" i="1" s="1"/>
  <c r="U45" i="1" a="1"/>
  <c r="U45" i="1" s="1"/>
  <c r="K45" i="1" a="1"/>
  <c r="K45" i="1" s="1"/>
  <c r="A45" i="1" a="1"/>
  <c r="A45" i="1" s="1"/>
  <c r="AE44" i="1" a="1"/>
  <c r="AE44" i="1" s="1"/>
  <c r="U44" i="1" a="1"/>
  <c r="U44" i="1" s="1"/>
  <c r="X44" i="1"/>
  <c r="Y44" i="1"/>
  <c r="AA44" i="1"/>
  <c r="K44" i="1" a="1"/>
  <c r="K44" i="1" s="1"/>
  <c r="A44" i="1" a="1"/>
  <c r="A44" i="1" s="1"/>
  <c r="AE43" i="1" a="1"/>
  <c r="AE43" i="1" s="1"/>
  <c r="U43" i="1" a="1"/>
  <c r="U43" i="1" s="1"/>
  <c r="Y43" i="1"/>
  <c r="K43" i="1" a="1"/>
  <c r="K43" i="1" s="1"/>
  <c r="Q43" i="1"/>
  <c r="A43" i="1" a="1"/>
  <c r="A43" i="1" s="1"/>
  <c r="AE42" i="1" a="1"/>
  <c r="AE42" i="1" s="1"/>
  <c r="U42" i="1" a="1"/>
  <c r="U42" i="1" s="1"/>
  <c r="Z42" i="1"/>
  <c r="AB42" i="1"/>
  <c r="AD42" i="1"/>
  <c r="K42" i="1" a="1"/>
  <c r="K42" i="1" s="1"/>
  <c r="S42" i="1"/>
  <c r="A42" i="1" a="1"/>
  <c r="A42" i="1" s="1"/>
  <c r="H42" i="1"/>
  <c r="I42" i="1"/>
  <c r="AE41" i="1" a="1"/>
  <c r="AE41" i="1" s="1"/>
  <c r="U41" i="1" a="1"/>
  <c r="U41" i="1" s="1"/>
  <c r="AA41" i="1"/>
  <c r="K41" i="1" a="1"/>
  <c r="K41" i="1" s="1"/>
  <c r="P41" i="1"/>
  <c r="S41" i="1"/>
  <c r="A41" i="1" a="1"/>
  <c r="A41" i="1" s="1"/>
  <c r="AE40" i="1" a="1"/>
  <c r="AE40" i="1" s="1"/>
  <c r="U40" i="1" a="1"/>
  <c r="U40" i="1" s="1"/>
  <c r="Y40" i="1"/>
  <c r="AA40" i="1"/>
  <c r="AC40" i="1"/>
  <c r="K40" i="1" a="1"/>
  <c r="K40" i="1" s="1"/>
  <c r="P40" i="1"/>
  <c r="A40" i="1" a="1"/>
  <c r="A40" i="1" s="1"/>
  <c r="AE39" i="1" a="1"/>
  <c r="AE39" i="1" s="1"/>
  <c r="U39" i="1" a="1"/>
  <c r="U39" i="1" s="1"/>
  <c r="K39" i="1" a="1"/>
  <c r="K39" i="1" s="1"/>
  <c r="A39" i="1" a="1"/>
  <c r="A39" i="1" s="1"/>
  <c r="AE38" i="1" a="1"/>
  <c r="AE38" i="1" s="1"/>
  <c r="U38" i="1" a="1"/>
  <c r="U38" i="1" s="1"/>
  <c r="K38" i="1" a="1"/>
  <c r="K38" i="1" s="1"/>
  <c r="S38" i="1"/>
  <c r="A38" i="1" a="1"/>
  <c r="A38" i="1" s="1"/>
  <c r="AE37" i="1" a="1"/>
  <c r="AE37" i="1" s="1"/>
  <c r="U37" i="1" a="1"/>
  <c r="U37" i="1" s="1"/>
  <c r="K37" i="1" a="1"/>
  <c r="K37" i="1" s="1"/>
  <c r="P37" i="1"/>
  <c r="Q37" i="1"/>
  <c r="A37" i="1" a="1"/>
  <c r="A37" i="1" s="1"/>
  <c r="AE36" i="1" a="1"/>
  <c r="AE36" i="1" s="1"/>
  <c r="U36" i="1" a="1"/>
  <c r="U36" i="1" s="1"/>
  <c r="K36" i="1" a="1"/>
  <c r="K36" i="1" s="1"/>
  <c r="A36" i="1" a="1"/>
  <c r="A36" i="1" s="1"/>
  <c r="AE35" i="1" a="1"/>
  <c r="AE35" i="1" s="1"/>
  <c r="U35" i="1" a="1"/>
  <c r="U35" i="1" s="1"/>
  <c r="AC35" i="1"/>
  <c r="K35" i="1" a="1"/>
  <c r="K35" i="1" s="1"/>
  <c r="T35" i="1"/>
  <c r="A35" i="1" a="1"/>
  <c r="A35" i="1" s="1"/>
  <c r="G35" i="1"/>
  <c r="J35" i="1"/>
  <c r="AE34" i="1" a="1"/>
  <c r="AE34" i="1" s="1"/>
  <c r="U34" i="1" a="1"/>
  <c r="U34" i="1" s="1"/>
  <c r="K34" i="1" a="1"/>
  <c r="K34" i="1" s="1"/>
  <c r="T34" i="1"/>
  <c r="A34" i="1" a="1"/>
  <c r="A34" i="1" s="1"/>
  <c r="AE33" i="1" a="1"/>
  <c r="AE33" i="1" s="1"/>
  <c r="U33" i="1" a="1"/>
  <c r="U33" i="1" s="1"/>
  <c r="AB33" i="1"/>
  <c r="K33" i="1" a="1"/>
  <c r="K33" i="1" s="1"/>
  <c r="A33" i="1" a="1"/>
  <c r="A33" i="1" s="1"/>
  <c r="AE32" i="1" a="1"/>
  <c r="AE32" i="1" s="1"/>
  <c r="U32" i="1" a="1"/>
  <c r="U32" i="1" s="1"/>
  <c r="AC32" i="1"/>
  <c r="K32" i="1" a="1"/>
  <c r="K32" i="1" s="1"/>
  <c r="A32" i="1" a="1"/>
  <c r="A32" i="1" s="1"/>
  <c r="I32" i="1"/>
  <c r="AE31" i="1" a="1"/>
  <c r="AE31" i="1" s="1"/>
  <c r="U31" i="1" a="1"/>
  <c r="U31" i="1" s="1"/>
  <c r="Y31" i="1"/>
  <c r="AD31" i="1"/>
  <c r="K31" i="1" a="1"/>
  <c r="K31" i="1" s="1"/>
  <c r="A31" i="1" a="1"/>
  <c r="A31" i="1" s="1"/>
  <c r="G31" i="1"/>
  <c r="H31" i="1"/>
  <c r="I31" i="1"/>
  <c r="AE30" i="1" a="1"/>
  <c r="AE30" i="1" s="1"/>
  <c r="U30" i="1" a="1"/>
  <c r="U30" i="1" s="1"/>
  <c r="K30" i="1" a="1"/>
  <c r="K30" i="1" s="1"/>
  <c r="A30" i="1" a="1"/>
  <c r="A30" i="1" s="1"/>
  <c r="J30" i="1"/>
  <c r="AE29" i="1" a="1"/>
  <c r="AE29" i="1" s="1"/>
  <c r="U29" i="1" a="1"/>
  <c r="U29" i="1" s="1"/>
  <c r="K29" i="1" a="1"/>
  <c r="K29" i="1" s="1"/>
  <c r="A29" i="1" a="1"/>
  <c r="A29" i="1" s="1"/>
  <c r="AE28" i="1" a="1"/>
  <c r="AE28" i="1" s="1"/>
  <c r="U28" i="1" a="1"/>
  <c r="U28" i="1" s="1"/>
  <c r="AC28" i="1"/>
  <c r="K28" i="1" a="1"/>
  <c r="K28" i="1" s="1"/>
  <c r="A28" i="1" a="1"/>
  <c r="A28" i="1" s="1"/>
  <c r="AE27" i="1" a="1"/>
  <c r="AE27" i="1" s="1"/>
  <c r="U27" i="1" a="1"/>
  <c r="U27" i="1" s="1"/>
  <c r="K27" i="1" a="1"/>
  <c r="K27" i="1" s="1"/>
  <c r="A27" i="1" a="1"/>
  <c r="A27" i="1" s="1"/>
  <c r="AE26" i="1" a="1"/>
  <c r="AE26" i="1" s="1"/>
  <c r="U26" i="1" a="1"/>
  <c r="U26" i="1" s="1"/>
  <c r="K26" i="1" a="1"/>
  <c r="K26" i="1" s="1"/>
  <c r="A26" i="1" a="1"/>
  <c r="A26" i="1" s="1"/>
  <c r="I26" i="1"/>
  <c r="AE25" i="1" a="1"/>
  <c r="AE25" i="1" s="1"/>
  <c r="U25" i="1" a="1"/>
  <c r="U25" i="1" s="1"/>
  <c r="K25" i="1" a="1"/>
  <c r="K25" i="1" s="1"/>
  <c r="Q25" i="1"/>
  <c r="A25" i="1" a="1"/>
  <c r="A25" i="1" s="1"/>
  <c r="E25" i="1"/>
  <c r="I25" i="1"/>
  <c r="AE24" i="1" a="1"/>
  <c r="AE24" i="1" s="1"/>
  <c r="U24" i="1" a="1"/>
  <c r="U24" i="1" s="1"/>
  <c r="K24" i="1" a="1"/>
  <c r="K24" i="1" s="1"/>
  <c r="A24" i="1" a="1"/>
  <c r="A24" i="1" s="1"/>
  <c r="AE23" i="1" a="1"/>
  <c r="AE23" i="1" s="1"/>
  <c r="U23" i="1" a="1"/>
  <c r="U23" i="1" s="1"/>
  <c r="K23" i="1" a="1"/>
  <c r="K23" i="1" s="1"/>
  <c r="R23" i="1"/>
  <c r="S23" i="1"/>
  <c r="A23" i="1" a="1"/>
  <c r="A23" i="1" s="1"/>
  <c r="AE22" i="1" a="1"/>
  <c r="AE22" i="1" s="1"/>
  <c r="U22" i="1" a="1"/>
  <c r="U22" i="1" s="1"/>
  <c r="K22" i="1" a="1"/>
  <c r="K22" i="1" s="1"/>
  <c r="A22" i="1" a="1"/>
  <c r="A22" i="1" s="1"/>
  <c r="I22" i="1"/>
  <c r="AE21" i="1" a="1"/>
  <c r="AE21" i="1" s="1"/>
  <c r="U21" i="1" a="1"/>
  <c r="U21" i="1" s="1"/>
  <c r="K21" i="1" a="1"/>
  <c r="K21" i="1" s="1"/>
  <c r="A21" i="1" a="1"/>
  <c r="A21" i="1" s="1"/>
  <c r="AE20" i="1" a="1"/>
  <c r="AE20" i="1" s="1"/>
  <c r="U20" i="1" a="1"/>
  <c r="U20" i="1" s="1"/>
  <c r="K20" i="1" a="1"/>
  <c r="K20" i="1" s="1"/>
  <c r="A20" i="1" a="1"/>
  <c r="A20" i="1" s="1"/>
  <c r="I20" i="1"/>
  <c r="AE19" i="1" a="1"/>
  <c r="AE19" i="1" s="1"/>
  <c r="U19" i="1" a="1"/>
  <c r="U19" i="1" s="1"/>
  <c r="K19" i="1" a="1"/>
  <c r="K19" i="1" s="1"/>
  <c r="S19" i="1"/>
  <c r="A19" i="1" a="1"/>
  <c r="A19" i="1" s="1"/>
  <c r="AE18" i="1" a="1"/>
  <c r="AE18" i="1" s="1"/>
  <c r="U18" i="1" a="1"/>
  <c r="U18" i="1" s="1"/>
  <c r="K18" i="1" a="1"/>
  <c r="K18" i="1" s="1"/>
  <c r="A18" i="1" a="1"/>
  <c r="A18" i="1" s="1"/>
  <c r="C18" i="1"/>
  <c r="AE17" i="1" a="1"/>
  <c r="AE17" i="1" s="1"/>
  <c r="U17" i="1" a="1"/>
  <c r="U17" i="1" s="1"/>
  <c r="K17" i="1" a="1"/>
  <c r="K17" i="1" s="1"/>
  <c r="A17" i="1" a="1"/>
  <c r="A17" i="1" s="1"/>
  <c r="AE16" i="1" a="1"/>
  <c r="AE16" i="1" s="1"/>
  <c r="U16" i="1" a="1"/>
  <c r="U16" i="1" s="1"/>
  <c r="K16" i="1" a="1"/>
  <c r="K16" i="1" s="1"/>
  <c r="T16" i="1"/>
  <c r="A16" i="1" a="1"/>
  <c r="A16" i="1" s="1"/>
  <c r="I16" i="1"/>
  <c r="AE15" i="1" a="1"/>
  <c r="AE15" i="1" s="1"/>
  <c r="U15" i="1" a="1"/>
  <c r="U15" i="1" s="1"/>
  <c r="K15" i="1" a="1"/>
  <c r="K15" i="1" s="1"/>
  <c r="A15" i="1" a="1"/>
  <c r="A15" i="1" s="1"/>
  <c r="AE14" i="1" a="1"/>
  <c r="AE14" i="1" s="1"/>
  <c r="U14" i="1" a="1"/>
  <c r="U14" i="1" s="1"/>
  <c r="K14" i="1" a="1"/>
  <c r="K14" i="1" s="1"/>
  <c r="T14" i="1"/>
  <c r="A14" i="1" a="1"/>
  <c r="A14" i="1" s="1"/>
  <c r="AE13" i="1" a="1"/>
  <c r="AE13" i="1" s="1"/>
  <c r="U13" i="1" a="1"/>
  <c r="U13" i="1" s="1"/>
  <c r="AD13" i="1"/>
  <c r="K13" i="1" a="1"/>
  <c r="K13" i="1" s="1"/>
  <c r="A13" i="1" a="1"/>
  <c r="A13" i="1" s="1"/>
  <c r="AE12" i="1" a="1"/>
  <c r="AE12" i="1" s="1"/>
  <c r="U12" i="1" a="1"/>
  <c r="U12" i="1" s="1"/>
  <c r="K12" i="1" a="1"/>
  <c r="K12" i="1" s="1"/>
  <c r="A12" i="1" a="1"/>
  <c r="A12" i="1" s="1"/>
  <c r="AE11" i="1" a="1"/>
  <c r="AE11" i="1" s="1"/>
  <c r="U11" i="1" a="1"/>
  <c r="U11" i="1" s="1"/>
  <c r="K11" i="1" a="1"/>
  <c r="K11" i="1" s="1"/>
  <c r="A11" i="1" a="1"/>
  <c r="A11" i="1" s="1"/>
  <c r="AE10" i="1" a="1"/>
  <c r="AE10" i="1" s="1"/>
  <c r="U10" i="1" a="1"/>
  <c r="U10" i="1" s="1"/>
  <c r="W10" i="1"/>
  <c r="X10" i="1"/>
  <c r="K10" i="1" a="1"/>
  <c r="K10" i="1" s="1"/>
  <c r="A10" i="1" a="1"/>
  <c r="A10" i="1" s="1"/>
  <c r="AE9" i="1" a="1"/>
  <c r="AE9" i="1" s="1"/>
  <c r="U9" i="1" a="1"/>
  <c r="U9" i="1" s="1"/>
  <c r="K9" i="1" a="1"/>
  <c r="K9" i="1" s="1"/>
  <c r="A9" i="1" a="1"/>
  <c r="A9" i="1" s="1"/>
  <c r="AE8" i="1" a="1"/>
  <c r="AE8" i="1" s="1"/>
  <c r="U8" i="1" a="1"/>
  <c r="U8" i="1" s="1"/>
  <c r="K8" i="1" a="1"/>
  <c r="K8" i="1" s="1"/>
  <c r="A8" i="1" a="1"/>
  <c r="A8" i="1" s="1"/>
  <c r="AE7" i="1" a="1"/>
  <c r="AE7" i="1" s="1"/>
  <c r="U7" i="1" a="1"/>
  <c r="U7" i="1" s="1"/>
  <c r="K7" i="1" a="1"/>
  <c r="L7" i="1" s="1"/>
  <c r="A7" i="1" a="1"/>
  <c r="A7" i="1" s="1"/>
  <c r="AE6" i="1" a="1"/>
  <c r="AE6" i="1" s="1"/>
  <c r="U6" i="1" a="1"/>
  <c r="U6" i="1" s="1"/>
  <c r="K6" i="1" a="1"/>
  <c r="K6" i="1" s="1"/>
  <c r="A6" i="1" a="1"/>
  <c r="A6" i="1" s="1"/>
  <c r="AE5" i="1" a="1"/>
  <c r="AE5" i="1" s="1"/>
  <c r="U5" i="1" a="1"/>
  <c r="U5" i="1" s="1"/>
  <c r="K5" i="1" a="1"/>
  <c r="K5" i="1" s="1"/>
  <c r="A5" i="1" a="1"/>
  <c r="A5" i="1" s="1"/>
  <c r="AE4" i="1" a="1"/>
  <c r="AE4" i="1" s="1"/>
  <c r="U4" i="1" a="1"/>
  <c r="U4" i="1" s="1"/>
  <c r="K4" i="1" a="1"/>
  <c r="K4" i="1" s="1"/>
  <c r="A4" i="1" a="1"/>
  <c r="A4" i="1" s="1"/>
  <c r="AE3" i="1" a="1"/>
  <c r="AE3" i="1" s="1"/>
  <c r="U3" i="1" a="1"/>
  <c r="U3" i="1" s="1"/>
  <c r="K3" i="1" a="1"/>
  <c r="K3" i="1" s="1"/>
  <c r="A3" i="1" a="1"/>
  <c r="A3" i="1" s="1"/>
  <c r="AE2" i="1" a="1"/>
  <c r="AE2" i="1" s="1"/>
  <c r="U2" i="1" a="1"/>
  <c r="U2" i="1" s="1"/>
  <c r="K2" i="1" a="1"/>
  <c r="K2" i="1" s="1"/>
  <c r="A2" i="1" a="1"/>
  <c r="A2" i="1" s="1"/>
  <c r="AC153" i="1" l="1"/>
  <c r="J148" i="1"/>
  <c r="I148" i="1"/>
  <c r="H148" i="1"/>
  <c r="F148" i="1"/>
  <c r="S148" i="1"/>
  <c r="J158" i="1"/>
  <c r="Y148" i="1"/>
  <c r="G158" i="1"/>
  <c r="AD158" i="1"/>
  <c r="L149" i="1"/>
  <c r="AC158" i="1"/>
  <c r="S169" i="1"/>
  <c r="AA158" i="1"/>
  <c r="J159" i="1"/>
  <c r="I159" i="1"/>
  <c r="G159" i="1"/>
  <c r="Y159" i="1"/>
  <c r="I147" i="1"/>
  <c r="H147" i="1"/>
  <c r="AD147" i="1"/>
  <c r="E142" i="1"/>
  <c r="AD142" i="1"/>
  <c r="AA142" i="1"/>
  <c r="Z142" i="1"/>
  <c r="J142" i="1"/>
  <c r="I142" i="1"/>
  <c r="H142" i="1"/>
  <c r="J140" i="1"/>
  <c r="I140" i="1"/>
  <c r="F140" i="1"/>
  <c r="T140" i="1"/>
  <c r="S140" i="1"/>
  <c r="R140" i="1"/>
  <c r="Q140" i="1"/>
  <c r="Q141" i="1"/>
  <c r="P141" i="1"/>
  <c r="Z172" i="1"/>
  <c r="Y172" i="1"/>
  <c r="J172" i="1"/>
  <c r="I172" i="1"/>
  <c r="H172" i="1"/>
  <c r="F172" i="1"/>
  <c r="R131" i="1"/>
  <c r="J134" i="1"/>
  <c r="T134" i="1"/>
  <c r="R134" i="1"/>
  <c r="Q134" i="1"/>
  <c r="Q132" i="1"/>
  <c r="H132" i="1"/>
  <c r="G132" i="1"/>
  <c r="F132" i="1"/>
  <c r="T132" i="1"/>
  <c r="S132" i="1"/>
  <c r="I143" i="1"/>
  <c r="W154" i="1"/>
  <c r="R166" i="1"/>
  <c r="H143" i="1"/>
  <c r="P166" i="1"/>
  <c r="T161" i="1"/>
  <c r="AD166" i="1"/>
  <c r="T155" i="1"/>
  <c r="AB166" i="1"/>
  <c r="AA143" i="1"/>
  <c r="Z155" i="1"/>
  <c r="AC161" i="1"/>
  <c r="Z143" i="1"/>
  <c r="AB161" i="1"/>
  <c r="S167" i="1"/>
  <c r="W143" i="1"/>
  <c r="P167" i="1"/>
  <c r="R171" i="1"/>
  <c r="J154" i="1"/>
  <c r="T156" i="1"/>
  <c r="I162" i="1"/>
  <c r="O167" i="1"/>
  <c r="Q171" i="1"/>
  <c r="I152" i="1"/>
  <c r="I154" i="1"/>
  <c r="N167" i="1"/>
  <c r="P171" i="1"/>
  <c r="H144" i="1"/>
  <c r="G152" i="1"/>
  <c r="G154" i="1"/>
  <c r="Z167" i="1"/>
  <c r="AC171" i="1"/>
  <c r="AB171" i="1"/>
  <c r="S154" i="1"/>
  <c r="J163" i="1"/>
  <c r="Z171" i="1"/>
  <c r="R144" i="1"/>
  <c r="Q154" i="1"/>
  <c r="S163" i="1"/>
  <c r="Q144" i="1"/>
  <c r="Q152" i="1"/>
  <c r="P154" i="1"/>
  <c r="O160" i="1"/>
  <c r="R163" i="1"/>
  <c r="AB168" i="1"/>
  <c r="O152" i="1"/>
  <c r="AC154" i="1"/>
  <c r="Z168" i="1"/>
  <c r="Z154" i="1"/>
  <c r="Y154" i="1"/>
  <c r="T166" i="1"/>
  <c r="J170" i="1"/>
  <c r="AH118" i="1"/>
  <c r="I170" i="1"/>
  <c r="G170" i="1"/>
  <c r="H137" i="1"/>
  <c r="T137" i="1"/>
  <c r="AC137" i="1"/>
  <c r="J118" i="1"/>
  <c r="Q138" i="1"/>
  <c r="I118" i="1"/>
  <c r="P138" i="1"/>
  <c r="AA688" i="1"/>
  <c r="T705" i="1"/>
  <c r="Q718" i="1"/>
  <c r="Z688" i="1"/>
  <c r="P699" i="1"/>
  <c r="T702" i="1"/>
  <c r="S705" i="1"/>
  <c r="AC707" i="1"/>
  <c r="P718" i="1"/>
  <c r="Q736" i="1"/>
  <c r="H739" i="1"/>
  <c r="AA736" i="1"/>
  <c r="Q739" i="1"/>
  <c r="AA699" i="1"/>
  <c r="I708" i="1"/>
  <c r="S716" i="1"/>
  <c r="X718" i="1"/>
  <c r="AD739" i="1"/>
  <c r="AD742" i="1"/>
  <c r="H708" i="1"/>
  <c r="T731" i="1"/>
  <c r="AC739" i="1"/>
  <c r="AC742" i="1"/>
  <c r="J706" i="1"/>
  <c r="F708" i="1"/>
  <c r="S731" i="1"/>
  <c r="O737" i="1"/>
  <c r="Z739" i="1"/>
  <c r="AA742" i="1"/>
  <c r="T700" i="1"/>
  <c r="H706" i="1"/>
  <c r="E708" i="1"/>
  <c r="Y716" i="1"/>
  <c r="T722" i="1"/>
  <c r="H729" i="1"/>
  <c r="R731" i="1"/>
  <c r="Y739" i="1"/>
  <c r="Z742" i="1"/>
  <c r="J687" i="1"/>
  <c r="S722" i="1"/>
  <c r="Q731" i="1"/>
  <c r="AD737" i="1"/>
  <c r="X739" i="1"/>
  <c r="Y742" i="1"/>
  <c r="AB737" i="1"/>
  <c r="X742" i="1"/>
  <c r="R687" i="1"/>
  <c r="O700" i="1"/>
  <c r="R706" i="1"/>
  <c r="AD708" i="1"/>
  <c r="O729" i="1"/>
  <c r="AD731" i="1"/>
  <c r="AA737" i="1"/>
  <c r="W742" i="1"/>
  <c r="P687" i="1"/>
  <c r="Q706" i="1"/>
  <c r="AC708" i="1"/>
  <c r="T717" i="1"/>
  <c r="Z731" i="1"/>
  <c r="Z737" i="1"/>
  <c r="AB708" i="1"/>
  <c r="S717" i="1"/>
  <c r="X731" i="1"/>
  <c r="Y737" i="1"/>
  <c r="I740" i="1"/>
  <c r="AD687" i="1"/>
  <c r="AC687" i="1"/>
  <c r="J701" i="1"/>
  <c r="AH708" i="1"/>
  <c r="T720" i="1"/>
  <c r="H730" i="1"/>
  <c r="AH737" i="1"/>
  <c r="S740" i="1"/>
  <c r="Y687" i="1"/>
  <c r="AD717" i="1"/>
  <c r="I695" i="1"/>
  <c r="I699" i="1"/>
  <c r="J707" i="1"/>
  <c r="AC717" i="1"/>
  <c r="Q720" i="1"/>
  <c r="Q727" i="1"/>
  <c r="S730" i="1"/>
  <c r="AC740" i="1"/>
  <c r="H695" i="1"/>
  <c r="T707" i="1"/>
  <c r="AD720" i="1"/>
  <c r="AD727" i="1"/>
  <c r="AD730" i="1"/>
  <c r="S699" i="1"/>
  <c r="J705" i="1"/>
  <c r="R707" i="1"/>
  <c r="AC720" i="1"/>
  <c r="AC727" i="1"/>
  <c r="AC730" i="1"/>
  <c r="AB688" i="1"/>
  <c r="AA695" i="1"/>
  <c r="R699" i="1"/>
  <c r="I702" i="1"/>
  <c r="Q707" i="1"/>
  <c r="T718" i="1"/>
  <c r="AB727" i="1"/>
  <c r="AA730" i="1"/>
  <c r="E733" i="1"/>
  <c r="T736" i="1"/>
  <c r="R130" i="1"/>
  <c r="N130" i="1"/>
  <c r="D129" i="1"/>
  <c r="R129" i="1"/>
  <c r="Q129" i="1"/>
  <c r="AA129" i="1"/>
  <c r="Z129" i="1"/>
  <c r="AH129" i="1"/>
  <c r="J128" i="1"/>
  <c r="I128" i="1"/>
  <c r="R128" i="1"/>
  <c r="J129" i="1"/>
  <c r="J126" i="1"/>
  <c r="I123" i="1"/>
  <c r="G127" i="1"/>
  <c r="F127" i="1"/>
  <c r="E127" i="1"/>
  <c r="H124" i="1"/>
  <c r="T127" i="1"/>
  <c r="Q127" i="1"/>
  <c r="Q124" i="1"/>
  <c r="AD124" i="1"/>
  <c r="AB125" i="1"/>
  <c r="Z122" i="1"/>
  <c r="Y122" i="1"/>
  <c r="J122" i="1"/>
  <c r="I122" i="1"/>
  <c r="S122" i="1"/>
  <c r="I119" i="1"/>
  <c r="F119" i="1"/>
  <c r="E119" i="1"/>
  <c r="R115" i="1"/>
  <c r="R119" i="1"/>
  <c r="P115" i="1"/>
  <c r="Q119" i="1"/>
  <c r="P119" i="1"/>
  <c r="AC119" i="1"/>
  <c r="Z119" i="1"/>
  <c r="S117" i="1"/>
  <c r="AC117" i="1"/>
  <c r="J104" i="1"/>
  <c r="T104" i="1"/>
  <c r="R104" i="1"/>
  <c r="AD104" i="1"/>
  <c r="Z104" i="1"/>
  <c r="AC690" i="1"/>
  <c r="J698" i="1"/>
  <c r="H712" i="1"/>
  <c r="T698" i="1"/>
  <c r="AC703" i="1"/>
  <c r="D710" i="1"/>
  <c r="S712" i="1"/>
  <c r="H732" i="1"/>
  <c r="R712" i="1"/>
  <c r="T725" i="1"/>
  <c r="G732" i="1"/>
  <c r="R698" i="1"/>
  <c r="Q712" i="1"/>
  <c r="S714" i="1"/>
  <c r="R725" i="1"/>
  <c r="Q698" i="1"/>
  <c r="AD710" i="1"/>
  <c r="O712" i="1"/>
  <c r="R714" i="1"/>
  <c r="Q725" i="1"/>
  <c r="T732" i="1"/>
  <c r="P725" i="1"/>
  <c r="AD712" i="1"/>
  <c r="AD714" i="1"/>
  <c r="O725" i="1"/>
  <c r="AD732" i="1"/>
  <c r="AH698" i="1"/>
  <c r="AC712" i="1"/>
  <c r="AC714" i="1"/>
  <c r="AD723" i="1"/>
  <c r="AA732" i="1"/>
  <c r="AC723" i="1"/>
  <c r="Y725" i="1"/>
  <c r="H741" i="1"/>
  <c r="AH723" i="1"/>
  <c r="G741" i="1"/>
  <c r="G709" i="1"/>
  <c r="E713" i="1"/>
  <c r="G721" i="1"/>
  <c r="J724" i="1"/>
  <c r="S741" i="1"/>
  <c r="T726" i="1"/>
  <c r="R741" i="1"/>
  <c r="E709" i="1"/>
  <c r="S721" i="1"/>
  <c r="T724" i="1"/>
  <c r="Q741" i="1"/>
  <c r="S713" i="1"/>
  <c r="R721" i="1"/>
  <c r="S724" i="1"/>
  <c r="AD726" i="1"/>
  <c r="T709" i="1"/>
  <c r="R713" i="1"/>
  <c r="Q721" i="1"/>
  <c r="R724" i="1"/>
  <c r="AC726" i="1"/>
  <c r="AD741" i="1"/>
  <c r="AB761" i="1"/>
  <c r="W786" i="1"/>
  <c r="T764" i="1"/>
  <c r="Q793" i="1"/>
  <c r="AD795" i="1"/>
  <c r="AA753" i="1"/>
  <c r="S764" i="1"/>
  <c r="AA769" i="1"/>
  <c r="AD775" i="1"/>
  <c r="Y778" i="1"/>
  <c r="T791" i="1"/>
  <c r="P793" i="1"/>
  <c r="AC795" i="1"/>
  <c r="S791" i="1"/>
  <c r="O793" i="1"/>
  <c r="AB795" i="1"/>
  <c r="S747" i="1"/>
  <c r="AC750" i="1"/>
  <c r="AB775" i="1"/>
  <c r="T789" i="1"/>
  <c r="R791" i="1"/>
  <c r="N793" i="1"/>
  <c r="Y795" i="1"/>
  <c r="AA775" i="1"/>
  <c r="AH791" i="1"/>
  <c r="AA747" i="1"/>
  <c r="I763" i="1"/>
  <c r="F768" i="1"/>
  <c r="J776" i="1"/>
  <c r="G779" i="1"/>
  <c r="H763" i="1"/>
  <c r="I776" i="1"/>
  <c r="F779" i="1"/>
  <c r="AC789" i="1"/>
  <c r="F792" i="1"/>
  <c r="T794" i="1"/>
  <c r="R768" i="1"/>
  <c r="H776" i="1"/>
  <c r="E779" i="1"/>
  <c r="AA789" i="1"/>
  <c r="E792" i="1"/>
  <c r="P794" i="1"/>
  <c r="G746" i="1"/>
  <c r="J748" i="1"/>
  <c r="T763" i="1"/>
  <c r="Q768" i="1"/>
  <c r="D779" i="1"/>
  <c r="D792" i="1"/>
  <c r="H102" i="1"/>
  <c r="J752" i="1"/>
  <c r="S763" i="1"/>
  <c r="J774" i="1"/>
  <c r="Q776" i="1"/>
  <c r="T746" i="1"/>
  <c r="I786" i="1"/>
  <c r="X789" i="1"/>
  <c r="Q763" i="1"/>
  <c r="Y768" i="1"/>
  <c r="S792" i="1"/>
  <c r="I795" i="1"/>
  <c r="AA102" i="1"/>
  <c r="AD746" i="1"/>
  <c r="AA752" i="1"/>
  <c r="T786" i="1"/>
  <c r="R792" i="1"/>
  <c r="H795" i="1"/>
  <c r="AC746" i="1"/>
  <c r="Z752" i="1"/>
  <c r="J761" i="1"/>
  <c r="O763" i="1"/>
  <c r="AB771" i="1"/>
  <c r="R774" i="1"/>
  <c r="H783" i="1"/>
  <c r="S786" i="1"/>
  <c r="Q792" i="1"/>
  <c r="G795" i="1"/>
  <c r="AB746" i="1"/>
  <c r="AA746" i="1"/>
  <c r="D761" i="1"/>
  <c r="Z771" i="1"/>
  <c r="P774" i="1"/>
  <c r="AD786" i="1"/>
  <c r="T795" i="1"/>
  <c r="Z746" i="1"/>
  <c r="H753" i="1"/>
  <c r="AD783" i="1"/>
  <c r="AC786" i="1"/>
  <c r="J788" i="1"/>
  <c r="AD790" i="1"/>
  <c r="AD792" i="1"/>
  <c r="S795" i="1"/>
  <c r="X746" i="1"/>
  <c r="AC749" i="1"/>
  <c r="G753" i="1"/>
  <c r="R761" i="1"/>
  <c r="S769" i="1"/>
  <c r="AC774" i="1"/>
  <c r="AC783" i="1"/>
  <c r="AB786" i="1"/>
  <c r="I788" i="1"/>
  <c r="AC790" i="1"/>
  <c r="R795" i="1"/>
  <c r="AB783" i="1"/>
  <c r="AA786" i="1"/>
  <c r="AB790" i="1"/>
  <c r="AH792" i="1"/>
  <c r="Q795" i="1"/>
  <c r="S753" i="1"/>
  <c r="AD761" i="1"/>
  <c r="F764" i="1"/>
  <c r="S772" i="1"/>
  <c r="Z783" i="1"/>
  <c r="Z786" i="1"/>
  <c r="P788" i="1"/>
  <c r="AA790" i="1"/>
  <c r="P795" i="1"/>
  <c r="W754" i="1"/>
  <c r="I785" i="1"/>
  <c r="J744" i="1"/>
  <c r="I744" i="1"/>
  <c r="AA757" i="1"/>
  <c r="E773" i="1"/>
  <c r="H744" i="1"/>
  <c r="N755" i="1"/>
  <c r="AD770" i="1"/>
  <c r="D773" i="1"/>
  <c r="O780" i="1"/>
  <c r="G744" i="1"/>
  <c r="AD755" i="1"/>
  <c r="E758" i="1"/>
  <c r="I766" i="1"/>
  <c r="AH770" i="1"/>
  <c r="T773" i="1"/>
  <c r="AD780" i="1"/>
  <c r="AD744" i="1"/>
  <c r="AA755" i="1"/>
  <c r="T758" i="1"/>
  <c r="S766" i="1"/>
  <c r="AB780" i="1"/>
  <c r="Z755" i="1"/>
  <c r="S758" i="1"/>
  <c r="AB797" i="1"/>
  <c r="R758" i="1"/>
  <c r="Q766" i="1"/>
  <c r="AH780" i="1"/>
  <c r="AA797" i="1"/>
  <c r="I745" i="1"/>
  <c r="AH755" i="1"/>
  <c r="P758" i="1"/>
  <c r="Z797" i="1"/>
  <c r="H745" i="1"/>
  <c r="AD766" i="1"/>
  <c r="G745" i="1"/>
  <c r="I756" i="1"/>
  <c r="AD758" i="1"/>
  <c r="AA766" i="1"/>
  <c r="Q781" i="1"/>
  <c r="AH797" i="1"/>
  <c r="J743" i="1"/>
  <c r="J754" i="1"/>
  <c r="F756" i="1"/>
  <c r="J777" i="1"/>
  <c r="AD781" i="1"/>
  <c r="J798" i="1"/>
  <c r="T743" i="1"/>
  <c r="X745" i="1"/>
  <c r="E754" i="1"/>
  <c r="I777" i="1"/>
  <c r="AC781" i="1"/>
  <c r="I798" i="1"/>
  <c r="AB756" i="1"/>
  <c r="R767" i="1"/>
  <c r="AB781" i="1"/>
  <c r="H798" i="1"/>
  <c r="R743" i="1"/>
  <c r="AA756" i="1"/>
  <c r="AB759" i="1"/>
  <c r="T777" i="1"/>
  <c r="AA781" i="1"/>
  <c r="G798" i="1"/>
  <c r="Q743" i="1"/>
  <c r="AD754" i="1"/>
  <c r="AA759" i="1"/>
  <c r="AC767" i="1"/>
  <c r="S777" i="1"/>
  <c r="AC754" i="1"/>
  <c r="Z759" i="1"/>
  <c r="R777" i="1"/>
  <c r="AC743" i="1"/>
  <c r="AA754" i="1"/>
  <c r="J757" i="1"/>
  <c r="P777" i="1"/>
  <c r="H780" i="1"/>
  <c r="AB743" i="1"/>
  <c r="Z754" i="1"/>
  <c r="J100" i="1"/>
  <c r="G100" i="1"/>
  <c r="AD100" i="1"/>
  <c r="AC100" i="1"/>
  <c r="Y100" i="1"/>
  <c r="X100" i="1"/>
  <c r="Q113" i="1"/>
  <c r="AB113" i="1"/>
  <c r="I114" i="1"/>
  <c r="E114" i="1"/>
  <c r="D114" i="1"/>
  <c r="C114" i="1"/>
  <c r="T114" i="1"/>
  <c r="Z114" i="1"/>
  <c r="AD112" i="1"/>
  <c r="AB112" i="1"/>
  <c r="X112" i="1"/>
  <c r="AD111" i="1"/>
  <c r="AB111" i="1"/>
  <c r="Z111" i="1"/>
  <c r="J112" i="1"/>
  <c r="H112" i="1"/>
  <c r="G112" i="1"/>
  <c r="F112" i="1"/>
  <c r="E112" i="1"/>
  <c r="T112" i="1"/>
  <c r="S112" i="1"/>
  <c r="P112" i="1"/>
  <c r="O112" i="1"/>
  <c r="S110" i="1"/>
  <c r="J111" i="1"/>
  <c r="H110" i="1"/>
  <c r="E105" i="1"/>
  <c r="AH105" i="1"/>
  <c r="J106" i="1"/>
  <c r="I106" i="1"/>
  <c r="T106" i="1"/>
  <c r="R106" i="1"/>
  <c r="I109" i="1"/>
  <c r="Q106" i="1"/>
  <c r="G109" i="1"/>
  <c r="P106" i="1"/>
  <c r="T109" i="1"/>
  <c r="S109" i="1"/>
  <c r="Q109" i="1"/>
  <c r="P109" i="1"/>
  <c r="O109" i="1"/>
  <c r="AD107" i="1"/>
  <c r="N109" i="1"/>
  <c r="AB107" i="1"/>
  <c r="AA107" i="1"/>
  <c r="AC109" i="1"/>
  <c r="I105" i="1"/>
  <c r="Z107" i="1"/>
  <c r="G105" i="1"/>
  <c r="Y107" i="1"/>
  <c r="F105" i="1"/>
  <c r="X107" i="1"/>
  <c r="H98" i="1"/>
  <c r="Z577" i="1"/>
  <c r="AC600" i="1"/>
  <c r="AC603" i="1"/>
  <c r="J608" i="1"/>
  <c r="H619" i="1"/>
  <c r="Y577" i="1"/>
  <c r="AB603" i="1"/>
  <c r="I608" i="1"/>
  <c r="AA603" i="1"/>
  <c r="H608" i="1"/>
  <c r="P619" i="1"/>
  <c r="H578" i="1"/>
  <c r="T588" i="1"/>
  <c r="I601" i="1"/>
  <c r="AD619" i="1"/>
  <c r="Q588" i="1"/>
  <c r="H601" i="1"/>
  <c r="AC608" i="1"/>
  <c r="AB619" i="1"/>
  <c r="R578" i="1"/>
  <c r="E601" i="1"/>
  <c r="Y619" i="1"/>
  <c r="AD575" i="1"/>
  <c r="Q578" i="1"/>
  <c r="AH608" i="1"/>
  <c r="T616" i="1"/>
  <c r="AA575" i="1"/>
  <c r="P578" i="1"/>
  <c r="T601" i="1"/>
  <c r="S616" i="1"/>
  <c r="AD578" i="1"/>
  <c r="Q601" i="1"/>
  <c r="AC578" i="1"/>
  <c r="T589" i="1"/>
  <c r="O601" i="1"/>
  <c r="AD620" i="1"/>
  <c r="AA578" i="1"/>
  <c r="S589" i="1"/>
  <c r="J600" i="1"/>
  <c r="N601" i="1"/>
  <c r="P609" i="1"/>
  <c r="AC620" i="1"/>
  <c r="AD624" i="1"/>
  <c r="J103" i="1"/>
  <c r="Y578" i="1"/>
  <c r="Q589" i="1"/>
  <c r="H600" i="1"/>
  <c r="Z620" i="1"/>
  <c r="AC624" i="1"/>
  <c r="F103" i="1"/>
  <c r="E103" i="1"/>
  <c r="AH620" i="1"/>
  <c r="AC589" i="1"/>
  <c r="T600" i="1"/>
  <c r="AB589" i="1"/>
  <c r="S600" i="1"/>
  <c r="AA103" i="1"/>
  <c r="Y589" i="1"/>
  <c r="R600" i="1"/>
  <c r="Y103" i="1"/>
  <c r="P600" i="1"/>
  <c r="T577" i="1"/>
  <c r="O600" i="1"/>
  <c r="H603" i="1"/>
  <c r="AD595" i="1"/>
  <c r="H604" i="1"/>
  <c r="S617" i="1"/>
  <c r="I584" i="1"/>
  <c r="AA595" i="1"/>
  <c r="E604" i="1"/>
  <c r="P617" i="1"/>
  <c r="J628" i="1"/>
  <c r="I572" i="1"/>
  <c r="H584" i="1"/>
  <c r="O617" i="1"/>
  <c r="G628" i="1"/>
  <c r="J594" i="1"/>
  <c r="T604" i="1"/>
  <c r="N617" i="1"/>
  <c r="E628" i="1"/>
  <c r="T572" i="1"/>
  <c r="N584" i="1"/>
  <c r="I594" i="1"/>
  <c r="R604" i="1"/>
  <c r="D628" i="1"/>
  <c r="T581" i="1"/>
  <c r="G594" i="1"/>
  <c r="Q604" i="1"/>
  <c r="I621" i="1"/>
  <c r="AD572" i="1"/>
  <c r="AA572" i="1"/>
  <c r="AC604" i="1"/>
  <c r="AA628" i="1"/>
  <c r="Z572" i="1"/>
  <c r="AB604" i="1"/>
  <c r="Y572" i="1"/>
  <c r="F576" i="1"/>
  <c r="R594" i="1"/>
  <c r="AA604" i="1"/>
  <c r="I612" i="1"/>
  <c r="H612" i="1"/>
  <c r="AC615" i="1"/>
  <c r="P621" i="1"/>
  <c r="O594" i="1"/>
  <c r="E612" i="1"/>
  <c r="O621" i="1"/>
  <c r="AB576" i="1"/>
  <c r="AD594" i="1"/>
  <c r="AC621" i="1"/>
  <c r="AD573" i="1"/>
  <c r="J579" i="1"/>
  <c r="AC594" i="1"/>
  <c r="T598" i="1"/>
  <c r="AC612" i="1"/>
  <c r="AB621" i="1"/>
  <c r="U573" i="1"/>
  <c r="AA621" i="1"/>
  <c r="R579" i="1"/>
  <c r="O598" i="1"/>
  <c r="J574" i="1"/>
  <c r="J627" i="1"/>
  <c r="Q574" i="1"/>
  <c r="E595" i="1"/>
  <c r="Z598" i="1"/>
  <c r="C595" i="1"/>
  <c r="Y598" i="1"/>
  <c r="G617" i="1"/>
  <c r="AA627" i="1"/>
  <c r="Z627" i="1"/>
  <c r="J580" i="1"/>
  <c r="Z607" i="1"/>
  <c r="I580" i="1"/>
  <c r="T586" i="1"/>
  <c r="H580" i="1"/>
  <c r="Q586" i="1"/>
  <c r="O586" i="1"/>
  <c r="Q580" i="1"/>
  <c r="AB580" i="1"/>
  <c r="I606" i="1"/>
  <c r="G606" i="1"/>
  <c r="E606" i="1"/>
  <c r="Q590" i="1"/>
  <c r="R606" i="1"/>
  <c r="P590" i="1"/>
  <c r="Y590" i="1"/>
  <c r="Z593" i="1"/>
  <c r="I586" i="1"/>
  <c r="H586" i="1"/>
  <c r="S607" i="1"/>
  <c r="G586" i="1"/>
  <c r="F586" i="1"/>
  <c r="AA607" i="1"/>
  <c r="AC599" i="1"/>
  <c r="D613" i="1"/>
  <c r="J597" i="1"/>
  <c r="AA599" i="1"/>
  <c r="I611" i="1"/>
  <c r="G611" i="1"/>
  <c r="AD613" i="1"/>
  <c r="J622" i="1"/>
  <c r="AC613" i="1"/>
  <c r="F622" i="1"/>
  <c r="Q625" i="1"/>
  <c r="Y597" i="1"/>
  <c r="AD611" i="1"/>
  <c r="E622" i="1"/>
  <c r="AB611" i="1"/>
  <c r="AA625" i="1"/>
  <c r="T622" i="1"/>
  <c r="T602" i="1"/>
  <c r="I610" i="1"/>
  <c r="I626" i="1"/>
  <c r="S602" i="1"/>
  <c r="F626" i="1"/>
  <c r="AC585" i="1"/>
  <c r="Q602" i="1"/>
  <c r="T610" i="1"/>
  <c r="H623" i="1"/>
  <c r="P602" i="1"/>
  <c r="S610" i="1"/>
  <c r="G623" i="1"/>
  <c r="Q626" i="1"/>
  <c r="Q610" i="1"/>
  <c r="F623" i="1"/>
  <c r="F605" i="1"/>
  <c r="D605" i="1"/>
  <c r="P618" i="1"/>
  <c r="Q623" i="1"/>
  <c r="AA591" i="1"/>
  <c r="R605" i="1"/>
  <c r="AD610" i="1"/>
  <c r="Z591" i="1"/>
  <c r="AC610" i="1"/>
  <c r="J613" i="1"/>
  <c r="AC623" i="1"/>
  <c r="Y591" i="1"/>
  <c r="I596" i="1"/>
  <c r="AA605" i="1"/>
  <c r="I613" i="1"/>
  <c r="E596" i="1"/>
  <c r="T599" i="1"/>
  <c r="Z605" i="1"/>
  <c r="AA610" i="1"/>
  <c r="H613" i="1"/>
  <c r="AA638" i="1"/>
  <c r="AB643" i="1"/>
  <c r="AA664" i="1"/>
  <c r="AD681" i="1"/>
  <c r="AD635" i="1"/>
  <c r="Y638" i="1"/>
  <c r="AA643" i="1"/>
  <c r="S657" i="1"/>
  <c r="J662" i="1"/>
  <c r="Z664" i="1"/>
  <c r="T675" i="1"/>
  <c r="Z681" i="1"/>
  <c r="T656" i="1"/>
  <c r="AD665" i="1"/>
  <c r="I682" i="1"/>
  <c r="H684" i="1"/>
  <c r="G634" i="1"/>
  <c r="R642" i="1"/>
  <c r="S646" i="1"/>
  <c r="T654" i="1"/>
  <c r="S656" i="1"/>
  <c r="AC657" i="1"/>
  <c r="AH659" i="1"/>
  <c r="AC665" i="1"/>
  <c r="H682" i="1"/>
  <c r="E684" i="1"/>
  <c r="P642" i="1"/>
  <c r="T644" i="1"/>
  <c r="R646" i="1"/>
  <c r="S654" i="1"/>
  <c r="R656" i="1"/>
  <c r="Z657" i="1"/>
  <c r="I663" i="1"/>
  <c r="AB665" i="1"/>
  <c r="S634" i="1"/>
  <c r="AC639" i="1"/>
  <c r="S644" i="1"/>
  <c r="Q646" i="1"/>
  <c r="R654" i="1"/>
  <c r="Q656" i="1"/>
  <c r="Y657" i="1"/>
  <c r="J660" i="1"/>
  <c r="G663" i="1"/>
  <c r="AA665" i="1"/>
  <c r="J669" i="1"/>
  <c r="T684" i="1"/>
  <c r="R634" i="1"/>
  <c r="J637" i="1"/>
  <c r="AA639" i="1"/>
  <c r="AB642" i="1"/>
  <c r="R644" i="1"/>
  <c r="O684" i="1"/>
  <c r="I637" i="1"/>
  <c r="Z639" i="1"/>
  <c r="AA642" i="1"/>
  <c r="Q644" i="1"/>
  <c r="F660" i="1"/>
  <c r="T669" i="1"/>
  <c r="AD634" i="1"/>
  <c r="X639" i="1"/>
  <c r="P644" i="1"/>
  <c r="AD656" i="1"/>
  <c r="AD663" i="1"/>
  <c r="S669" i="1"/>
  <c r="AA682" i="1"/>
  <c r="AA684" i="1"/>
  <c r="AD654" i="1"/>
  <c r="AC656" i="1"/>
  <c r="H658" i="1"/>
  <c r="T660" i="1"/>
  <c r="AA663" i="1"/>
  <c r="J666" i="1"/>
  <c r="Z682" i="1"/>
  <c r="AB634" i="1"/>
  <c r="S637" i="1"/>
  <c r="J643" i="1"/>
  <c r="AD644" i="1"/>
  <c r="Y646" i="1"/>
  <c r="AB654" i="1"/>
  <c r="AB656" i="1"/>
  <c r="F658" i="1"/>
  <c r="Z663" i="1"/>
  <c r="AD669" i="1"/>
  <c r="Y682" i="1"/>
  <c r="AA634" i="1"/>
  <c r="I643" i="1"/>
  <c r="AC644" i="1"/>
  <c r="AA656" i="1"/>
  <c r="AD660" i="1"/>
  <c r="Y663" i="1"/>
  <c r="T666" i="1"/>
  <c r="AB669" i="1"/>
  <c r="Z634" i="1"/>
  <c r="H643" i="1"/>
  <c r="AB644" i="1"/>
  <c r="Z656" i="1"/>
  <c r="T658" i="1"/>
  <c r="AC660" i="1"/>
  <c r="X663" i="1"/>
  <c r="S666" i="1"/>
  <c r="Y634" i="1"/>
  <c r="G643" i="1"/>
  <c r="AA644" i="1"/>
  <c r="I655" i="1"/>
  <c r="Y656" i="1"/>
  <c r="AB660" i="1"/>
  <c r="J683" i="1"/>
  <c r="H638" i="1"/>
  <c r="Z644" i="1"/>
  <c r="H655" i="1"/>
  <c r="X656" i="1"/>
  <c r="G683" i="1"/>
  <c r="E638" i="1"/>
  <c r="Y644" i="1"/>
  <c r="F683" i="1"/>
  <c r="S664" i="1"/>
  <c r="E683" i="1"/>
  <c r="S638" i="1"/>
  <c r="S655" i="1"/>
  <c r="J657" i="1"/>
  <c r="AC658" i="1"/>
  <c r="P664" i="1"/>
  <c r="T677" i="1"/>
  <c r="T635" i="1"/>
  <c r="AD643" i="1"/>
  <c r="R655" i="1"/>
  <c r="H657" i="1"/>
  <c r="AB658" i="1"/>
  <c r="J675" i="1"/>
  <c r="Q683" i="1"/>
  <c r="S635" i="1"/>
  <c r="AB638" i="1"/>
  <c r="AC643" i="1"/>
  <c r="X658" i="1"/>
  <c r="AD664" i="1"/>
  <c r="I675" i="1"/>
  <c r="P683" i="1"/>
  <c r="P670" i="1"/>
  <c r="N629" i="1"/>
  <c r="G631" i="1"/>
  <c r="R633" i="1"/>
  <c r="AD670" i="1"/>
  <c r="T679" i="1"/>
  <c r="F631" i="1"/>
  <c r="P633" i="1"/>
  <c r="H668" i="1"/>
  <c r="AB670" i="1"/>
  <c r="T673" i="1"/>
  <c r="P679" i="1"/>
  <c r="E631" i="1"/>
  <c r="I641" i="1"/>
  <c r="J649" i="1"/>
  <c r="G652" i="1"/>
  <c r="G668" i="1"/>
  <c r="Y670" i="1"/>
  <c r="Q673" i="1"/>
  <c r="O679" i="1"/>
  <c r="AB633" i="1"/>
  <c r="I649" i="1"/>
  <c r="E652" i="1"/>
  <c r="F668" i="1"/>
  <c r="O673" i="1"/>
  <c r="Z633" i="1"/>
  <c r="T641" i="1"/>
  <c r="H649" i="1"/>
  <c r="E668" i="1"/>
  <c r="S641" i="1"/>
  <c r="T652" i="1"/>
  <c r="AC673" i="1"/>
  <c r="E630" i="1"/>
  <c r="R641" i="1"/>
  <c r="J647" i="1"/>
  <c r="Y673" i="1"/>
  <c r="AA631" i="1"/>
  <c r="Q641" i="1"/>
  <c r="I647" i="1"/>
  <c r="AD649" i="1"/>
  <c r="Z652" i="1"/>
  <c r="AB668" i="1"/>
  <c r="T630" i="1"/>
  <c r="P641" i="1"/>
  <c r="H647" i="1"/>
  <c r="Y652" i="1"/>
  <c r="AA668" i="1"/>
  <c r="R630" i="1"/>
  <c r="J674" i="1"/>
  <c r="Q630" i="1"/>
  <c r="J632" i="1"/>
  <c r="AD641" i="1"/>
  <c r="T647" i="1"/>
  <c r="I650" i="1"/>
  <c r="AH652" i="1"/>
  <c r="H685" i="1"/>
  <c r="P630" i="1"/>
  <c r="I632" i="1"/>
  <c r="AC641" i="1"/>
  <c r="S647" i="1"/>
  <c r="G685" i="1"/>
  <c r="Z641" i="1"/>
  <c r="AD647" i="1"/>
  <c r="Q650" i="1"/>
  <c r="S653" i="1"/>
  <c r="AC630" i="1"/>
  <c r="T632" i="1"/>
  <c r="X641" i="1"/>
  <c r="AB647" i="1"/>
  <c r="R653" i="1"/>
  <c r="AB630" i="1"/>
  <c r="R632" i="1"/>
  <c r="W641" i="1"/>
  <c r="AD650" i="1"/>
  <c r="Q653" i="1"/>
  <c r="P672" i="1"/>
  <c r="AC650" i="1"/>
  <c r="P653" i="1"/>
  <c r="AB650" i="1"/>
  <c r="AD672" i="1"/>
  <c r="T648" i="1"/>
  <c r="AA650" i="1"/>
  <c r="AD653" i="1"/>
  <c r="AA672" i="1"/>
  <c r="X630" i="1"/>
  <c r="G633" i="1"/>
  <c r="AC653" i="1"/>
  <c r="Z672" i="1"/>
  <c r="F633" i="1"/>
  <c r="AB653" i="1"/>
  <c r="AA460" i="1"/>
  <c r="Y475" i="1"/>
  <c r="AB488" i="1"/>
  <c r="I491" i="1"/>
  <c r="G505" i="1"/>
  <c r="AA488" i="1"/>
  <c r="I469" i="1"/>
  <c r="Z488" i="1"/>
  <c r="Y488" i="1"/>
  <c r="AD491" i="1"/>
  <c r="Z505" i="1"/>
  <c r="T469" i="1"/>
  <c r="X488" i="1"/>
  <c r="AA491" i="1"/>
  <c r="AA496" i="1"/>
  <c r="AD469" i="1"/>
  <c r="Z496" i="1"/>
  <c r="AC469" i="1"/>
  <c r="Y496" i="1"/>
  <c r="AB469" i="1"/>
  <c r="X496" i="1"/>
  <c r="Z469" i="1"/>
  <c r="J467" i="1"/>
  <c r="Y469" i="1"/>
  <c r="I497" i="1"/>
  <c r="T467" i="1"/>
  <c r="H497" i="1"/>
  <c r="S467" i="1"/>
  <c r="G497" i="1"/>
  <c r="J460" i="1"/>
  <c r="H475" i="1"/>
  <c r="I460" i="1"/>
  <c r="G475" i="1"/>
  <c r="S497" i="1"/>
  <c r="H490" i="1"/>
  <c r="G460" i="1"/>
  <c r="J468" i="1"/>
  <c r="T475" i="1"/>
  <c r="T488" i="1"/>
  <c r="AD497" i="1"/>
  <c r="F460" i="1"/>
  <c r="I468" i="1"/>
  <c r="S475" i="1"/>
  <c r="S488" i="1"/>
  <c r="T490" i="1"/>
  <c r="Z497" i="1"/>
  <c r="E460" i="1"/>
  <c r="O475" i="1"/>
  <c r="R488" i="1"/>
  <c r="Y497" i="1"/>
  <c r="T471" i="1"/>
  <c r="N475" i="1"/>
  <c r="Q488" i="1"/>
  <c r="AD513" i="1"/>
  <c r="P458" i="1"/>
  <c r="S473" i="1"/>
  <c r="T476" i="1"/>
  <c r="AC481" i="1"/>
  <c r="AC484" i="1"/>
  <c r="Q514" i="1"/>
  <c r="J464" i="1"/>
  <c r="R473" i="1"/>
  <c r="S476" i="1"/>
  <c r="AB481" i="1"/>
  <c r="AB484" i="1"/>
  <c r="AD500" i="1"/>
  <c r="AD506" i="1"/>
  <c r="AB458" i="1"/>
  <c r="I464" i="1"/>
  <c r="AA481" i="1"/>
  <c r="AA484" i="1"/>
  <c r="AC506" i="1"/>
  <c r="O510" i="1"/>
  <c r="AD514" i="1"/>
  <c r="AA458" i="1"/>
  <c r="H464" i="1"/>
  <c r="J480" i="1"/>
  <c r="Z481" i="1"/>
  <c r="Z484" i="1"/>
  <c r="AA506" i="1"/>
  <c r="AC514" i="1"/>
  <c r="AD510" i="1"/>
  <c r="AB510" i="1"/>
  <c r="T480" i="1"/>
  <c r="S480" i="1"/>
  <c r="R480" i="1"/>
  <c r="Q480" i="1"/>
  <c r="F462" i="1"/>
  <c r="O480" i="1"/>
  <c r="T483" i="1"/>
  <c r="R462" i="1"/>
  <c r="S483" i="1"/>
  <c r="T492" i="1"/>
  <c r="P462" i="1"/>
  <c r="J472" i="1"/>
  <c r="R483" i="1"/>
  <c r="S492" i="1"/>
  <c r="O462" i="1"/>
  <c r="I472" i="1"/>
  <c r="I479" i="1"/>
  <c r="AH480" i="1"/>
  <c r="Q483" i="1"/>
  <c r="R492" i="1"/>
  <c r="N462" i="1"/>
  <c r="G472" i="1"/>
  <c r="H479" i="1"/>
  <c r="O483" i="1"/>
  <c r="N492" i="1"/>
  <c r="M462" i="1"/>
  <c r="F472" i="1"/>
  <c r="G479" i="1"/>
  <c r="F479" i="1"/>
  <c r="I481" i="1"/>
  <c r="Z483" i="1"/>
  <c r="AD492" i="1"/>
  <c r="I458" i="1"/>
  <c r="AC462" i="1"/>
  <c r="P472" i="1"/>
  <c r="H481" i="1"/>
  <c r="AC492" i="1"/>
  <c r="AH483" i="1"/>
  <c r="AB492" i="1"/>
  <c r="AD479" i="1"/>
  <c r="T481" i="1"/>
  <c r="Z492" i="1"/>
  <c r="T458" i="1"/>
  <c r="S481" i="1"/>
  <c r="Y492" i="1"/>
  <c r="T506" i="1"/>
  <c r="Q465" i="1"/>
  <c r="I474" i="1"/>
  <c r="AB486" i="1"/>
  <c r="Q494" i="1"/>
  <c r="T499" i="1"/>
  <c r="H508" i="1"/>
  <c r="P465" i="1"/>
  <c r="AA486" i="1"/>
  <c r="P494" i="1"/>
  <c r="S508" i="1"/>
  <c r="AB465" i="1"/>
  <c r="AD474" i="1"/>
  <c r="AC494" i="1"/>
  <c r="AC499" i="1"/>
  <c r="R508" i="1"/>
  <c r="Z465" i="1"/>
  <c r="AC474" i="1"/>
  <c r="AB499" i="1"/>
  <c r="H511" i="1"/>
  <c r="Y465" i="1"/>
  <c r="AB474" i="1"/>
  <c r="X499" i="1"/>
  <c r="AD508" i="1"/>
  <c r="X465" i="1"/>
  <c r="AA474" i="1"/>
  <c r="AC508" i="1"/>
  <c r="Z474" i="1"/>
  <c r="Q477" i="1"/>
  <c r="I495" i="1"/>
  <c r="AA508" i="1"/>
  <c r="H495" i="1"/>
  <c r="F495" i="1"/>
  <c r="T461" i="1"/>
  <c r="J509" i="1"/>
  <c r="T512" i="1"/>
  <c r="S461" i="1"/>
  <c r="J478" i="1"/>
  <c r="T495" i="1"/>
  <c r="S512" i="1"/>
  <c r="R461" i="1"/>
  <c r="I478" i="1"/>
  <c r="Q495" i="1"/>
  <c r="I498" i="1"/>
  <c r="S509" i="1"/>
  <c r="Q512" i="1"/>
  <c r="Q461" i="1"/>
  <c r="H478" i="1"/>
  <c r="G478" i="1"/>
  <c r="AD495" i="1"/>
  <c r="S498" i="1"/>
  <c r="AD461" i="1"/>
  <c r="F478" i="1"/>
  <c r="S482" i="1"/>
  <c r="S493" i="1"/>
  <c r="Q498" i="1"/>
  <c r="AC461" i="1"/>
  <c r="E478" i="1"/>
  <c r="R482" i="1"/>
  <c r="P498" i="1"/>
  <c r="AA461" i="1"/>
  <c r="AD493" i="1"/>
  <c r="O498" i="1"/>
  <c r="AC509" i="1"/>
  <c r="F465" i="1"/>
  <c r="AD478" i="1"/>
  <c r="AD498" i="1"/>
  <c r="E465" i="1"/>
  <c r="AA498" i="1"/>
  <c r="Q486" i="1"/>
  <c r="R519" i="1"/>
  <c r="H525" i="1"/>
  <c r="I528" i="1"/>
  <c r="Z533" i="1"/>
  <c r="Y539" i="1"/>
  <c r="R544" i="1"/>
  <c r="H547" i="1"/>
  <c r="S550" i="1"/>
  <c r="S567" i="1"/>
  <c r="AA570" i="1"/>
  <c r="R516" i="1"/>
  <c r="Q519" i="1"/>
  <c r="H528" i="1"/>
  <c r="Y533" i="1"/>
  <c r="X539" i="1"/>
  <c r="Q550" i="1"/>
  <c r="T558" i="1"/>
  <c r="R567" i="1"/>
  <c r="Z570" i="1"/>
  <c r="AD544" i="1"/>
  <c r="Y570" i="1"/>
  <c r="T528" i="1"/>
  <c r="AB544" i="1"/>
  <c r="AC550" i="1"/>
  <c r="Y558" i="1"/>
  <c r="X570" i="1"/>
  <c r="N516" i="1"/>
  <c r="S528" i="1"/>
  <c r="AD547" i="1"/>
  <c r="AC555" i="1"/>
  <c r="AB525" i="1"/>
  <c r="R528" i="1"/>
  <c r="H540" i="1"/>
  <c r="D542" i="1"/>
  <c r="AH544" i="1"/>
  <c r="AB547" i="1"/>
  <c r="AA555" i="1"/>
  <c r="J568" i="1"/>
  <c r="J520" i="1"/>
  <c r="Z525" i="1"/>
  <c r="AD528" i="1"/>
  <c r="C540" i="1"/>
  <c r="F559" i="1"/>
  <c r="T568" i="1"/>
  <c r="T571" i="1"/>
  <c r="H520" i="1"/>
  <c r="AC528" i="1"/>
  <c r="Y542" i="1"/>
  <c r="Q568" i="1"/>
  <c r="F520" i="1"/>
  <c r="AC523" i="1"/>
  <c r="AB528" i="1"/>
  <c r="I532" i="1"/>
  <c r="T540" i="1"/>
  <c r="X542" i="1"/>
  <c r="S559" i="1"/>
  <c r="P568" i="1"/>
  <c r="AC571" i="1"/>
  <c r="J538" i="1"/>
  <c r="S520" i="1"/>
  <c r="S526" i="1"/>
  <c r="AB532" i="1"/>
  <c r="J543" i="1"/>
  <c r="R520" i="1"/>
  <c r="S524" i="1"/>
  <c r="AD538" i="1"/>
  <c r="AB540" i="1"/>
  <c r="T543" i="1"/>
  <c r="I557" i="1"/>
  <c r="T560" i="1"/>
  <c r="J515" i="1"/>
  <c r="AD520" i="1"/>
  <c r="AC524" i="1"/>
  <c r="AH526" i="1"/>
  <c r="S543" i="1"/>
  <c r="T549" i="1"/>
  <c r="S560" i="1"/>
  <c r="I515" i="1"/>
  <c r="T518" i="1"/>
  <c r="AC520" i="1"/>
  <c r="AB524" i="1"/>
  <c r="O557" i="1"/>
  <c r="G515" i="1"/>
  <c r="S518" i="1"/>
  <c r="AB520" i="1"/>
  <c r="AA524" i="1"/>
  <c r="I527" i="1"/>
  <c r="P543" i="1"/>
  <c r="N557" i="1"/>
  <c r="R518" i="1"/>
  <c r="Z524" i="1"/>
  <c r="T515" i="1"/>
  <c r="P518" i="1"/>
  <c r="AH520" i="1"/>
  <c r="Y524" i="1"/>
  <c r="R527" i="1"/>
  <c r="S533" i="1"/>
  <c r="AB549" i="1"/>
  <c r="G561" i="1"/>
  <c r="T570" i="1"/>
  <c r="Q515" i="1"/>
  <c r="X524" i="1"/>
  <c r="AB543" i="1"/>
  <c r="AH557" i="1"/>
  <c r="S570" i="1"/>
  <c r="AD533" i="1"/>
  <c r="AG557" i="1"/>
  <c r="R561" i="1"/>
  <c r="AC533" i="1"/>
  <c r="AC539" i="1"/>
  <c r="Q561" i="1"/>
  <c r="AD570" i="1"/>
  <c r="F87" i="1"/>
  <c r="E87" i="1"/>
  <c r="P529" i="1"/>
  <c r="AB531" i="1"/>
  <c r="J553" i="1"/>
  <c r="T565" i="1"/>
  <c r="S87" i="1"/>
  <c r="T522" i="1"/>
  <c r="G548" i="1"/>
  <c r="I553" i="1"/>
  <c r="Q87" i="1"/>
  <c r="R522" i="1"/>
  <c r="AB529" i="1"/>
  <c r="E548" i="1"/>
  <c r="H553" i="1"/>
  <c r="AC565" i="1"/>
  <c r="P87" i="1"/>
  <c r="I517" i="1"/>
  <c r="AA529" i="1"/>
  <c r="C548" i="1"/>
  <c r="F553" i="1"/>
  <c r="AB565" i="1"/>
  <c r="O87" i="1"/>
  <c r="AD522" i="1"/>
  <c r="Z529" i="1"/>
  <c r="E553" i="1"/>
  <c r="I556" i="1"/>
  <c r="AA565" i="1"/>
  <c r="M87" i="1"/>
  <c r="T517" i="1"/>
  <c r="AC522" i="1"/>
  <c r="Y529" i="1"/>
  <c r="T548" i="1"/>
  <c r="I551" i="1"/>
  <c r="D553" i="1"/>
  <c r="H556" i="1"/>
  <c r="AD562" i="1"/>
  <c r="Z565" i="1"/>
  <c r="AB522" i="1"/>
  <c r="X529" i="1"/>
  <c r="G556" i="1"/>
  <c r="AC562" i="1"/>
  <c r="Y565" i="1"/>
  <c r="AA522" i="1"/>
  <c r="W529" i="1"/>
  <c r="S551" i="1"/>
  <c r="S553" i="1"/>
  <c r="E556" i="1"/>
  <c r="Z562" i="1"/>
  <c r="Z522" i="1"/>
  <c r="AB548" i="1"/>
  <c r="Q551" i="1"/>
  <c r="Y562" i="1"/>
  <c r="I569" i="1"/>
  <c r="Y522" i="1"/>
  <c r="AA548" i="1"/>
  <c r="T556" i="1"/>
  <c r="X562" i="1"/>
  <c r="H566" i="1"/>
  <c r="AA551" i="1"/>
  <c r="T569" i="1"/>
  <c r="Z551" i="1"/>
  <c r="S569" i="1"/>
  <c r="T554" i="1"/>
  <c r="AD566" i="1"/>
  <c r="S554" i="1"/>
  <c r="R563" i="1"/>
  <c r="AC566" i="1"/>
  <c r="Y569" i="1"/>
  <c r="S552" i="1"/>
  <c r="AC554" i="1"/>
  <c r="R552" i="1"/>
  <c r="Q552" i="1"/>
  <c r="Z554" i="1"/>
  <c r="S564" i="1"/>
  <c r="J87" i="1"/>
  <c r="I529" i="1"/>
  <c r="P552" i="1"/>
  <c r="Y554" i="1"/>
  <c r="I87" i="1"/>
  <c r="AC521" i="1"/>
  <c r="G529" i="1"/>
  <c r="S531" i="1"/>
  <c r="AA564" i="1"/>
  <c r="AB99" i="1"/>
  <c r="I81" i="1"/>
  <c r="H81" i="1"/>
  <c r="AD81" i="1"/>
  <c r="J97" i="1"/>
  <c r="I97" i="1"/>
  <c r="Z351" i="1"/>
  <c r="Z368" i="1"/>
  <c r="AD382" i="1"/>
  <c r="J395" i="1"/>
  <c r="I395" i="1"/>
  <c r="G349" i="1"/>
  <c r="J396" i="1"/>
  <c r="J392" i="1"/>
  <c r="I392" i="1"/>
  <c r="H392" i="1"/>
  <c r="AB396" i="1"/>
  <c r="I358" i="1"/>
  <c r="G392" i="1"/>
  <c r="AA396" i="1"/>
  <c r="F354" i="1"/>
  <c r="H358" i="1"/>
  <c r="Z396" i="1"/>
  <c r="E354" i="1"/>
  <c r="H397" i="1"/>
  <c r="AD354" i="1"/>
  <c r="G368" i="1"/>
  <c r="S351" i="1"/>
  <c r="AC354" i="1"/>
  <c r="S397" i="1"/>
  <c r="I95" i="1"/>
  <c r="R368" i="1"/>
  <c r="AD351" i="1"/>
  <c r="T95" i="1"/>
  <c r="AB351" i="1"/>
  <c r="AB368" i="1"/>
  <c r="I390" i="1"/>
  <c r="X345" i="1"/>
  <c r="N357" i="1"/>
  <c r="AD372" i="1"/>
  <c r="E383" i="1"/>
  <c r="T389" i="1"/>
  <c r="G399" i="1"/>
  <c r="W345" i="1"/>
  <c r="R389" i="1"/>
  <c r="F399" i="1"/>
  <c r="S378" i="1"/>
  <c r="T383" i="1"/>
  <c r="Q389" i="1"/>
  <c r="D399" i="1"/>
  <c r="AC375" i="1"/>
  <c r="R378" i="1"/>
  <c r="AB375" i="1"/>
  <c r="Q378" i="1"/>
  <c r="S399" i="1"/>
  <c r="AA375" i="1"/>
  <c r="P378" i="1"/>
  <c r="R399" i="1"/>
  <c r="Y375" i="1"/>
  <c r="O378" i="1"/>
  <c r="N383" i="1"/>
  <c r="Q399" i="1"/>
  <c r="J344" i="1"/>
  <c r="P399" i="1"/>
  <c r="H344" i="1"/>
  <c r="AD378" i="1"/>
  <c r="AC383" i="1"/>
  <c r="G344" i="1"/>
  <c r="AC378" i="1"/>
  <c r="AA383" i="1"/>
  <c r="F344" i="1"/>
  <c r="AB378" i="1"/>
  <c r="Z378" i="1"/>
  <c r="H363" i="1"/>
  <c r="Y378" i="1"/>
  <c r="R363" i="1"/>
  <c r="T391" i="1"/>
  <c r="I345" i="1"/>
  <c r="J348" i="1"/>
  <c r="X384" i="1"/>
  <c r="S391" i="1"/>
  <c r="H345" i="1"/>
  <c r="AA363" i="1"/>
  <c r="R391" i="1"/>
  <c r="G345" i="1"/>
  <c r="O348" i="1"/>
  <c r="AC360" i="1"/>
  <c r="P391" i="1"/>
  <c r="AA360" i="1"/>
  <c r="J375" i="1"/>
  <c r="I385" i="1"/>
  <c r="O391" i="1"/>
  <c r="F375" i="1"/>
  <c r="G385" i="1"/>
  <c r="J389" i="1"/>
  <c r="AB345" i="1"/>
  <c r="T372" i="1"/>
  <c r="J383" i="1"/>
  <c r="E385" i="1"/>
  <c r="G389" i="1"/>
  <c r="AC391" i="1"/>
  <c r="AA345" i="1"/>
  <c r="S372" i="1"/>
  <c r="T375" i="1"/>
  <c r="I383" i="1"/>
  <c r="F389" i="1"/>
  <c r="AB391" i="1"/>
  <c r="J356" i="1"/>
  <c r="I356" i="1"/>
  <c r="H356" i="1"/>
  <c r="AD356" i="1"/>
  <c r="AB356" i="1"/>
  <c r="AA356" i="1"/>
  <c r="Z356" i="1"/>
  <c r="Y350" i="1"/>
  <c r="Z359" i="1"/>
  <c r="AC365" i="1"/>
  <c r="O347" i="1"/>
  <c r="AD347" i="1"/>
  <c r="J366" i="1"/>
  <c r="I366" i="1"/>
  <c r="AD393" i="1"/>
  <c r="H366" i="1"/>
  <c r="AC393" i="1"/>
  <c r="AB388" i="1"/>
  <c r="Z369" i="1"/>
  <c r="AA388" i="1"/>
  <c r="AA366" i="1"/>
  <c r="Z388" i="1"/>
  <c r="H394" i="1"/>
  <c r="I346" i="1"/>
  <c r="T364" i="1"/>
  <c r="AH366" i="1"/>
  <c r="T394" i="1"/>
  <c r="H346" i="1"/>
  <c r="S364" i="1"/>
  <c r="S394" i="1"/>
  <c r="F346" i="1"/>
  <c r="J352" i="1"/>
  <c r="O364" i="1"/>
  <c r="J367" i="1"/>
  <c r="AD370" i="1"/>
  <c r="R394" i="1"/>
  <c r="E346" i="1"/>
  <c r="I352" i="1"/>
  <c r="G367" i="1"/>
  <c r="AC370" i="1"/>
  <c r="Q394" i="1"/>
  <c r="H352" i="1"/>
  <c r="AD364" i="1"/>
  <c r="AB370" i="1"/>
  <c r="S346" i="1"/>
  <c r="N355" i="1"/>
  <c r="Z370" i="1"/>
  <c r="Y394" i="1"/>
  <c r="AD367" i="1"/>
  <c r="Y370" i="1"/>
  <c r="AC352" i="1"/>
  <c r="AB355" i="1"/>
  <c r="J365" i="1"/>
  <c r="W370" i="1"/>
  <c r="AC346" i="1"/>
  <c r="AD350" i="1"/>
  <c r="AB352" i="1"/>
  <c r="AA355" i="1"/>
  <c r="G365" i="1"/>
  <c r="Z346" i="1"/>
  <c r="AC350" i="1"/>
  <c r="Z352" i="1"/>
  <c r="X346" i="1"/>
  <c r="AB350" i="1"/>
  <c r="Y352" i="1"/>
  <c r="AB362" i="1"/>
  <c r="T365" i="1"/>
  <c r="T448" i="1"/>
  <c r="Q417" i="1"/>
  <c r="R429" i="1"/>
  <c r="H432" i="1"/>
  <c r="Z434" i="1"/>
  <c r="AC439" i="1"/>
  <c r="Y444" i="1"/>
  <c r="R448" i="1"/>
  <c r="I451" i="1"/>
  <c r="I455" i="1"/>
  <c r="R408" i="1"/>
  <c r="AB411" i="1"/>
  <c r="AB417" i="1"/>
  <c r="M429" i="1"/>
  <c r="J440" i="1"/>
  <c r="H455" i="1"/>
  <c r="Z411" i="1"/>
  <c r="AA417" i="1"/>
  <c r="E428" i="1"/>
  <c r="T432" i="1"/>
  <c r="I440" i="1"/>
  <c r="G455" i="1"/>
  <c r="S432" i="1"/>
  <c r="H440" i="1"/>
  <c r="F455" i="1"/>
  <c r="X411" i="1"/>
  <c r="T421" i="1"/>
  <c r="T428" i="1"/>
  <c r="AH429" i="1"/>
  <c r="R432" i="1"/>
  <c r="J438" i="1"/>
  <c r="G440" i="1"/>
  <c r="E455" i="1"/>
  <c r="R428" i="1"/>
  <c r="AG429" i="1"/>
  <c r="P428" i="1"/>
  <c r="J450" i="1"/>
  <c r="Q412" i="1"/>
  <c r="J425" i="1"/>
  <c r="AD428" i="1"/>
  <c r="O430" i="1"/>
  <c r="J433" i="1"/>
  <c r="AC440" i="1"/>
  <c r="I450" i="1"/>
  <c r="I410" i="1"/>
  <c r="P412" i="1"/>
  <c r="S416" i="1"/>
  <c r="AC428" i="1"/>
  <c r="I433" i="1"/>
  <c r="AD438" i="1"/>
  <c r="AA440" i="1"/>
  <c r="H450" i="1"/>
  <c r="E403" i="1"/>
  <c r="AA421" i="1"/>
  <c r="T425" i="1"/>
  <c r="AB428" i="1"/>
  <c r="AD430" i="1"/>
  <c r="AC438" i="1"/>
  <c r="X440" i="1"/>
  <c r="G450" i="1"/>
  <c r="AC412" i="1"/>
  <c r="AC416" i="1"/>
  <c r="R425" i="1"/>
  <c r="AA428" i="1"/>
  <c r="AB430" i="1"/>
  <c r="S433" i="1"/>
  <c r="AB438" i="1"/>
  <c r="E450" i="1"/>
  <c r="T403" i="1"/>
  <c r="Z428" i="1"/>
  <c r="Z430" i="1"/>
  <c r="Z438" i="1"/>
  <c r="J444" i="1"/>
  <c r="D450" i="1"/>
  <c r="AA412" i="1"/>
  <c r="X428" i="1"/>
  <c r="AD433" i="1"/>
  <c r="X438" i="1"/>
  <c r="H441" i="1"/>
  <c r="I444" i="1"/>
  <c r="J457" i="1"/>
  <c r="J417" i="1"/>
  <c r="W428" i="1"/>
  <c r="G441" i="1"/>
  <c r="H444" i="1"/>
  <c r="H447" i="1"/>
  <c r="S450" i="1"/>
  <c r="H417" i="1"/>
  <c r="F441" i="1"/>
  <c r="F444" i="1"/>
  <c r="G447" i="1"/>
  <c r="R450" i="1"/>
  <c r="O457" i="1"/>
  <c r="G417" i="1"/>
  <c r="I420" i="1"/>
  <c r="T431" i="1"/>
  <c r="J439" i="1"/>
  <c r="F417" i="1"/>
  <c r="H420" i="1"/>
  <c r="I429" i="1"/>
  <c r="P431" i="1"/>
  <c r="H439" i="1"/>
  <c r="C441" i="1"/>
  <c r="AB450" i="1"/>
  <c r="AB457" i="1"/>
  <c r="E417" i="1"/>
  <c r="H429" i="1"/>
  <c r="T444" i="1"/>
  <c r="Y450" i="1"/>
  <c r="Z457" i="1"/>
  <c r="F78" i="1"/>
  <c r="J401" i="1"/>
  <c r="F423" i="1"/>
  <c r="S426" i="1"/>
  <c r="Y413" i="1"/>
  <c r="I419" i="1"/>
  <c r="AC401" i="1"/>
  <c r="X413" i="1"/>
  <c r="H419" i="1"/>
  <c r="AB405" i="1"/>
  <c r="G419" i="1"/>
  <c r="AA405" i="1"/>
  <c r="F419" i="1"/>
  <c r="J424" i="1"/>
  <c r="J402" i="1"/>
  <c r="Z405" i="1"/>
  <c r="E419" i="1"/>
  <c r="I402" i="1"/>
  <c r="Y405" i="1"/>
  <c r="R424" i="1"/>
  <c r="R453" i="1"/>
  <c r="T456" i="1"/>
  <c r="H402" i="1"/>
  <c r="S456" i="1"/>
  <c r="AC419" i="1"/>
  <c r="AD424" i="1"/>
  <c r="AC453" i="1"/>
  <c r="R456" i="1"/>
  <c r="Z419" i="1"/>
  <c r="AB424" i="1"/>
  <c r="H445" i="1"/>
  <c r="AB453" i="1"/>
  <c r="Q456" i="1"/>
  <c r="X419" i="1"/>
  <c r="AA453" i="1"/>
  <c r="T445" i="1"/>
  <c r="Z453" i="1"/>
  <c r="AD456" i="1"/>
  <c r="R445" i="1"/>
  <c r="X453" i="1"/>
  <c r="AC456" i="1"/>
  <c r="Y409" i="1"/>
  <c r="T415" i="1"/>
  <c r="S415" i="1"/>
  <c r="J443" i="1"/>
  <c r="AD445" i="1"/>
  <c r="R415" i="1"/>
  <c r="AC445" i="1"/>
  <c r="P415" i="1"/>
  <c r="Y445" i="1"/>
  <c r="J423" i="1"/>
  <c r="J426" i="1"/>
  <c r="I423" i="1"/>
  <c r="H426" i="1"/>
  <c r="Y88" i="1"/>
  <c r="W88" i="1"/>
  <c r="T91" i="1"/>
  <c r="J89" i="1"/>
  <c r="R91" i="1"/>
  <c r="I89" i="1"/>
  <c r="Q91" i="1"/>
  <c r="J75" i="1"/>
  <c r="H89" i="1"/>
  <c r="P91" i="1"/>
  <c r="F75" i="1"/>
  <c r="O91" i="1"/>
  <c r="AC75" i="1"/>
  <c r="AB89" i="1"/>
  <c r="AB75" i="1"/>
  <c r="AA75" i="1"/>
  <c r="Z75" i="1"/>
  <c r="Y89" i="1"/>
  <c r="AC92" i="1"/>
  <c r="Y75" i="1"/>
  <c r="AB92" i="1"/>
  <c r="Y92" i="1"/>
  <c r="H90" i="1"/>
  <c r="Q88" i="1"/>
  <c r="O88" i="1"/>
  <c r="S90" i="1"/>
  <c r="I85" i="1"/>
  <c r="T85" i="1"/>
  <c r="S85" i="1"/>
  <c r="AD85" i="1"/>
  <c r="AC85" i="1"/>
  <c r="AB85" i="1"/>
  <c r="I86" i="1"/>
  <c r="H86" i="1"/>
  <c r="G86" i="1"/>
  <c r="G84" i="1"/>
  <c r="AA84" i="1"/>
  <c r="R72" i="1"/>
  <c r="Q72" i="1"/>
  <c r="P72" i="1"/>
  <c r="AB72" i="1"/>
  <c r="I82" i="1"/>
  <c r="AC82" i="1"/>
  <c r="AB82" i="1"/>
  <c r="Y82" i="1"/>
  <c r="J72" i="1"/>
  <c r="Y79" i="1"/>
  <c r="X79" i="1"/>
  <c r="J71" i="1"/>
  <c r="S71" i="1"/>
  <c r="R76" i="1"/>
  <c r="Q76" i="1"/>
  <c r="AA76" i="1"/>
  <c r="Z76" i="1"/>
  <c r="AC61" i="1"/>
  <c r="AB61" i="1"/>
  <c r="J76" i="1"/>
  <c r="H76" i="1"/>
  <c r="H74" i="1"/>
  <c r="G74" i="1"/>
  <c r="S73" i="1"/>
  <c r="AB73" i="1"/>
  <c r="T58" i="1"/>
  <c r="S58" i="1"/>
  <c r="AD58" i="1"/>
  <c r="AB58" i="1"/>
  <c r="Y58" i="1"/>
  <c r="T54" i="1"/>
  <c r="S54" i="1"/>
  <c r="T69" i="1"/>
  <c r="S69" i="1"/>
  <c r="AD69" i="1"/>
  <c r="AC69" i="1"/>
  <c r="AB69" i="1"/>
  <c r="J70" i="1"/>
  <c r="I70" i="1"/>
  <c r="H70" i="1"/>
  <c r="G70" i="1"/>
  <c r="D70" i="1"/>
  <c r="T70" i="1"/>
  <c r="S68" i="1"/>
  <c r="S70" i="1"/>
  <c r="R70" i="1"/>
  <c r="AB68" i="1"/>
  <c r="Z68" i="1"/>
  <c r="AD70" i="1"/>
  <c r="AB70" i="1"/>
  <c r="AA70" i="1"/>
  <c r="S59" i="1"/>
  <c r="R62" i="1"/>
  <c r="J66" i="1"/>
  <c r="R59" i="1"/>
  <c r="I66" i="1"/>
  <c r="X62" i="1"/>
  <c r="Z59" i="1"/>
  <c r="AD66" i="1"/>
  <c r="AD63" i="1"/>
  <c r="AC63" i="1"/>
  <c r="AD60" i="1"/>
  <c r="AB63" i="1"/>
  <c r="W60" i="1"/>
  <c r="F64" i="1"/>
  <c r="Q64" i="1"/>
  <c r="P64" i="1"/>
  <c r="J65" i="1"/>
  <c r="J789" i="1"/>
  <c r="AH778" i="1"/>
  <c r="I789" i="1"/>
  <c r="R764" i="1"/>
  <c r="Q765" i="1"/>
  <c r="AC766" i="1"/>
  <c r="E768" i="1"/>
  <c r="Q769" i="1"/>
  <c r="AC770" i="1"/>
  <c r="Z775" i="1"/>
  <c r="Q764" i="1"/>
  <c r="P765" i="1"/>
  <c r="AB766" i="1"/>
  <c r="D768" i="1"/>
  <c r="P769" i="1"/>
  <c r="AB770" i="1"/>
  <c r="F773" i="1"/>
  <c r="AD774" i="1"/>
  <c r="Y775" i="1"/>
  <c r="Q777" i="1"/>
  <c r="AA783" i="1"/>
  <c r="H785" i="1"/>
  <c r="X786" i="1"/>
  <c r="S789" i="1"/>
  <c r="Z790" i="1"/>
  <c r="AD793" i="1"/>
  <c r="Z796" i="1"/>
  <c r="J762" i="1"/>
  <c r="P764" i="1"/>
  <c r="AA770" i="1"/>
  <c r="Y796" i="1"/>
  <c r="I762" i="1"/>
  <c r="O764" i="1"/>
  <c r="T768" i="1"/>
  <c r="Z770" i="1"/>
  <c r="J772" i="1"/>
  <c r="AB774" i="1"/>
  <c r="J782" i="1"/>
  <c r="Y783" i="1"/>
  <c r="T785" i="1"/>
  <c r="V786" i="1"/>
  <c r="H762" i="1"/>
  <c r="N764" i="1"/>
  <c r="S768" i="1"/>
  <c r="Y770" i="1"/>
  <c r="I772" i="1"/>
  <c r="AA774" i="1"/>
  <c r="I782" i="1"/>
  <c r="S785" i="1"/>
  <c r="H788" i="1"/>
  <c r="P789" i="1"/>
  <c r="O792" i="1"/>
  <c r="J794" i="1"/>
  <c r="G762" i="1"/>
  <c r="J767" i="1"/>
  <c r="H772" i="1"/>
  <c r="R785" i="1"/>
  <c r="G788" i="1"/>
  <c r="I794" i="1"/>
  <c r="J797" i="1"/>
  <c r="F798" i="1"/>
  <c r="F762" i="1"/>
  <c r="AD764" i="1"/>
  <c r="I767" i="1"/>
  <c r="I797" i="1"/>
  <c r="E798" i="1"/>
  <c r="E762" i="1"/>
  <c r="AC764" i="1"/>
  <c r="AA765" i="1"/>
  <c r="H767" i="1"/>
  <c r="P768" i="1"/>
  <c r="Z769" i="1"/>
  <c r="T772" i="1"/>
  <c r="R773" i="1"/>
  <c r="J775" i="1"/>
  <c r="AA777" i="1"/>
  <c r="AA780" i="1"/>
  <c r="S782" i="1"/>
  <c r="I784" i="1"/>
  <c r="AD785" i="1"/>
  <c r="I787" i="1"/>
  <c r="T788" i="1"/>
  <c r="AC792" i="1"/>
  <c r="H797" i="1"/>
  <c r="AB764" i="1"/>
  <c r="J771" i="1"/>
  <c r="I775" i="1"/>
  <c r="T776" i="1"/>
  <c r="T779" i="1"/>
  <c r="Z780" i="1"/>
  <c r="AC785" i="1"/>
  <c r="H787" i="1"/>
  <c r="S788" i="1"/>
  <c r="AB789" i="1"/>
  <c r="Q791" i="1"/>
  <c r="AB792" i="1"/>
  <c r="S794" i="1"/>
  <c r="G797" i="1"/>
  <c r="T798" i="1"/>
  <c r="I761" i="1"/>
  <c r="T762" i="1"/>
  <c r="AC763" i="1"/>
  <c r="AA764" i="1"/>
  <c r="Y765" i="1"/>
  <c r="T767" i="1"/>
  <c r="AD768" i="1"/>
  <c r="AH769" i="1"/>
  <c r="I771" i="1"/>
  <c r="R772" i="1"/>
  <c r="AD773" i="1"/>
  <c r="H775" i="1"/>
  <c r="S776" i="1"/>
  <c r="S779" i="1"/>
  <c r="Y780" i="1"/>
  <c r="T784" i="1"/>
  <c r="G787" i="1"/>
  <c r="R788" i="1"/>
  <c r="AA792" i="1"/>
  <c r="R794" i="1"/>
  <c r="AA795" i="1"/>
  <c r="F797" i="1"/>
  <c r="S798" i="1"/>
  <c r="H761" i="1"/>
  <c r="S762" i="1"/>
  <c r="AB763" i="1"/>
  <c r="Z764" i="1"/>
  <c r="X765" i="1"/>
  <c r="S767" i="1"/>
  <c r="AC768" i="1"/>
  <c r="H771" i="1"/>
  <c r="Q772" i="1"/>
  <c r="AC773" i="1"/>
  <c r="G775" i="1"/>
  <c r="R776" i="1"/>
  <c r="J778" i="1"/>
  <c r="R779" i="1"/>
  <c r="W780" i="1"/>
  <c r="S784" i="1"/>
  <c r="Q788" i="1"/>
  <c r="AD791" i="1"/>
  <c r="Q794" i="1"/>
  <c r="Z795" i="1"/>
  <c r="E797" i="1"/>
  <c r="R798" i="1"/>
  <c r="G761" i="1"/>
  <c r="R762" i="1"/>
  <c r="Y764" i="1"/>
  <c r="J770" i="1"/>
  <c r="G771" i="1"/>
  <c r="AB773" i="1"/>
  <c r="J786" i="1"/>
  <c r="AC791" i="1"/>
  <c r="F761" i="1"/>
  <c r="Q762" i="1"/>
  <c r="Z763" i="1"/>
  <c r="X764" i="1"/>
  <c r="AA768" i="1"/>
  <c r="I770" i="1"/>
  <c r="F771" i="1"/>
  <c r="AA773" i="1"/>
  <c r="E775" i="1"/>
  <c r="P776" i="1"/>
  <c r="R778" i="1"/>
  <c r="AD779" i="1"/>
  <c r="AD784" i="1"/>
  <c r="X795" i="1"/>
  <c r="T797" i="1"/>
  <c r="AD798" i="1"/>
  <c r="W764" i="1"/>
  <c r="J766" i="1"/>
  <c r="AD767" i="1"/>
  <c r="Z768" i="1"/>
  <c r="H770" i="1"/>
  <c r="E771" i="1"/>
  <c r="AD772" i="1"/>
  <c r="Z773" i="1"/>
  <c r="B775" i="1"/>
  <c r="O776" i="1"/>
  <c r="P778" i="1"/>
  <c r="AC779" i="1"/>
  <c r="AA782" i="1"/>
  <c r="AC784" i="1"/>
  <c r="H786" i="1"/>
  <c r="N788" i="1"/>
  <c r="J793" i="1"/>
  <c r="AD794" i="1"/>
  <c r="S797" i="1"/>
  <c r="AC798" i="1"/>
  <c r="AD762" i="1"/>
  <c r="AC772" i="1"/>
  <c r="N776" i="1"/>
  <c r="AB779" i="1"/>
  <c r="J781" i="1"/>
  <c r="AB784" i="1"/>
  <c r="I793" i="1"/>
  <c r="AC794" i="1"/>
  <c r="AH795" i="1"/>
  <c r="R797" i="1"/>
  <c r="AB798" i="1"/>
  <c r="C761" i="1"/>
  <c r="AC762" i="1"/>
  <c r="J764" i="1"/>
  <c r="H766" i="1"/>
  <c r="AB767" i="1"/>
  <c r="X768" i="1"/>
  <c r="T770" i="1"/>
  <c r="T771" i="1"/>
  <c r="AB772" i="1"/>
  <c r="T775" i="1"/>
  <c r="M776" i="1"/>
  <c r="AD778" i="1"/>
  <c r="AA784" i="1"/>
  <c r="AD788" i="1"/>
  <c r="J792" i="1"/>
  <c r="H793" i="1"/>
  <c r="AB794" i="1"/>
  <c r="Q797" i="1"/>
  <c r="AA798" i="1"/>
  <c r="AB762" i="1"/>
  <c r="I764" i="1"/>
  <c r="J765" i="1"/>
  <c r="G766" i="1"/>
  <c r="AA767" i="1"/>
  <c r="S770" i="1"/>
  <c r="S771" i="1"/>
  <c r="AA772" i="1"/>
  <c r="S775" i="1"/>
  <c r="AC778" i="1"/>
  <c r="T781" i="1"/>
  <c r="Z784" i="1"/>
  <c r="AC788" i="1"/>
  <c r="T790" i="1"/>
  <c r="I792" i="1"/>
  <c r="J796" i="1"/>
  <c r="Z798" i="1"/>
  <c r="T761" i="1"/>
  <c r="AA762" i="1"/>
  <c r="H764" i="1"/>
  <c r="I765" i="1"/>
  <c r="R770" i="1"/>
  <c r="R771" i="1"/>
  <c r="Z772" i="1"/>
  <c r="I774" i="1"/>
  <c r="R775" i="1"/>
  <c r="AB778" i="1"/>
  <c r="J780" i="1"/>
  <c r="S781" i="1"/>
  <c r="J783" i="1"/>
  <c r="Y784" i="1"/>
  <c r="P786" i="1"/>
  <c r="AB788" i="1"/>
  <c r="S790" i="1"/>
  <c r="H792" i="1"/>
  <c r="T793" i="1"/>
  <c r="I796" i="1"/>
  <c r="AD797" i="1"/>
  <c r="S761" i="1"/>
  <c r="Z762" i="1"/>
  <c r="G764" i="1"/>
  <c r="H765" i="1"/>
  <c r="T766" i="1"/>
  <c r="J769" i="1"/>
  <c r="Q770" i="1"/>
  <c r="Q771" i="1"/>
  <c r="Y772" i="1"/>
  <c r="Q775" i="1"/>
  <c r="AA778" i="1"/>
  <c r="I780" i="1"/>
  <c r="R781" i="1"/>
  <c r="I783" i="1"/>
  <c r="X784" i="1"/>
  <c r="AD787" i="1"/>
  <c r="AA788" i="1"/>
  <c r="R790" i="1"/>
  <c r="G792" i="1"/>
  <c r="S793" i="1"/>
  <c r="J795" i="1"/>
  <c r="H796" i="1"/>
  <c r="AC797" i="1"/>
  <c r="T699" i="1"/>
  <c r="G702" i="1"/>
  <c r="AB703" i="1"/>
  <c r="P706" i="1"/>
  <c r="I709" i="1"/>
  <c r="J710" i="1"/>
  <c r="T711" i="1"/>
  <c r="P712" i="1"/>
  <c r="Y713" i="1"/>
  <c r="R717" i="1"/>
  <c r="Y718" i="1"/>
  <c r="R720" i="1"/>
  <c r="I724" i="1"/>
  <c r="S725" i="1"/>
  <c r="AA726" i="1"/>
  <c r="AD729" i="1"/>
  <c r="H731" i="1"/>
  <c r="F732" i="1"/>
  <c r="T733" i="1"/>
  <c r="R736" i="1"/>
  <c r="AC737" i="1"/>
  <c r="AB738" i="1"/>
  <c r="T741" i="1"/>
  <c r="AB742" i="1"/>
  <c r="Z743" i="1"/>
  <c r="F745" i="1"/>
  <c r="S746" i="1"/>
  <c r="AD747" i="1"/>
  <c r="AC748" i="1"/>
  <c r="AA750" i="1"/>
  <c r="I752" i="1"/>
  <c r="T753" i="1"/>
  <c r="AB754" i="1"/>
  <c r="AC755" i="1"/>
  <c r="Q758" i="1"/>
  <c r="Y759" i="1"/>
  <c r="AD700" i="1"/>
  <c r="AA703" i="1"/>
  <c r="O706" i="1"/>
  <c r="AD715" i="1"/>
  <c r="T728" i="1"/>
  <c r="AC729" i="1"/>
  <c r="E732" i="1"/>
  <c r="AA738" i="1"/>
  <c r="Y743" i="1"/>
  <c r="E745" i="1"/>
  <c r="R746" i="1"/>
  <c r="AB748" i="1"/>
  <c r="Z750" i="1"/>
  <c r="H752" i="1"/>
  <c r="X759" i="1"/>
  <c r="I698" i="1"/>
  <c r="AC700" i="1"/>
  <c r="Z703" i="1"/>
  <c r="N706" i="1"/>
  <c r="AC715" i="1"/>
  <c r="Y726" i="1"/>
  <c r="S728" i="1"/>
  <c r="AB729" i="1"/>
  <c r="F731" i="1"/>
  <c r="D732" i="1"/>
  <c r="R733" i="1"/>
  <c r="J735" i="1"/>
  <c r="Z738" i="1"/>
  <c r="X743" i="1"/>
  <c r="D745" i="1"/>
  <c r="Q746" i="1"/>
  <c r="AA748" i="1"/>
  <c r="Y750" i="1"/>
  <c r="G752" i="1"/>
  <c r="W759" i="1"/>
  <c r="R702" i="1"/>
  <c r="Q705" i="1"/>
  <c r="H740" i="1"/>
  <c r="T745" i="1"/>
  <c r="Z747" i="1"/>
  <c r="AH750" i="1"/>
  <c r="T752" i="1"/>
  <c r="AC753" i="1"/>
  <c r="X754" i="1"/>
  <c r="Y755" i="1"/>
  <c r="AH759" i="1"/>
  <c r="G708" i="1"/>
  <c r="D709" i="1"/>
  <c r="AB717" i="1"/>
  <c r="I719" i="1"/>
  <c r="AB720" i="1"/>
  <c r="Q724" i="1"/>
  <c r="AC728" i="1"/>
  <c r="J730" i="1"/>
  <c r="S732" i="1"/>
  <c r="AD733" i="1"/>
  <c r="AD736" i="1"/>
  <c r="X737" i="1"/>
  <c r="J739" i="1"/>
  <c r="E740" i="1"/>
  <c r="S745" i="1"/>
  <c r="J749" i="1"/>
  <c r="S752" i="1"/>
  <c r="N711" i="1"/>
  <c r="T714" i="1"/>
  <c r="T716" i="1"/>
  <c r="AA717" i="1"/>
  <c r="H719" i="1"/>
  <c r="AA720" i="1"/>
  <c r="AD722" i="1"/>
  <c r="P724" i="1"/>
  <c r="AD725" i="1"/>
  <c r="J727" i="1"/>
  <c r="AB728" i="1"/>
  <c r="I730" i="1"/>
  <c r="R732" i="1"/>
  <c r="AC733" i="1"/>
  <c r="AC736" i="1"/>
  <c r="W737" i="1"/>
  <c r="I739" i="1"/>
  <c r="D740" i="1"/>
  <c r="R745" i="1"/>
  <c r="AH747" i="1"/>
  <c r="I749" i="1"/>
  <c r="J751" i="1"/>
  <c r="R752" i="1"/>
  <c r="J759" i="1"/>
  <c r="H701" i="1"/>
  <c r="AD702" i="1"/>
  <c r="H704" i="1"/>
  <c r="Z717" i="1"/>
  <c r="AC722" i="1"/>
  <c r="AC725" i="1"/>
  <c r="AA728" i="1"/>
  <c r="AB733" i="1"/>
  <c r="AB736" i="1"/>
  <c r="C740" i="1"/>
  <c r="Q745" i="1"/>
  <c r="I751" i="1"/>
  <c r="Q752" i="1"/>
  <c r="AG755" i="1"/>
  <c r="AD757" i="1"/>
  <c r="I759" i="1"/>
  <c r="AC702" i="1"/>
  <c r="G704" i="1"/>
  <c r="I707" i="1"/>
  <c r="S709" i="1"/>
  <c r="T719" i="1"/>
  <c r="AB725" i="1"/>
  <c r="Z728" i="1"/>
  <c r="G730" i="1"/>
  <c r="AA733" i="1"/>
  <c r="P752" i="1"/>
  <c r="J755" i="1"/>
  <c r="AC757" i="1"/>
  <c r="H759" i="1"/>
  <c r="AC699" i="1"/>
  <c r="T701" i="1"/>
  <c r="AB702" i="1"/>
  <c r="F704" i="1"/>
  <c r="AA705" i="1"/>
  <c r="H707" i="1"/>
  <c r="T708" i="1"/>
  <c r="R709" i="1"/>
  <c r="AC710" i="1"/>
  <c r="AC711" i="1"/>
  <c r="H713" i="1"/>
  <c r="Q714" i="1"/>
  <c r="S719" i="1"/>
  <c r="J721" i="1"/>
  <c r="AD724" i="1"/>
  <c r="AA725" i="1"/>
  <c r="T727" i="1"/>
  <c r="Y728" i="1"/>
  <c r="P731" i="1"/>
  <c r="AC732" i="1"/>
  <c r="Z733" i="1"/>
  <c r="Z736" i="1"/>
  <c r="F739" i="1"/>
  <c r="T740" i="1"/>
  <c r="Z741" i="1"/>
  <c r="I743" i="1"/>
  <c r="AD745" i="1"/>
  <c r="Y746" i="1"/>
  <c r="I748" i="1"/>
  <c r="AD749" i="1"/>
  <c r="T751" i="1"/>
  <c r="O752" i="1"/>
  <c r="I755" i="1"/>
  <c r="J756" i="1"/>
  <c r="AB757" i="1"/>
  <c r="G759" i="1"/>
  <c r="AD698" i="1"/>
  <c r="AB699" i="1"/>
  <c r="S701" i="1"/>
  <c r="AA702" i="1"/>
  <c r="E704" i="1"/>
  <c r="Z705" i="1"/>
  <c r="G707" i="1"/>
  <c r="S708" i="1"/>
  <c r="Q709" i="1"/>
  <c r="AB710" i="1"/>
  <c r="AB711" i="1"/>
  <c r="G713" i="1"/>
  <c r="AD716" i="1"/>
  <c r="J718" i="1"/>
  <c r="R719" i="1"/>
  <c r="I721" i="1"/>
  <c r="J723" i="1"/>
  <c r="AC724" i="1"/>
  <c r="Z725" i="1"/>
  <c r="S727" i="1"/>
  <c r="X728" i="1"/>
  <c r="T730" i="1"/>
  <c r="AB732" i="1"/>
  <c r="Y733" i="1"/>
  <c r="AD735" i="1"/>
  <c r="Y736" i="1"/>
  <c r="J738" i="1"/>
  <c r="E739" i="1"/>
  <c r="H743" i="1"/>
  <c r="T744" i="1"/>
  <c r="AC745" i="1"/>
  <c r="H748" i="1"/>
  <c r="S751" i="1"/>
  <c r="H755" i="1"/>
  <c r="AC698" i="1"/>
  <c r="R701" i="1"/>
  <c r="Z702" i="1"/>
  <c r="F707" i="1"/>
  <c r="R708" i="1"/>
  <c r="P709" i="1"/>
  <c r="Z710" i="1"/>
  <c r="Y711" i="1"/>
  <c r="AC716" i="1"/>
  <c r="Q719" i="1"/>
  <c r="I723" i="1"/>
  <c r="AC735" i="1"/>
  <c r="I738" i="1"/>
  <c r="R740" i="1"/>
  <c r="G743" i="1"/>
  <c r="S744" i="1"/>
  <c r="AB745" i="1"/>
  <c r="W746" i="1"/>
  <c r="G748" i="1"/>
  <c r="AB749" i="1"/>
  <c r="Q751" i="1"/>
  <c r="AD752" i="1"/>
  <c r="I754" i="1"/>
  <c r="G755" i="1"/>
  <c r="H756" i="1"/>
  <c r="Z757" i="1"/>
  <c r="T759" i="1"/>
  <c r="AB698" i="1"/>
  <c r="Q701" i="1"/>
  <c r="Y702" i="1"/>
  <c r="T704" i="1"/>
  <c r="AH705" i="1"/>
  <c r="E707" i="1"/>
  <c r="Q708" i="1"/>
  <c r="O709" i="1"/>
  <c r="Y710" i="1"/>
  <c r="X711" i="1"/>
  <c r="AB716" i="1"/>
  <c r="R730" i="1"/>
  <c r="AC731" i="1"/>
  <c r="Z732" i="1"/>
  <c r="AB735" i="1"/>
  <c r="H738" i="1"/>
  <c r="T739" i="1"/>
  <c r="Q740" i="1"/>
  <c r="J742" i="1"/>
  <c r="F743" i="1"/>
  <c r="R744" i="1"/>
  <c r="AA745" i="1"/>
  <c r="F748" i="1"/>
  <c r="P751" i="1"/>
  <c r="AC752" i="1"/>
  <c r="H754" i="1"/>
  <c r="F755" i="1"/>
  <c r="G756" i="1"/>
  <c r="Y757" i="1"/>
  <c r="S759" i="1"/>
  <c r="AA698" i="1"/>
  <c r="P701" i="1"/>
  <c r="X702" i="1"/>
  <c r="S704" i="1"/>
  <c r="AG705" i="1"/>
  <c r="D707" i="1"/>
  <c r="P708" i="1"/>
  <c r="N709" i="1"/>
  <c r="AB714" i="1"/>
  <c r="AA716" i="1"/>
  <c r="S718" i="1"/>
  <c r="AD719" i="1"/>
  <c r="T723" i="1"/>
  <c r="Z724" i="1"/>
  <c r="P727" i="1"/>
  <c r="J729" i="1"/>
  <c r="AB731" i="1"/>
  <c r="X732" i="1"/>
  <c r="J734" i="1"/>
  <c r="AA735" i="1"/>
  <c r="J737" i="1"/>
  <c r="G738" i="1"/>
  <c r="S739" i="1"/>
  <c r="I742" i="1"/>
  <c r="E743" i="1"/>
  <c r="Q744" i="1"/>
  <c r="Z745" i="1"/>
  <c r="E748" i="1"/>
  <c r="O751" i="1"/>
  <c r="AB752" i="1"/>
  <c r="G754" i="1"/>
  <c r="E755" i="1"/>
  <c r="R759" i="1"/>
  <c r="Z698" i="1"/>
  <c r="J700" i="1"/>
  <c r="O701" i="1"/>
  <c r="O708" i="1"/>
  <c r="T713" i="1"/>
  <c r="Z716" i="1"/>
  <c r="R718" i="1"/>
  <c r="AC719" i="1"/>
  <c r="T721" i="1"/>
  <c r="S723" i="1"/>
  <c r="Y724" i="1"/>
  <c r="J726" i="1"/>
  <c r="I729" i="1"/>
  <c r="AA731" i="1"/>
  <c r="I734" i="1"/>
  <c r="Z735" i="1"/>
  <c r="I737" i="1"/>
  <c r="F738" i="1"/>
  <c r="AD740" i="1"/>
  <c r="H742" i="1"/>
  <c r="Y745" i="1"/>
  <c r="J750" i="1"/>
  <c r="N751" i="1"/>
  <c r="E756" i="1"/>
  <c r="Q759" i="1"/>
  <c r="Y698" i="1"/>
  <c r="I700" i="1"/>
  <c r="AD709" i="1"/>
  <c r="AH714" i="1"/>
  <c r="Y735" i="1"/>
  <c r="E738" i="1"/>
  <c r="T748" i="1"/>
  <c r="T755" i="1"/>
  <c r="J758" i="1"/>
  <c r="P759" i="1"/>
  <c r="X698" i="1"/>
  <c r="H700" i="1"/>
  <c r="AD701" i="1"/>
  <c r="P704" i="1"/>
  <c r="I706" i="1"/>
  <c r="S707" i="1"/>
  <c r="AC709" i="1"/>
  <c r="J711" i="1"/>
  <c r="AG714" i="1"/>
  <c r="AB730" i="1"/>
  <c r="Y731" i="1"/>
  <c r="J733" i="1"/>
  <c r="T734" i="1"/>
  <c r="X735" i="1"/>
  <c r="T737" i="1"/>
  <c r="D738" i="1"/>
  <c r="AA740" i="1"/>
  <c r="T742" i="1"/>
  <c r="AC744" i="1"/>
  <c r="H747" i="1"/>
  <c r="S748" i="1"/>
  <c r="AD751" i="1"/>
  <c r="Y752" i="1"/>
  <c r="S755" i="1"/>
  <c r="T756" i="1"/>
  <c r="I758" i="1"/>
  <c r="O759" i="1"/>
  <c r="AC701" i="1"/>
  <c r="AB709" i="1"/>
  <c r="I711" i="1"/>
  <c r="T729" i="1"/>
  <c r="I733" i="1"/>
  <c r="S734" i="1"/>
  <c r="S737" i="1"/>
  <c r="S742" i="1"/>
  <c r="AB744" i="1"/>
  <c r="G747" i="1"/>
  <c r="R748" i="1"/>
  <c r="T750" i="1"/>
  <c r="AC751" i="1"/>
  <c r="T754" i="1"/>
  <c r="R755" i="1"/>
  <c r="S756" i="1"/>
  <c r="F758" i="1"/>
  <c r="N759" i="1"/>
  <c r="AB701" i="1"/>
  <c r="T703" i="1"/>
  <c r="G706" i="1"/>
  <c r="AA709" i="1"/>
  <c r="H711" i="1"/>
  <c r="J715" i="1"/>
  <c r="J717" i="1"/>
  <c r="J720" i="1"/>
  <c r="AB723" i="1"/>
  <c r="J725" i="1"/>
  <c r="S726" i="1"/>
  <c r="S729" i="1"/>
  <c r="H733" i="1"/>
  <c r="R734" i="1"/>
  <c r="R737" i="1"/>
  <c r="T738" i="1"/>
  <c r="R742" i="1"/>
  <c r="J746" i="1"/>
  <c r="Q748" i="1"/>
  <c r="AB751" i="1"/>
  <c r="S754" i="1"/>
  <c r="Q755" i="1"/>
  <c r="S700" i="1"/>
  <c r="AA701" i="1"/>
  <c r="S703" i="1"/>
  <c r="AD704" i="1"/>
  <c r="AA708" i="1"/>
  <c r="Z709" i="1"/>
  <c r="G711" i="1"/>
  <c r="AD713" i="1"/>
  <c r="I715" i="1"/>
  <c r="I717" i="1"/>
  <c r="AD718" i="1"/>
  <c r="I720" i="1"/>
  <c r="AD721" i="1"/>
  <c r="AA723" i="1"/>
  <c r="I725" i="1"/>
  <c r="R726" i="1"/>
  <c r="Z727" i="1"/>
  <c r="R729" i="1"/>
  <c r="Y730" i="1"/>
  <c r="G733" i="1"/>
  <c r="Q734" i="1"/>
  <c r="J736" i="1"/>
  <c r="Q737" i="1"/>
  <c r="S738" i="1"/>
  <c r="AB739" i="1"/>
  <c r="J741" i="1"/>
  <c r="Q742" i="1"/>
  <c r="I746" i="1"/>
  <c r="E747" i="1"/>
  <c r="P748" i="1"/>
  <c r="R750" i="1"/>
  <c r="AA751" i="1"/>
  <c r="J753" i="1"/>
  <c r="R754" i="1"/>
  <c r="P755" i="1"/>
  <c r="AD756" i="1"/>
  <c r="D758" i="1"/>
  <c r="AD759" i="1"/>
  <c r="J699" i="1"/>
  <c r="R700" i="1"/>
  <c r="Z701" i="1"/>
  <c r="R703" i="1"/>
  <c r="AC704" i="1"/>
  <c r="T706" i="1"/>
  <c r="AD707" i="1"/>
  <c r="Y709" i="1"/>
  <c r="F711" i="1"/>
  <c r="T712" i="1"/>
  <c r="AC713" i="1"/>
  <c r="H715" i="1"/>
  <c r="H717" i="1"/>
  <c r="AC718" i="1"/>
  <c r="H720" i="1"/>
  <c r="AC721" i="1"/>
  <c r="H725" i="1"/>
  <c r="Q729" i="1"/>
  <c r="J732" i="1"/>
  <c r="F733" i="1"/>
  <c r="P734" i="1"/>
  <c r="I736" i="1"/>
  <c r="P737" i="1"/>
  <c r="R738" i="1"/>
  <c r="AA739" i="1"/>
  <c r="I741" i="1"/>
  <c r="P742" i="1"/>
  <c r="AD743" i="1"/>
  <c r="J745" i="1"/>
  <c r="H746" i="1"/>
  <c r="O748" i="1"/>
  <c r="Z751" i="1"/>
  <c r="I753" i="1"/>
  <c r="Q754" i="1"/>
  <c r="O755" i="1"/>
  <c r="AC756" i="1"/>
  <c r="AC759" i="1"/>
  <c r="O629" i="1"/>
  <c r="AC631" i="1"/>
  <c r="E633" i="1"/>
  <c r="Q634" i="1"/>
  <c r="AB635" i="1"/>
  <c r="R637" i="1"/>
  <c r="Z638" i="1"/>
  <c r="T640" i="1"/>
  <c r="AB641" i="1"/>
  <c r="Z642" i="1"/>
  <c r="H644" i="1"/>
  <c r="T645" i="1"/>
  <c r="AH646" i="1"/>
  <c r="S648" i="1"/>
  <c r="AC649" i="1"/>
  <c r="S651" i="1"/>
  <c r="X652" i="1"/>
  <c r="Q655" i="1"/>
  <c r="AB657" i="1"/>
  <c r="AA658" i="1"/>
  <c r="AG659" i="1"/>
  <c r="S661" i="1"/>
  <c r="AD662" i="1"/>
  <c r="AC663" i="1"/>
  <c r="Y664" i="1"/>
  <c r="R666" i="1"/>
  <c r="AD667" i="1"/>
  <c r="Z668" i="1"/>
  <c r="S670" i="1"/>
  <c r="AC671" i="1"/>
  <c r="Y672" i="1"/>
  <c r="I674" i="1"/>
  <c r="I676" i="1"/>
  <c r="S677" i="1"/>
  <c r="S679" i="1"/>
  <c r="R680" i="1"/>
  <c r="AC681" i="1"/>
  <c r="AC682" i="1"/>
  <c r="AA683" i="1"/>
  <c r="P686" i="1"/>
  <c r="AB687" i="1"/>
  <c r="G690" i="1"/>
  <c r="AB692" i="1"/>
  <c r="Z693" i="1"/>
  <c r="G695" i="1"/>
  <c r="AD696" i="1"/>
  <c r="AA635" i="1"/>
  <c r="Q637" i="1"/>
  <c r="P655" i="1"/>
  <c r="AA657" i="1"/>
  <c r="Z658" i="1"/>
  <c r="R661" i="1"/>
  <c r="AC662" i="1"/>
  <c r="AB663" i="1"/>
  <c r="X664" i="1"/>
  <c r="AC667" i="1"/>
  <c r="Y668" i="1"/>
  <c r="R670" i="1"/>
  <c r="AB671" i="1"/>
  <c r="X672" i="1"/>
  <c r="H674" i="1"/>
  <c r="H676" i="1"/>
  <c r="R677" i="1"/>
  <c r="R679" i="1"/>
  <c r="Q680" i="1"/>
  <c r="AB681" i="1"/>
  <c r="AB682" i="1"/>
  <c r="Z683" i="1"/>
  <c r="J685" i="1"/>
  <c r="O686" i="1"/>
  <c r="AA687" i="1"/>
  <c r="Y688" i="1"/>
  <c r="F690" i="1"/>
  <c r="T691" i="1"/>
  <c r="AA692" i="1"/>
  <c r="Y693" i="1"/>
  <c r="F695" i="1"/>
  <c r="AC696" i="1"/>
  <c r="Z635" i="1"/>
  <c r="P637" i="1"/>
  <c r="R640" i="1"/>
  <c r="R645" i="1"/>
  <c r="Q648" i="1"/>
  <c r="AD651" i="1"/>
  <c r="O655" i="1"/>
  <c r="Y658" i="1"/>
  <c r="AB662" i="1"/>
  <c r="AD666" i="1"/>
  <c r="Q670" i="1"/>
  <c r="AA671" i="1"/>
  <c r="G674" i="1"/>
  <c r="G676" i="1"/>
  <c r="Q679" i="1"/>
  <c r="P680" i="1"/>
  <c r="AA681" i="1"/>
  <c r="Y683" i="1"/>
  <c r="I685" i="1"/>
  <c r="Z687" i="1"/>
  <c r="E690" i="1"/>
  <c r="S691" i="1"/>
  <c r="Z692" i="1"/>
  <c r="X693" i="1"/>
  <c r="E695" i="1"/>
  <c r="AB696" i="1"/>
  <c r="AD629" i="1"/>
  <c r="Y635" i="1"/>
  <c r="O637" i="1"/>
  <c r="AH638" i="1"/>
  <c r="Q640" i="1"/>
  <c r="J650" i="1"/>
  <c r="AC651" i="1"/>
  <c r="N655" i="1"/>
  <c r="AD661" i="1"/>
  <c r="AC666" i="1"/>
  <c r="O680" i="1"/>
  <c r="AD686" i="1"/>
  <c r="Y692" i="1"/>
  <c r="AA696" i="1"/>
  <c r="AC629" i="1"/>
  <c r="J653" i="1"/>
  <c r="AC661" i="1"/>
  <c r="Z662" i="1"/>
  <c r="J665" i="1"/>
  <c r="AB666" i="1"/>
  <c r="T674" i="1"/>
  <c r="AC686" i="1"/>
  <c r="T690" i="1"/>
  <c r="T695" i="1"/>
  <c r="AB629" i="1"/>
  <c r="Q633" i="1"/>
  <c r="AD637" i="1"/>
  <c r="V641" i="1"/>
  <c r="AC648" i="1"/>
  <c r="H650" i="1"/>
  <c r="AH651" i="1"/>
  <c r="I653" i="1"/>
  <c r="AD655" i="1"/>
  <c r="W657" i="1"/>
  <c r="E660" i="1"/>
  <c r="AB661" i="1"/>
  <c r="Y662" i="1"/>
  <c r="I665" i="1"/>
  <c r="AA666" i="1"/>
  <c r="S674" i="1"/>
  <c r="J678" i="1"/>
  <c r="AD680" i="1"/>
  <c r="X681" i="1"/>
  <c r="J684" i="1"/>
  <c r="F685" i="1"/>
  <c r="AB686" i="1"/>
  <c r="I689" i="1"/>
  <c r="S690" i="1"/>
  <c r="P691" i="1"/>
  <c r="J694" i="1"/>
  <c r="S695" i="1"/>
  <c r="AH696" i="1"/>
  <c r="AA629" i="1"/>
  <c r="J636" i="1"/>
  <c r="H653" i="1"/>
  <c r="AC655" i="1"/>
  <c r="J659" i="1"/>
  <c r="AA661" i="1"/>
  <c r="X662" i="1"/>
  <c r="H665" i="1"/>
  <c r="Z666" i="1"/>
  <c r="AC670" i="1"/>
  <c r="J672" i="1"/>
  <c r="R674" i="1"/>
  <c r="I678" i="1"/>
  <c r="AD679" i="1"/>
  <c r="AC680" i="1"/>
  <c r="I684" i="1"/>
  <c r="E685" i="1"/>
  <c r="AA686" i="1"/>
  <c r="J688" i="1"/>
  <c r="H689" i="1"/>
  <c r="R690" i="1"/>
  <c r="O691" i="1"/>
  <c r="J693" i="1"/>
  <c r="Z629" i="1"/>
  <c r="I636" i="1"/>
  <c r="F643" i="1"/>
  <c r="AA648" i="1"/>
  <c r="J652" i="1"/>
  <c r="G653" i="1"/>
  <c r="AB655" i="1"/>
  <c r="I659" i="1"/>
  <c r="Z661" i="1"/>
  <c r="G665" i="1"/>
  <c r="Y666" i="1"/>
  <c r="I672" i="1"/>
  <c r="Q674" i="1"/>
  <c r="AC679" i="1"/>
  <c r="AB680" i="1"/>
  <c r="Z686" i="1"/>
  <c r="I688" i="1"/>
  <c r="Q690" i="1"/>
  <c r="I693" i="1"/>
  <c r="AD695" i="1"/>
  <c r="J697" i="1"/>
  <c r="Y629" i="1"/>
  <c r="G632" i="1"/>
  <c r="AD633" i="1"/>
  <c r="X634" i="1"/>
  <c r="H636" i="1"/>
  <c r="J638" i="1"/>
  <c r="J642" i="1"/>
  <c r="E643" i="1"/>
  <c r="O644" i="1"/>
  <c r="R647" i="1"/>
  <c r="Z648" i="1"/>
  <c r="S650" i="1"/>
  <c r="I652" i="1"/>
  <c r="F653" i="1"/>
  <c r="O654" i="1"/>
  <c r="AA655" i="1"/>
  <c r="J658" i="1"/>
  <c r="H659" i="1"/>
  <c r="S660" i="1"/>
  <c r="Y661" i="1"/>
  <c r="J664" i="1"/>
  <c r="F665" i="1"/>
  <c r="X666" i="1"/>
  <c r="J668" i="1"/>
  <c r="Q669" i="1"/>
  <c r="AA670" i="1"/>
  <c r="H672" i="1"/>
  <c r="S673" i="1"/>
  <c r="P674" i="1"/>
  <c r="R676" i="1"/>
  <c r="T678" i="1"/>
  <c r="AB679" i="1"/>
  <c r="AA680" i="1"/>
  <c r="I683" i="1"/>
  <c r="G684" i="1"/>
  <c r="T685" i="1"/>
  <c r="Y686" i="1"/>
  <c r="H688" i="1"/>
  <c r="T689" i="1"/>
  <c r="P690" i="1"/>
  <c r="AD691" i="1"/>
  <c r="H693" i="1"/>
  <c r="T694" i="1"/>
  <c r="AC695" i="1"/>
  <c r="I697" i="1"/>
  <c r="X629" i="1"/>
  <c r="AC633" i="1"/>
  <c r="G636" i="1"/>
  <c r="I638" i="1"/>
  <c r="T639" i="1"/>
  <c r="AH640" i="1"/>
  <c r="I642" i="1"/>
  <c r="T646" i="1"/>
  <c r="Y648" i="1"/>
  <c r="R650" i="1"/>
  <c r="H652" i="1"/>
  <c r="E653" i="1"/>
  <c r="Z655" i="1"/>
  <c r="I658" i="1"/>
  <c r="G659" i="1"/>
  <c r="X661" i="1"/>
  <c r="J663" i="1"/>
  <c r="I664" i="1"/>
  <c r="E665" i="1"/>
  <c r="W666" i="1"/>
  <c r="I668" i="1"/>
  <c r="Z670" i="1"/>
  <c r="G672" i="1"/>
  <c r="R673" i="1"/>
  <c r="N674" i="1"/>
  <c r="S678" i="1"/>
  <c r="AA679" i="1"/>
  <c r="Z680" i="1"/>
  <c r="J682" i="1"/>
  <c r="H683" i="1"/>
  <c r="F684" i="1"/>
  <c r="S685" i="1"/>
  <c r="X686" i="1"/>
  <c r="G688" i="1"/>
  <c r="S689" i="1"/>
  <c r="O690" i="1"/>
  <c r="AC691" i="1"/>
  <c r="G693" i="1"/>
  <c r="S694" i="1"/>
  <c r="AB695" i="1"/>
  <c r="H697" i="1"/>
  <c r="Z679" i="1"/>
  <c r="R685" i="1"/>
  <c r="F688" i="1"/>
  <c r="R689" i="1"/>
  <c r="F693" i="1"/>
  <c r="R694" i="1"/>
  <c r="I631" i="1"/>
  <c r="S632" i="1"/>
  <c r="AA633" i="1"/>
  <c r="J635" i="1"/>
  <c r="E636" i="1"/>
  <c r="F638" i="1"/>
  <c r="AD639" i="1"/>
  <c r="J641" i="1"/>
  <c r="G642" i="1"/>
  <c r="S643" i="1"/>
  <c r="AC647" i="1"/>
  <c r="F652" i="1"/>
  <c r="T653" i="1"/>
  <c r="AC654" i="1"/>
  <c r="X655" i="1"/>
  <c r="I657" i="1"/>
  <c r="G658" i="1"/>
  <c r="H663" i="1"/>
  <c r="T664" i="1"/>
  <c r="AG666" i="1"/>
  <c r="AC669" i="1"/>
  <c r="T672" i="1"/>
  <c r="P673" i="1"/>
  <c r="AD674" i="1"/>
  <c r="Y679" i="1"/>
  <c r="Q685" i="1"/>
  <c r="E688" i="1"/>
  <c r="Q689" i="1"/>
  <c r="AH691" i="1"/>
  <c r="E693" i="1"/>
  <c r="Q694" i="1"/>
  <c r="T697" i="1"/>
  <c r="S697" i="1"/>
  <c r="I630" i="1"/>
  <c r="U633" i="1"/>
  <c r="H635" i="1"/>
  <c r="T636" i="1"/>
  <c r="D638" i="1"/>
  <c r="AB639" i="1"/>
  <c r="H641" i="1"/>
  <c r="T642" i="1"/>
  <c r="Q643" i="1"/>
  <c r="AA647" i="1"/>
  <c r="D652" i="1"/>
  <c r="AA654" i="1"/>
  <c r="E658" i="1"/>
  <c r="R659" i="1"/>
  <c r="AA660" i="1"/>
  <c r="I662" i="1"/>
  <c r="F663" i="1"/>
  <c r="R664" i="1"/>
  <c r="J667" i="1"/>
  <c r="AA669" i="1"/>
  <c r="AC678" i="1"/>
  <c r="I681" i="1"/>
  <c r="F682" i="1"/>
  <c r="S684" i="1"/>
  <c r="AD685" i="1"/>
  <c r="I687" i="1"/>
  <c r="T688" i="1"/>
  <c r="AD689" i="1"/>
  <c r="AB690" i="1"/>
  <c r="J692" i="1"/>
  <c r="T693" i="1"/>
  <c r="AD694" i="1"/>
  <c r="J696" i="1"/>
  <c r="R697" i="1"/>
  <c r="H630" i="1"/>
  <c r="AD632" i="1"/>
  <c r="G635" i="1"/>
  <c r="S636" i="1"/>
  <c r="C638" i="1"/>
  <c r="S642" i="1"/>
  <c r="P643" i="1"/>
  <c r="Z647" i="1"/>
  <c r="H662" i="1"/>
  <c r="E663" i="1"/>
  <c r="Q664" i="1"/>
  <c r="I667" i="1"/>
  <c r="Z669" i="1"/>
  <c r="J671" i="1"/>
  <c r="Q672" i="1"/>
  <c r="AD673" i="1"/>
  <c r="AB678" i="1"/>
  <c r="J680" i="1"/>
  <c r="H681" i="1"/>
  <c r="E682" i="1"/>
  <c r="T683" i="1"/>
  <c r="R684" i="1"/>
  <c r="AC685" i="1"/>
  <c r="S688" i="1"/>
  <c r="AC689" i="1"/>
  <c r="AA690" i="1"/>
  <c r="I692" i="1"/>
  <c r="S693" i="1"/>
  <c r="AC694" i="1"/>
  <c r="I696" i="1"/>
  <c r="Q697" i="1"/>
  <c r="AC632" i="1"/>
  <c r="F635" i="1"/>
  <c r="Y647" i="1"/>
  <c r="AD659" i="1"/>
  <c r="G662" i="1"/>
  <c r="T668" i="1"/>
  <c r="I671" i="1"/>
  <c r="AA678" i="1"/>
  <c r="S683" i="1"/>
  <c r="Q684" i="1"/>
  <c r="AB685" i="1"/>
  <c r="T687" i="1"/>
  <c r="R688" i="1"/>
  <c r="AB689" i="1"/>
  <c r="Z690" i="1"/>
  <c r="H692" i="1"/>
  <c r="R693" i="1"/>
  <c r="AB694" i="1"/>
  <c r="H696" i="1"/>
  <c r="P697" i="1"/>
  <c r="F630" i="1"/>
  <c r="AB632" i="1"/>
  <c r="J634" i="1"/>
  <c r="E635" i="1"/>
  <c r="T638" i="1"/>
  <c r="Y639" i="1"/>
  <c r="Q642" i="1"/>
  <c r="X647" i="1"/>
  <c r="R652" i="1"/>
  <c r="O653" i="1"/>
  <c r="J655" i="1"/>
  <c r="H656" i="1"/>
  <c r="R657" i="1"/>
  <c r="S658" i="1"/>
  <c r="AC659" i="1"/>
  <c r="J661" i="1"/>
  <c r="F662" i="1"/>
  <c r="T663" i="1"/>
  <c r="O664" i="1"/>
  <c r="T667" i="1"/>
  <c r="S668" i="1"/>
  <c r="AH669" i="1"/>
  <c r="H671" i="1"/>
  <c r="O672" i="1"/>
  <c r="AB673" i="1"/>
  <c r="J677" i="1"/>
  <c r="Z678" i="1"/>
  <c r="H680" i="1"/>
  <c r="T681" i="1"/>
  <c r="T682" i="1"/>
  <c r="R683" i="1"/>
  <c r="P684" i="1"/>
  <c r="X685" i="1"/>
  <c r="S687" i="1"/>
  <c r="Q688" i="1"/>
  <c r="AA689" i="1"/>
  <c r="G692" i="1"/>
  <c r="Q693" i="1"/>
  <c r="AA694" i="1"/>
  <c r="G696" i="1"/>
  <c r="O697" i="1"/>
  <c r="T631" i="1"/>
  <c r="AD646" i="1"/>
  <c r="T649" i="1"/>
  <c r="G656" i="1"/>
  <c r="AB659" i="1"/>
  <c r="I661" i="1"/>
  <c r="D662" i="1"/>
  <c r="S663" i="1"/>
  <c r="N664" i="1"/>
  <c r="S667" i="1"/>
  <c r="R668" i="1"/>
  <c r="N672" i="1"/>
  <c r="AA673" i="1"/>
  <c r="I677" i="1"/>
  <c r="Y678" i="1"/>
  <c r="S681" i="1"/>
  <c r="S682" i="1"/>
  <c r="P688" i="1"/>
  <c r="Z689" i="1"/>
  <c r="P693" i="1"/>
  <c r="Z694" i="1"/>
  <c r="F696" i="1"/>
  <c r="S631" i="1"/>
  <c r="R638" i="1"/>
  <c r="O642" i="1"/>
  <c r="J645" i="1"/>
  <c r="AC646" i="1"/>
  <c r="S649" i="1"/>
  <c r="J651" i="1"/>
  <c r="AD652" i="1"/>
  <c r="AA659" i="1"/>
  <c r="H661" i="1"/>
  <c r="B662" i="1"/>
  <c r="R663" i="1"/>
  <c r="R667" i="1"/>
  <c r="Q668" i="1"/>
  <c r="J670" i="1"/>
  <c r="T671" i="1"/>
  <c r="Z673" i="1"/>
  <c r="H677" i="1"/>
  <c r="X678" i="1"/>
  <c r="R681" i="1"/>
  <c r="R682" i="1"/>
  <c r="Q687" i="1"/>
  <c r="O688" i="1"/>
  <c r="Y689" i="1"/>
  <c r="J691" i="1"/>
  <c r="T692" i="1"/>
  <c r="O693" i="1"/>
  <c r="Y694" i="1"/>
  <c r="E696" i="1"/>
  <c r="AD697" i="1"/>
  <c r="T629" i="1"/>
  <c r="R631" i="1"/>
  <c r="J633" i="1"/>
  <c r="I645" i="1"/>
  <c r="AB646" i="1"/>
  <c r="J648" i="1"/>
  <c r="R649" i="1"/>
  <c r="I651" i="1"/>
  <c r="AC652" i="1"/>
  <c r="Z659" i="1"/>
  <c r="G661" i="1"/>
  <c r="Q663" i="1"/>
  <c r="Q667" i="1"/>
  <c r="I670" i="1"/>
  <c r="S671" i="1"/>
  <c r="G677" i="1"/>
  <c r="Q681" i="1"/>
  <c r="Q682" i="1"/>
  <c r="AD684" i="1"/>
  <c r="AC697" i="1"/>
  <c r="S629" i="1"/>
  <c r="S630" i="1"/>
  <c r="Q631" i="1"/>
  <c r="I633" i="1"/>
  <c r="R635" i="1"/>
  <c r="H637" i="1"/>
  <c r="AD638" i="1"/>
  <c r="J640" i="1"/>
  <c r="O641" i="1"/>
  <c r="AD642" i="1"/>
  <c r="H645" i="1"/>
  <c r="AA646" i="1"/>
  <c r="I648" i="1"/>
  <c r="Q649" i="1"/>
  <c r="H651" i="1"/>
  <c r="AB652" i="1"/>
  <c r="N657" i="1"/>
  <c r="Y659" i="1"/>
  <c r="F661" i="1"/>
  <c r="T662" i="1"/>
  <c r="P663" i="1"/>
  <c r="AC664" i="1"/>
  <c r="I666" i="1"/>
  <c r="P667" i="1"/>
  <c r="AD668" i="1"/>
  <c r="H670" i="1"/>
  <c r="R671" i="1"/>
  <c r="AC672" i="1"/>
  <c r="X673" i="1"/>
  <c r="F677" i="1"/>
  <c r="D680" i="1"/>
  <c r="P681" i="1"/>
  <c r="P682" i="1"/>
  <c r="AC684" i="1"/>
  <c r="T686" i="1"/>
  <c r="O687" i="1"/>
  <c r="AD688" i="1"/>
  <c r="H691" i="1"/>
  <c r="R692" i="1"/>
  <c r="AD693" i="1"/>
  <c r="T696" i="1"/>
  <c r="AB697" i="1"/>
  <c r="R629" i="1"/>
  <c r="P631" i="1"/>
  <c r="H633" i="1"/>
  <c r="T634" i="1"/>
  <c r="AC638" i="1"/>
  <c r="I640" i="1"/>
  <c r="AC642" i="1"/>
  <c r="G645" i="1"/>
  <c r="Z646" i="1"/>
  <c r="H648" i="1"/>
  <c r="P649" i="1"/>
  <c r="G651" i="1"/>
  <c r="AA652" i="1"/>
  <c r="T655" i="1"/>
  <c r="AD658" i="1"/>
  <c r="X659" i="1"/>
  <c r="E661" i="1"/>
  <c r="S662" i="1"/>
  <c r="O663" i="1"/>
  <c r="AB664" i="1"/>
  <c r="O667" i="1"/>
  <c r="AC668" i="1"/>
  <c r="G670" i="1"/>
  <c r="Q671" i="1"/>
  <c r="AB672" i="1"/>
  <c r="E677" i="1"/>
  <c r="H679" i="1"/>
  <c r="O681" i="1"/>
  <c r="O682" i="1"/>
  <c r="AD683" i="1"/>
  <c r="AB684" i="1"/>
  <c r="S686" i="1"/>
  <c r="AC688" i="1"/>
  <c r="J690" i="1"/>
  <c r="G691" i="1"/>
  <c r="AC693" i="1"/>
  <c r="J695" i="1"/>
  <c r="S696" i="1"/>
  <c r="AA697" i="1"/>
  <c r="J564" i="1"/>
  <c r="S565" i="1"/>
  <c r="AB566" i="1"/>
  <c r="R571" i="1"/>
  <c r="X572" i="1"/>
  <c r="AD574" i="1"/>
  <c r="H576" i="1"/>
  <c r="S577" i="1"/>
  <c r="O578" i="1"/>
  <c r="G580" i="1"/>
  <c r="S581" i="1"/>
  <c r="S583" i="1"/>
  <c r="AD584" i="1"/>
  <c r="E586" i="1"/>
  <c r="T587" i="1"/>
  <c r="S588" i="1"/>
  <c r="AA589" i="1"/>
  <c r="Q592" i="1"/>
  <c r="AB593" i="1"/>
  <c r="AA594" i="1"/>
  <c r="AC595" i="1"/>
  <c r="I597" i="1"/>
  <c r="R598" i="1"/>
  <c r="Z599" i="1"/>
  <c r="G601" i="1"/>
  <c r="R602" i="1"/>
  <c r="Z604" i="1"/>
  <c r="X605" i="1"/>
  <c r="O609" i="1"/>
  <c r="AB613" i="1"/>
  <c r="AD618" i="1"/>
  <c r="AB620" i="1"/>
  <c r="E623" i="1"/>
  <c r="I627" i="1"/>
  <c r="I564" i="1"/>
  <c r="R565" i="1"/>
  <c r="AA566" i="1"/>
  <c r="AD568" i="1"/>
  <c r="J570" i="1"/>
  <c r="W572" i="1"/>
  <c r="AC574" i="1"/>
  <c r="R577" i="1"/>
  <c r="R581" i="1"/>
  <c r="Q583" i="1"/>
  <c r="AC584" i="1"/>
  <c r="S587" i="1"/>
  <c r="R588" i="1"/>
  <c r="Z589" i="1"/>
  <c r="J591" i="1"/>
  <c r="P592" i="1"/>
  <c r="AA593" i="1"/>
  <c r="Z594" i="1"/>
  <c r="AB595" i="1"/>
  <c r="H597" i="1"/>
  <c r="Q598" i="1"/>
  <c r="Y599" i="1"/>
  <c r="F601" i="1"/>
  <c r="W605" i="1"/>
  <c r="J607" i="1"/>
  <c r="N609" i="1"/>
  <c r="Z610" i="1"/>
  <c r="G612" i="1"/>
  <c r="AA613" i="1"/>
  <c r="J615" i="1"/>
  <c r="R616" i="1"/>
  <c r="AD617" i="1"/>
  <c r="AC618" i="1"/>
  <c r="AC619" i="1"/>
  <c r="AA620" i="1"/>
  <c r="D623" i="1"/>
  <c r="J626" i="1"/>
  <c r="H627" i="1"/>
  <c r="T628" i="1"/>
  <c r="J563" i="1"/>
  <c r="H564" i="1"/>
  <c r="Q565" i="1"/>
  <c r="AC568" i="1"/>
  <c r="I570" i="1"/>
  <c r="AD571" i="1"/>
  <c r="AB574" i="1"/>
  <c r="Q577" i="1"/>
  <c r="Q581" i="1"/>
  <c r="I591" i="1"/>
  <c r="I607" i="1"/>
  <c r="T608" i="1"/>
  <c r="I615" i="1"/>
  <c r="AC617" i="1"/>
  <c r="AB618" i="1"/>
  <c r="S628" i="1"/>
  <c r="I563" i="1"/>
  <c r="G564" i="1"/>
  <c r="AB568" i="1"/>
  <c r="H570" i="1"/>
  <c r="Z574" i="1"/>
  <c r="AA584" i="1"/>
  <c r="S586" i="1"/>
  <c r="P588" i="1"/>
  <c r="H591" i="1"/>
  <c r="Y593" i="1"/>
  <c r="X594" i="1"/>
  <c r="Z595" i="1"/>
  <c r="T597" i="1"/>
  <c r="N602" i="1"/>
  <c r="Z603" i="1"/>
  <c r="J605" i="1"/>
  <c r="H607" i="1"/>
  <c r="S608" i="1"/>
  <c r="AD609" i="1"/>
  <c r="H615" i="1"/>
  <c r="P616" i="1"/>
  <c r="AB617" i="1"/>
  <c r="AA618" i="1"/>
  <c r="AA619" i="1"/>
  <c r="Y620" i="1"/>
  <c r="I622" i="1"/>
  <c r="T623" i="1"/>
  <c r="J625" i="1"/>
  <c r="H626" i="1"/>
  <c r="T627" i="1"/>
  <c r="R628" i="1"/>
  <c r="H563" i="1"/>
  <c r="F564" i="1"/>
  <c r="AD565" i="1"/>
  <c r="J567" i="1"/>
  <c r="AA568" i="1"/>
  <c r="G570" i="1"/>
  <c r="AB571" i="1"/>
  <c r="J573" i="1"/>
  <c r="U574" i="1"/>
  <c r="AD577" i="1"/>
  <c r="AB578" i="1"/>
  <c r="R580" i="1"/>
  <c r="AD581" i="1"/>
  <c r="Z584" i="1"/>
  <c r="R586" i="1"/>
  <c r="O588" i="1"/>
  <c r="G591" i="1"/>
  <c r="W594" i="1"/>
  <c r="Y595" i="1"/>
  <c r="S597" i="1"/>
  <c r="Y603" i="1"/>
  <c r="I605" i="1"/>
  <c r="J606" i="1"/>
  <c r="G607" i="1"/>
  <c r="R608" i="1"/>
  <c r="AC609" i="1"/>
  <c r="T612" i="1"/>
  <c r="J614" i="1"/>
  <c r="G615" i="1"/>
  <c r="O616" i="1"/>
  <c r="AA617" i="1"/>
  <c r="Z618" i="1"/>
  <c r="Z619" i="1"/>
  <c r="X620" i="1"/>
  <c r="H622" i="1"/>
  <c r="S623" i="1"/>
  <c r="I625" i="1"/>
  <c r="G626" i="1"/>
  <c r="S627" i="1"/>
  <c r="P628" i="1"/>
  <c r="G563" i="1"/>
  <c r="E564" i="1"/>
  <c r="I567" i="1"/>
  <c r="Z568" i="1"/>
  <c r="AA571" i="1"/>
  <c r="I573" i="1"/>
  <c r="T576" i="1"/>
  <c r="AC581" i="1"/>
  <c r="J590" i="1"/>
  <c r="F591" i="1"/>
  <c r="X595" i="1"/>
  <c r="R597" i="1"/>
  <c r="AD598" i="1"/>
  <c r="I600" i="1"/>
  <c r="S601" i="1"/>
  <c r="AD602" i="1"/>
  <c r="X603" i="1"/>
  <c r="H605" i="1"/>
  <c r="F607" i="1"/>
  <c r="Q608" i="1"/>
  <c r="AB609" i="1"/>
  <c r="S612" i="1"/>
  <c r="I614" i="1"/>
  <c r="F615" i="1"/>
  <c r="Z617" i="1"/>
  <c r="Y618" i="1"/>
  <c r="H625" i="1"/>
  <c r="R627" i="1"/>
  <c r="D564" i="1"/>
  <c r="H573" i="1"/>
  <c r="AB577" i="1"/>
  <c r="Z578" i="1"/>
  <c r="AB581" i="1"/>
  <c r="AB583" i="1"/>
  <c r="P586" i="1"/>
  <c r="AB587" i="1"/>
  <c r="AD588" i="1"/>
  <c r="I590" i="1"/>
  <c r="E591" i="1"/>
  <c r="AH594" i="1"/>
  <c r="Q597" i="1"/>
  <c r="AC598" i="1"/>
  <c r="AC602" i="1"/>
  <c r="G605" i="1"/>
  <c r="H606" i="1"/>
  <c r="E607" i="1"/>
  <c r="P608" i="1"/>
  <c r="AA609" i="1"/>
  <c r="J611" i="1"/>
  <c r="Q612" i="1"/>
  <c r="H614" i="1"/>
  <c r="E615" i="1"/>
  <c r="Y617" i="1"/>
  <c r="X618" i="1"/>
  <c r="X619" i="1"/>
  <c r="G625" i="1"/>
  <c r="Q627" i="1"/>
  <c r="AD628" i="1"/>
  <c r="T563" i="1"/>
  <c r="J575" i="1"/>
  <c r="AD576" i="1"/>
  <c r="AD580" i="1"/>
  <c r="J585" i="1"/>
  <c r="H590" i="1"/>
  <c r="AB602" i="1"/>
  <c r="X617" i="1"/>
  <c r="W618" i="1"/>
  <c r="F625" i="1"/>
  <c r="T626" i="1"/>
  <c r="P627" i="1"/>
  <c r="AC628" i="1"/>
  <c r="S563" i="1"/>
  <c r="T564" i="1"/>
  <c r="J569" i="1"/>
  <c r="J572" i="1"/>
  <c r="I575" i="1"/>
  <c r="AC576" i="1"/>
  <c r="AC580" i="1"/>
  <c r="AH581" i="1"/>
  <c r="I585" i="1"/>
  <c r="Z587" i="1"/>
  <c r="G590" i="1"/>
  <c r="T591" i="1"/>
  <c r="H594" i="1"/>
  <c r="J595" i="1"/>
  <c r="J596" i="1"/>
  <c r="AD597" i="1"/>
  <c r="AA598" i="1"/>
  <c r="P601" i="1"/>
  <c r="AA602" i="1"/>
  <c r="J604" i="1"/>
  <c r="E605" i="1"/>
  <c r="F606" i="1"/>
  <c r="T607" i="1"/>
  <c r="AD608" i="1"/>
  <c r="H611" i="1"/>
  <c r="AD612" i="1"/>
  <c r="T614" i="1"/>
  <c r="T615" i="1"/>
  <c r="AH616" i="1"/>
  <c r="W617" i="1"/>
  <c r="V618" i="1"/>
  <c r="AH619" i="1"/>
  <c r="J621" i="1"/>
  <c r="AD623" i="1"/>
  <c r="E625" i="1"/>
  <c r="S626" i="1"/>
  <c r="O627" i="1"/>
  <c r="AB628" i="1"/>
  <c r="Q563" i="1"/>
  <c r="Q567" i="1"/>
  <c r="H569" i="1"/>
  <c r="AC570" i="1"/>
  <c r="H572" i="1"/>
  <c r="AC573" i="1"/>
  <c r="T575" i="1"/>
  <c r="AA576" i="1"/>
  <c r="AA580" i="1"/>
  <c r="J582" i="1"/>
  <c r="T585" i="1"/>
  <c r="AC586" i="1"/>
  <c r="X587" i="1"/>
  <c r="J589" i="1"/>
  <c r="T590" i="1"/>
  <c r="AD591" i="1"/>
  <c r="J593" i="1"/>
  <c r="F594" i="1"/>
  <c r="H595" i="1"/>
  <c r="H596" i="1"/>
  <c r="AB597" i="1"/>
  <c r="R607" i="1"/>
  <c r="AB608" i="1"/>
  <c r="F611" i="1"/>
  <c r="R614" i="1"/>
  <c r="J617" i="1"/>
  <c r="J620" i="1"/>
  <c r="H621" i="1"/>
  <c r="S622" i="1"/>
  <c r="T625" i="1"/>
  <c r="P626" i="1"/>
  <c r="AD627" i="1"/>
  <c r="Z628" i="1"/>
  <c r="P563" i="1"/>
  <c r="AD564" i="1"/>
  <c r="G569" i="1"/>
  <c r="G572" i="1"/>
  <c r="S575" i="1"/>
  <c r="Z576" i="1"/>
  <c r="Z580" i="1"/>
  <c r="S585" i="1"/>
  <c r="AB586" i="1"/>
  <c r="I589" i="1"/>
  <c r="S590" i="1"/>
  <c r="AC591" i="1"/>
  <c r="I593" i="1"/>
  <c r="E594" i="1"/>
  <c r="G595" i="1"/>
  <c r="G596" i="1"/>
  <c r="AA597" i="1"/>
  <c r="X598" i="1"/>
  <c r="J603" i="1"/>
  <c r="G604" i="1"/>
  <c r="T605" i="1"/>
  <c r="T606" i="1"/>
  <c r="Q607" i="1"/>
  <c r="AA608" i="1"/>
  <c r="H610" i="1"/>
  <c r="E611" i="1"/>
  <c r="Q614" i="1"/>
  <c r="I617" i="1"/>
  <c r="J618" i="1"/>
  <c r="J619" i="1"/>
  <c r="I620" i="1"/>
  <c r="G621" i="1"/>
  <c r="R622" i="1"/>
  <c r="S625" i="1"/>
  <c r="O626" i="1"/>
  <c r="AC627" i="1"/>
  <c r="Y628" i="1"/>
  <c r="O563" i="1"/>
  <c r="AC564" i="1"/>
  <c r="J566" i="1"/>
  <c r="F569" i="1"/>
  <c r="F572" i="1"/>
  <c r="R575" i="1"/>
  <c r="Y576" i="1"/>
  <c r="J578" i="1"/>
  <c r="Y580" i="1"/>
  <c r="T582" i="1"/>
  <c r="J584" i="1"/>
  <c r="R585" i="1"/>
  <c r="AA586" i="1"/>
  <c r="AH587" i="1"/>
  <c r="R590" i="1"/>
  <c r="AB591" i="1"/>
  <c r="H593" i="1"/>
  <c r="F595" i="1"/>
  <c r="F596" i="1"/>
  <c r="Z597" i="1"/>
  <c r="Q600" i="1"/>
  <c r="AD601" i="1"/>
  <c r="I603" i="1"/>
  <c r="F604" i="1"/>
  <c r="S605" i="1"/>
  <c r="S606" i="1"/>
  <c r="P607" i="1"/>
  <c r="Z608" i="1"/>
  <c r="D611" i="1"/>
  <c r="P614" i="1"/>
  <c r="AD615" i="1"/>
  <c r="H617" i="1"/>
  <c r="I618" i="1"/>
  <c r="I619" i="1"/>
  <c r="H620" i="1"/>
  <c r="Q622" i="1"/>
  <c r="J624" i="1"/>
  <c r="R625" i="1"/>
  <c r="N626" i="1"/>
  <c r="AB627" i="1"/>
  <c r="X628" i="1"/>
  <c r="N563" i="1"/>
  <c r="AB564" i="1"/>
  <c r="I566" i="1"/>
  <c r="E572" i="1"/>
  <c r="Q575" i="1"/>
  <c r="X576" i="1"/>
  <c r="I578" i="1"/>
  <c r="T579" i="1"/>
  <c r="X580" i="1"/>
  <c r="S582" i="1"/>
  <c r="Q585" i="1"/>
  <c r="Z586" i="1"/>
  <c r="G593" i="1"/>
  <c r="I624" i="1"/>
  <c r="G603" i="1"/>
  <c r="Q605" i="1"/>
  <c r="Q606" i="1"/>
  <c r="AD607" i="1"/>
  <c r="T611" i="1"/>
  <c r="AB615" i="1"/>
  <c r="F617" i="1"/>
  <c r="G618" i="1"/>
  <c r="G619" i="1"/>
  <c r="T620" i="1"/>
  <c r="AD622" i="1"/>
  <c r="H624" i="1"/>
  <c r="P625" i="1"/>
  <c r="AD626" i="1"/>
  <c r="AD563" i="1"/>
  <c r="Z564" i="1"/>
  <c r="G566" i="1"/>
  <c r="I568" i="1"/>
  <c r="I574" i="1"/>
  <c r="G578" i="1"/>
  <c r="Q582" i="1"/>
  <c r="AD585" i="1"/>
  <c r="R589" i="1"/>
  <c r="O590" i="1"/>
  <c r="T593" i="1"/>
  <c r="T596" i="1"/>
  <c r="AH597" i="1"/>
  <c r="J602" i="1"/>
  <c r="P605" i="1"/>
  <c r="AC607" i="1"/>
  <c r="R610" i="1"/>
  <c r="S611" i="1"/>
  <c r="G613" i="1"/>
  <c r="AD614" i="1"/>
  <c r="AA615" i="1"/>
  <c r="E617" i="1"/>
  <c r="F618" i="1"/>
  <c r="F619" i="1"/>
  <c r="S620" i="1"/>
  <c r="R621" i="1"/>
  <c r="AC622" i="1"/>
  <c r="G624" i="1"/>
  <c r="O625" i="1"/>
  <c r="AC626" i="1"/>
  <c r="Y627" i="1"/>
  <c r="J629" i="1"/>
  <c r="AC563" i="1"/>
  <c r="Y564" i="1"/>
  <c r="F566" i="1"/>
  <c r="H568" i="1"/>
  <c r="S572" i="1"/>
  <c r="H574" i="1"/>
  <c r="AC575" i="1"/>
  <c r="J577" i="1"/>
  <c r="F578" i="1"/>
  <c r="Q579" i="1"/>
  <c r="J581" i="1"/>
  <c r="P582" i="1"/>
  <c r="T584" i="1"/>
  <c r="J587" i="1"/>
  <c r="J588" i="1"/>
  <c r="S593" i="1"/>
  <c r="Q594" i="1"/>
  <c r="T595" i="1"/>
  <c r="S596" i="1"/>
  <c r="AG597" i="1"/>
  <c r="S599" i="1"/>
  <c r="I602" i="1"/>
  <c r="T603" i="1"/>
  <c r="S604" i="1"/>
  <c r="O605" i="1"/>
  <c r="AD606" i="1"/>
  <c r="AB607" i="1"/>
  <c r="J609" i="1"/>
  <c r="AC614" i="1"/>
  <c r="E618" i="1"/>
  <c r="E619" i="1"/>
  <c r="R620" i="1"/>
  <c r="AB622" i="1"/>
  <c r="F624" i="1"/>
  <c r="N625" i="1"/>
  <c r="AB626" i="1"/>
  <c r="I629" i="1"/>
  <c r="AB563" i="1"/>
  <c r="X564" i="1"/>
  <c r="E566" i="1"/>
  <c r="AD569" i="1"/>
  <c r="G574" i="1"/>
  <c r="AB575" i="1"/>
  <c r="I577" i="1"/>
  <c r="E578" i="1"/>
  <c r="I581" i="1"/>
  <c r="O582" i="1"/>
  <c r="S584" i="1"/>
  <c r="I587" i="1"/>
  <c r="I588" i="1"/>
  <c r="P589" i="1"/>
  <c r="AD590" i="1"/>
  <c r="R593" i="1"/>
  <c r="S595" i="1"/>
  <c r="R596" i="1"/>
  <c r="R599" i="1"/>
  <c r="H602" i="1"/>
  <c r="S603" i="1"/>
  <c r="AC606" i="1"/>
  <c r="I609" i="1"/>
  <c r="AB614" i="1"/>
  <c r="Q620" i="1"/>
  <c r="E624" i="1"/>
  <c r="M625" i="1"/>
  <c r="AA626" i="1"/>
  <c r="G629" i="1"/>
  <c r="AA563" i="1"/>
  <c r="AC569" i="1"/>
  <c r="J571" i="1"/>
  <c r="H577" i="1"/>
  <c r="H581" i="1"/>
  <c r="R584" i="1"/>
  <c r="H587" i="1"/>
  <c r="H588" i="1"/>
  <c r="O589" i="1"/>
  <c r="AC590" i="1"/>
  <c r="Q593" i="1"/>
  <c r="R595" i="1"/>
  <c r="J598" i="1"/>
  <c r="G602" i="1"/>
  <c r="R603" i="1"/>
  <c r="AD605" i="1"/>
  <c r="AB606" i="1"/>
  <c r="AA614" i="1"/>
  <c r="J616" i="1"/>
  <c r="T618" i="1"/>
  <c r="T619" i="1"/>
  <c r="P620" i="1"/>
  <c r="Z626" i="1"/>
  <c r="AB562" i="1"/>
  <c r="Z563" i="1"/>
  <c r="T566" i="1"/>
  <c r="S568" i="1"/>
  <c r="AB569" i="1"/>
  <c r="I571" i="1"/>
  <c r="AC572" i="1"/>
  <c r="T574" i="1"/>
  <c r="Z575" i="1"/>
  <c r="G577" i="1"/>
  <c r="T578" i="1"/>
  <c r="G581" i="1"/>
  <c r="AC582" i="1"/>
  <c r="Q584" i="1"/>
  <c r="J586" i="1"/>
  <c r="G587" i="1"/>
  <c r="G588" i="1"/>
  <c r="N589" i="1"/>
  <c r="AB590" i="1"/>
  <c r="I592" i="1"/>
  <c r="P593" i="1"/>
  <c r="N594" i="1"/>
  <c r="Q595" i="1"/>
  <c r="AD596" i="1"/>
  <c r="I598" i="1"/>
  <c r="F602" i="1"/>
  <c r="Q603" i="1"/>
  <c r="AC605" i="1"/>
  <c r="AA606" i="1"/>
  <c r="Y607" i="1"/>
  <c r="T609" i="1"/>
  <c r="N610" i="1"/>
  <c r="Z614" i="1"/>
  <c r="I616" i="1"/>
  <c r="R617" i="1"/>
  <c r="S618" i="1"/>
  <c r="S619" i="1"/>
  <c r="O620" i="1"/>
  <c r="J623" i="1"/>
  <c r="T624" i="1"/>
  <c r="AD625" i="1"/>
  <c r="Y626" i="1"/>
  <c r="I628" i="1"/>
  <c r="AA562" i="1"/>
  <c r="Y563" i="1"/>
  <c r="J565" i="1"/>
  <c r="S566" i="1"/>
  <c r="R568" i="1"/>
  <c r="AA569" i="1"/>
  <c r="H571" i="1"/>
  <c r="AB572" i="1"/>
  <c r="S574" i="1"/>
  <c r="F577" i="1"/>
  <c r="S578" i="1"/>
  <c r="F581" i="1"/>
  <c r="P584" i="1"/>
  <c r="F587" i="1"/>
  <c r="F588" i="1"/>
  <c r="AA590" i="1"/>
  <c r="O593" i="1"/>
  <c r="P595" i="1"/>
  <c r="AC596" i="1"/>
  <c r="H598" i="1"/>
  <c r="AD599" i="1"/>
  <c r="E602" i="1"/>
  <c r="P603" i="1"/>
  <c r="AD604" i="1"/>
  <c r="AB605" i="1"/>
  <c r="Z606" i="1"/>
  <c r="S609" i="1"/>
  <c r="AH611" i="1"/>
  <c r="S613" i="1"/>
  <c r="Y614" i="1"/>
  <c r="H616" i="1"/>
  <c r="Q617" i="1"/>
  <c r="R618" i="1"/>
  <c r="R619" i="1"/>
  <c r="N620" i="1"/>
  <c r="AD621" i="1"/>
  <c r="I623" i="1"/>
  <c r="S624" i="1"/>
  <c r="AC625" i="1"/>
  <c r="X626" i="1"/>
  <c r="H628" i="1"/>
  <c r="X563" i="1"/>
  <c r="I565" i="1"/>
  <c r="Z569" i="1"/>
  <c r="G571" i="1"/>
  <c r="R574" i="1"/>
  <c r="E577" i="1"/>
  <c r="E581" i="1"/>
  <c r="O584" i="1"/>
  <c r="E587" i="1"/>
  <c r="E588" i="1"/>
  <c r="Z590" i="1"/>
  <c r="O595" i="1"/>
  <c r="O603" i="1"/>
  <c r="Y606" i="1"/>
  <c r="X614" i="1"/>
  <c r="G616" i="1"/>
  <c r="Q618" i="1"/>
  <c r="Q619" i="1"/>
  <c r="R624" i="1"/>
  <c r="AB625" i="1"/>
  <c r="H515" i="1"/>
  <c r="O516" i="1"/>
  <c r="D518" i="1"/>
  <c r="O519" i="1"/>
  <c r="AD524" i="1"/>
  <c r="J527" i="1"/>
  <c r="Q528" i="1"/>
  <c r="AC529" i="1"/>
  <c r="Y530" i="1"/>
  <c r="J532" i="1"/>
  <c r="X533" i="1"/>
  <c r="AD535" i="1"/>
  <c r="AB538" i="1"/>
  <c r="AA541" i="1"/>
  <c r="AC544" i="1"/>
  <c r="AC547" i="1"/>
  <c r="R550" i="1"/>
  <c r="X554" i="1"/>
  <c r="F556" i="1"/>
  <c r="AD557" i="1"/>
  <c r="J559" i="1"/>
  <c r="R560" i="1"/>
  <c r="AD561" i="1"/>
  <c r="AC557" i="1"/>
  <c r="AC561" i="1"/>
  <c r="AD519" i="1"/>
  <c r="AG520" i="1"/>
  <c r="J526" i="1"/>
  <c r="H527" i="1"/>
  <c r="AB535" i="1"/>
  <c r="J537" i="1"/>
  <c r="Z538" i="1"/>
  <c r="S540" i="1"/>
  <c r="I543" i="1"/>
  <c r="AA544" i="1"/>
  <c r="S546" i="1"/>
  <c r="AA547" i="1"/>
  <c r="I549" i="1"/>
  <c r="R553" i="1"/>
  <c r="D556" i="1"/>
  <c r="AB557" i="1"/>
  <c r="H559" i="1"/>
  <c r="AD560" i="1"/>
  <c r="AB561" i="1"/>
  <c r="J514" i="1"/>
  <c r="AD516" i="1"/>
  <c r="T532" i="1"/>
  <c r="I537" i="1"/>
  <c r="J542" i="1"/>
  <c r="R546" i="1"/>
  <c r="H549" i="1"/>
  <c r="AD550" i="1"/>
  <c r="J555" i="1"/>
  <c r="AA557" i="1"/>
  <c r="G559" i="1"/>
  <c r="AC560" i="1"/>
  <c r="AA561" i="1"/>
  <c r="I514" i="1"/>
  <c r="S515" i="1"/>
  <c r="AC516" i="1"/>
  <c r="AB519" i="1"/>
  <c r="J521" i="1"/>
  <c r="H526" i="1"/>
  <c r="T527" i="1"/>
  <c r="J531" i="1"/>
  <c r="S532" i="1"/>
  <c r="J534" i="1"/>
  <c r="I542" i="1"/>
  <c r="G549" i="1"/>
  <c r="AD553" i="1"/>
  <c r="AB560" i="1"/>
  <c r="H514" i="1"/>
  <c r="R515" i="1"/>
  <c r="AB516" i="1"/>
  <c r="Q518" i="1"/>
  <c r="AA519" i="1"/>
  <c r="I521" i="1"/>
  <c r="G526" i="1"/>
  <c r="S527" i="1"/>
  <c r="AA528" i="1"/>
  <c r="I531" i="1"/>
  <c r="R532" i="1"/>
  <c r="I534" i="1"/>
  <c r="T537" i="1"/>
  <c r="P540" i="1"/>
  <c r="H542" i="1"/>
  <c r="AF544" i="1"/>
  <c r="AD546" i="1"/>
  <c r="J548" i="1"/>
  <c r="F549" i="1"/>
  <c r="AC553" i="1"/>
  <c r="T555" i="1"/>
  <c r="S556" i="1"/>
  <c r="E559" i="1"/>
  <c r="Z560" i="1"/>
  <c r="G514" i="1"/>
  <c r="AA516" i="1"/>
  <c r="Z519" i="1"/>
  <c r="F526" i="1"/>
  <c r="H531" i="1"/>
  <c r="G542" i="1"/>
  <c r="AC546" i="1"/>
  <c r="I548" i="1"/>
  <c r="E549" i="1"/>
  <c r="AB553" i="1"/>
  <c r="S555" i="1"/>
  <c r="Y560" i="1"/>
  <c r="J562" i="1"/>
  <c r="F514" i="1"/>
  <c r="P515" i="1"/>
  <c r="Z516" i="1"/>
  <c r="Y519" i="1"/>
  <c r="T521" i="1"/>
  <c r="E526" i="1"/>
  <c r="Q527" i="1"/>
  <c r="Y528" i="1"/>
  <c r="G531" i="1"/>
  <c r="AD532" i="1"/>
  <c r="J536" i="1"/>
  <c r="AD537" i="1"/>
  <c r="T539" i="1"/>
  <c r="AD540" i="1"/>
  <c r="F542" i="1"/>
  <c r="Q543" i="1"/>
  <c r="J545" i="1"/>
  <c r="AB546" i="1"/>
  <c r="H548" i="1"/>
  <c r="D549" i="1"/>
  <c r="J551" i="1"/>
  <c r="AA553" i="1"/>
  <c r="R555" i="1"/>
  <c r="AD556" i="1"/>
  <c r="T559" i="1"/>
  <c r="X560" i="1"/>
  <c r="I562" i="1"/>
  <c r="E514" i="1"/>
  <c r="Y516" i="1"/>
  <c r="AD518" i="1"/>
  <c r="X519" i="1"/>
  <c r="S521" i="1"/>
  <c r="D526" i="1"/>
  <c r="F531" i="1"/>
  <c r="AD534" i="1"/>
  <c r="I536" i="1"/>
  <c r="AC537" i="1"/>
  <c r="S539" i="1"/>
  <c r="E542" i="1"/>
  <c r="I545" i="1"/>
  <c r="AD552" i="1"/>
  <c r="Q555" i="1"/>
  <c r="AD515" i="1"/>
  <c r="AC518" i="1"/>
  <c r="R521" i="1"/>
  <c r="AD527" i="1"/>
  <c r="J530" i="1"/>
  <c r="E531" i="1"/>
  <c r="AC534" i="1"/>
  <c r="AB537" i="1"/>
  <c r="H551" i="1"/>
  <c r="AC552" i="1"/>
  <c r="P555" i="1"/>
  <c r="I558" i="1"/>
  <c r="AH560" i="1"/>
  <c r="T562" i="1"/>
  <c r="T514" i="1"/>
  <c r="AC515" i="1"/>
  <c r="AB518" i="1"/>
  <c r="Q521" i="1"/>
  <c r="I525" i="1"/>
  <c r="T526" i="1"/>
  <c r="AC527" i="1"/>
  <c r="J529" i="1"/>
  <c r="I530" i="1"/>
  <c r="D531" i="1"/>
  <c r="AB534" i="1"/>
  <c r="T536" i="1"/>
  <c r="AA537" i="1"/>
  <c r="AD539" i="1"/>
  <c r="C542" i="1"/>
  <c r="T545" i="1"/>
  <c r="D548" i="1"/>
  <c r="S549" i="1"/>
  <c r="G551" i="1"/>
  <c r="AB552" i="1"/>
  <c r="J554" i="1"/>
  <c r="O555" i="1"/>
  <c r="H558" i="1"/>
  <c r="AD559" i="1"/>
  <c r="AG560" i="1"/>
  <c r="S562" i="1"/>
  <c r="S514" i="1"/>
  <c r="AB515" i="1"/>
  <c r="AA518" i="1"/>
  <c r="P521" i="1"/>
  <c r="T523" i="1"/>
  <c r="AB527" i="1"/>
  <c r="AA534" i="1"/>
  <c r="AD543" i="1"/>
  <c r="J547" i="1"/>
  <c r="AA552" i="1"/>
  <c r="I554" i="1"/>
  <c r="A558" i="1"/>
  <c r="AC559" i="1"/>
  <c r="R562" i="1"/>
  <c r="R514" i="1"/>
  <c r="AA515" i="1"/>
  <c r="Z518" i="1"/>
  <c r="I520" i="1"/>
  <c r="O521" i="1"/>
  <c r="S523" i="1"/>
  <c r="R526" i="1"/>
  <c r="AA527" i="1"/>
  <c r="H529" i="1"/>
  <c r="T530" i="1"/>
  <c r="T531" i="1"/>
  <c r="J533" i="1"/>
  <c r="Z534" i="1"/>
  <c r="R536" i="1"/>
  <c r="AB539" i="1"/>
  <c r="J541" i="1"/>
  <c r="T542" i="1"/>
  <c r="AC543" i="1"/>
  <c r="AD545" i="1"/>
  <c r="I547" i="1"/>
  <c r="T551" i="1"/>
  <c r="Z552" i="1"/>
  <c r="H554" i="1"/>
  <c r="AD555" i="1"/>
  <c r="J557" i="1"/>
  <c r="AB559" i="1"/>
  <c r="J561" i="1"/>
  <c r="Q562" i="1"/>
  <c r="T525" i="1"/>
  <c r="Z527" i="1"/>
  <c r="S530" i="1"/>
  <c r="Y534" i="1"/>
  <c r="S542" i="1"/>
  <c r="I561" i="1"/>
  <c r="P562" i="1"/>
  <c r="P514" i="1"/>
  <c r="G520" i="1"/>
  <c r="AD521" i="1"/>
  <c r="AD523" i="1"/>
  <c r="S525" i="1"/>
  <c r="AD526" i="1"/>
  <c r="Y527" i="1"/>
  <c r="E529" i="1"/>
  <c r="R530" i="1"/>
  <c r="R531" i="1"/>
  <c r="X534" i="1"/>
  <c r="P536" i="1"/>
  <c r="Z539" i="1"/>
  <c r="H541" i="1"/>
  <c r="R542" i="1"/>
  <c r="AA543" i="1"/>
  <c r="AB545" i="1"/>
  <c r="G547" i="1"/>
  <c r="S548" i="1"/>
  <c r="AC549" i="1"/>
  <c r="R551" i="1"/>
  <c r="X552" i="1"/>
  <c r="AB555" i="1"/>
  <c r="G557" i="1"/>
  <c r="S558" i="1"/>
  <c r="H561" i="1"/>
  <c r="O562" i="1"/>
  <c r="O514" i="1"/>
  <c r="J516" i="1"/>
  <c r="X517" i="1"/>
  <c r="J519" i="1"/>
  <c r="AC526" i="1"/>
  <c r="T538" i="1"/>
  <c r="J560" i="1"/>
  <c r="I516" i="1"/>
  <c r="I519" i="1"/>
  <c r="Q525" i="1"/>
  <c r="AB526" i="1"/>
  <c r="P530" i="1"/>
  <c r="P531" i="1"/>
  <c r="S538" i="1"/>
  <c r="AD542" i="1"/>
  <c r="T547" i="1"/>
  <c r="Q548" i="1"/>
  <c r="AA549" i="1"/>
  <c r="P551" i="1"/>
  <c r="R554" i="1"/>
  <c r="Z555" i="1"/>
  <c r="T557" i="1"/>
  <c r="AD558" i="1"/>
  <c r="I560" i="1"/>
  <c r="F561" i="1"/>
  <c r="H516" i="1"/>
  <c r="H519" i="1"/>
  <c r="P525" i="1"/>
  <c r="AA526" i="1"/>
  <c r="T529" i="1"/>
  <c r="O530" i="1"/>
  <c r="O531" i="1"/>
  <c r="J535" i="1"/>
  <c r="R538" i="1"/>
  <c r="AC542" i="1"/>
  <c r="J544" i="1"/>
  <c r="S547" i="1"/>
  <c r="P548" i="1"/>
  <c r="Y555" i="1"/>
  <c r="S557" i="1"/>
  <c r="AC558" i="1"/>
  <c r="H560" i="1"/>
  <c r="E561" i="1"/>
  <c r="J518" i="1"/>
  <c r="J524" i="1"/>
  <c r="Z526" i="1"/>
  <c r="S529" i="1"/>
  <c r="I535" i="1"/>
  <c r="Q538" i="1"/>
  <c r="AB542" i="1"/>
  <c r="R547" i="1"/>
  <c r="AD551" i="1"/>
  <c r="R557" i="1"/>
  <c r="AB558" i="1"/>
  <c r="G560" i="1"/>
  <c r="AB514" i="1"/>
  <c r="T516" i="1"/>
  <c r="I518" i="1"/>
  <c r="T519" i="1"/>
  <c r="J522" i="1"/>
  <c r="I524" i="1"/>
  <c r="Y526" i="1"/>
  <c r="R529" i="1"/>
  <c r="AD530" i="1"/>
  <c r="AD531" i="1"/>
  <c r="P538" i="1"/>
  <c r="AA542" i="1"/>
  <c r="T544" i="1"/>
  <c r="Q547" i="1"/>
  <c r="AD548" i="1"/>
  <c r="J550" i="1"/>
  <c r="AC551" i="1"/>
  <c r="Q557" i="1"/>
  <c r="AA558" i="1"/>
  <c r="F560" i="1"/>
  <c r="T561" i="1"/>
  <c r="S516" i="1"/>
  <c r="H518" i="1"/>
  <c r="S519" i="1"/>
  <c r="I522" i="1"/>
  <c r="H524" i="1"/>
  <c r="AC525" i="1"/>
  <c r="X526" i="1"/>
  <c r="Q529" i="1"/>
  <c r="AC530" i="1"/>
  <c r="AC531" i="1"/>
  <c r="AB533" i="1"/>
  <c r="T535" i="1"/>
  <c r="AB536" i="1"/>
  <c r="O538" i="1"/>
  <c r="I540" i="1"/>
  <c r="Z542" i="1"/>
  <c r="S544" i="1"/>
  <c r="G546" i="1"/>
  <c r="P547" i="1"/>
  <c r="AC548" i="1"/>
  <c r="I550" i="1"/>
  <c r="AB551" i="1"/>
  <c r="G553" i="1"/>
  <c r="AB554" i="1"/>
  <c r="J556" i="1"/>
  <c r="P557" i="1"/>
  <c r="Z558" i="1"/>
  <c r="E560" i="1"/>
  <c r="S561" i="1"/>
  <c r="X476" i="1"/>
  <c r="Z475" i="1"/>
  <c r="W476" i="1"/>
  <c r="R493" i="1"/>
  <c r="H498" i="1"/>
  <c r="Y505" i="1"/>
  <c r="I509" i="1"/>
  <c r="O465" i="1"/>
  <c r="AC466" i="1"/>
  <c r="H468" i="1"/>
  <c r="S471" i="1"/>
  <c r="X475" i="1"/>
  <c r="E479" i="1"/>
  <c r="P483" i="1"/>
  <c r="Y484" i="1"/>
  <c r="J487" i="1"/>
  <c r="P488" i="1"/>
  <c r="AB489" i="1"/>
  <c r="T498" i="1"/>
  <c r="R499" i="1"/>
  <c r="AC500" i="1"/>
  <c r="S503" i="1"/>
  <c r="AC504" i="1"/>
  <c r="S507" i="1"/>
  <c r="T509" i="1"/>
  <c r="AC510" i="1"/>
  <c r="R512" i="1"/>
  <c r="AA513" i="1"/>
  <c r="AB466" i="1"/>
  <c r="G468" i="1"/>
  <c r="R471" i="1"/>
  <c r="J477" i="1"/>
  <c r="T478" i="1"/>
  <c r="I487" i="1"/>
  <c r="AA489" i="1"/>
  <c r="H491" i="1"/>
  <c r="Q492" i="1"/>
  <c r="AC493" i="1"/>
  <c r="AA500" i="1"/>
  <c r="T502" i="1"/>
  <c r="R503" i="1"/>
  <c r="AB504" i="1"/>
  <c r="J506" i="1"/>
  <c r="R507" i="1"/>
  <c r="AD465" i="1"/>
  <c r="AA466" i="1"/>
  <c r="F468" i="1"/>
  <c r="AA469" i="1"/>
  <c r="Q471" i="1"/>
  <c r="Q473" i="1"/>
  <c r="Y474" i="1"/>
  <c r="I477" i="1"/>
  <c r="S478" i="1"/>
  <c r="T479" i="1"/>
  <c r="J482" i="1"/>
  <c r="N483" i="1"/>
  <c r="H487" i="1"/>
  <c r="AD488" i="1"/>
  <c r="Z489" i="1"/>
  <c r="G491" i="1"/>
  <c r="P492" i="1"/>
  <c r="AB493" i="1"/>
  <c r="S495" i="1"/>
  <c r="J497" i="1"/>
  <c r="R498" i="1"/>
  <c r="AD499" i="1"/>
  <c r="S502" i="1"/>
  <c r="Q503" i="1"/>
  <c r="AA504" i="1"/>
  <c r="I506" i="1"/>
  <c r="Q507" i="1"/>
  <c r="AA510" i="1"/>
  <c r="P512" i="1"/>
  <c r="AC465" i="1"/>
  <c r="Z466" i="1"/>
  <c r="E468" i="1"/>
  <c r="P471" i="1"/>
  <c r="J476" i="1"/>
  <c r="H477" i="1"/>
  <c r="R478" i="1"/>
  <c r="S479" i="1"/>
  <c r="AD480" i="1"/>
  <c r="I482" i="1"/>
  <c r="I485" i="1"/>
  <c r="G487" i="1"/>
  <c r="Y489" i="1"/>
  <c r="O492" i="1"/>
  <c r="AA493" i="1"/>
  <c r="R495" i="1"/>
  <c r="P503" i="1"/>
  <c r="H506" i="1"/>
  <c r="Q509" i="1"/>
  <c r="O512" i="1"/>
  <c r="AD473" i="1"/>
  <c r="I476" i="1"/>
  <c r="Q478" i="1"/>
  <c r="R479" i="1"/>
  <c r="AC480" i="1"/>
  <c r="H482" i="1"/>
  <c r="AD483" i="1"/>
  <c r="T491" i="1"/>
  <c r="J501" i="1"/>
  <c r="G506" i="1"/>
  <c r="AH510" i="1"/>
  <c r="AA465" i="1"/>
  <c r="X466" i="1"/>
  <c r="T468" i="1"/>
  <c r="AC471" i="1"/>
  <c r="AC473" i="1"/>
  <c r="J475" i="1"/>
  <c r="H476" i="1"/>
  <c r="T477" i="1"/>
  <c r="P478" i="1"/>
  <c r="Q479" i="1"/>
  <c r="AB480" i="1"/>
  <c r="G482" i="1"/>
  <c r="AC483" i="1"/>
  <c r="S485" i="1"/>
  <c r="E487" i="1"/>
  <c r="S491" i="1"/>
  <c r="Y493" i="1"/>
  <c r="P495" i="1"/>
  <c r="AA499" i="1"/>
  <c r="I501" i="1"/>
  <c r="AD503" i="1"/>
  <c r="F506" i="1"/>
  <c r="AD512" i="1"/>
  <c r="S468" i="1"/>
  <c r="AB473" i="1"/>
  <c r="I475" i="1"/>
  <c r="G476" i="1"/>
  <c r="S477" i="1"/>
  <c r="O478" i="1"/>
  <c r="P479" i="1"/>
  <c r="AA480" i="1"/>
  <c r="F482" i="1"/>
  <c r="AB483" i="1"/>
  <c r="O485" i="1"/>
  <c r="J490" i="1"/>
  <c r="R491" i="1"/>
  <c r="O495" i="1"/>
  <c r="N498" i="1"/>
  <c r="Z499" i="1"/>
  <c r="H501" i="1"/>
  <c r="AD502" i="1"/>
  <c r="AC503" i="1"/>
  <c r="I505" i="1"/>
  <c r="E506" i="1"/>
  <c r="J508" i="1"/>
  <c r="J511" i="1"/>
  <c r="AC512" i="1"/>
  <c r="J470" i="1"/>
  <c r="AA473" i="1"/>
  <c r="F476" i="1"/>
  <c r="E482" i="1"/>
  <c r="AA483" i="1"/>
  <c r="T487" i="1"/>
  <c r="I490" i="1"/>
  <c r="T497" i="1"/>
  <c r="Y499" i="1"/>
  <c r="G501" i="1"/>
  <c r="AC502" i="1"/>
  <c r="AB503" i="1"/>
  <c r="H505" i="1"/>
  <c r="D506" i="1"/>
  <c r="I508" i="1"/>
  <c r="AD509" i="1"/>
  <c r="I511" i="1"/>
  <c r="AB512" i="1"/>
  <c r="AA512" i="1"/>
  <c r="I467" i="1"/>
  <c r="AC468" i="1"/>
  <c r="H470" i="1"/>
  <c r="D476" i="1"/>
  <c r="P477" i="1"/>
  <c r="AC478" i="1"/>
  <c r="T482" i="1"/>
  <c r="Y483" i="1"/>
  <c r="R487" i="1"/>
  <c r="G490" i="1"/>
  <c r="AC491" i="1"/>
  <c r="AA492" i="1"/>
  <c r="T494" i="1"/>
  <c r="AC495" i="1"/>
  <c r="R497" i="1"/>
  <c r="AC498" i="1"/>
  <c r="W499" i="1"/>
  <c r="T501" i="1"/>
  <c r="AA502" i="1"/>
  <c r="Z503" i="1"/>
  <c r="F505" i="1"/>
  <c r="AB509" i="1"/>
  <c r="Z512" i="1"/>
  <c r="O477" i="1"/>
  <c r="AB478" i="1"/>
  <c r="J486" i="1"/>
  <c r="AB491" i="1"/>
  <c r="AB495" i="1"/>
  <c r="AB498" i="1"/>
  <c r="S501" i="1"/>
  <c r="Z502" i="1"/>
  <c r="Y503" i="1"/>
  <c r="S506" i="1"/>
  <c r="T508" i="1"/>
  <c r="AA509" i="1"/>
  <c r="T511" i="1"/>
  <c r="Y512" i="1"/>
  <c r="J466" i="1"/>
  <c r="AA468" i="1"/>
  <c r="AA478" i="1"/>
  <c r="AD487" i="1"/>
  <c r="T505" i="1"/>
  <c r="J465" i="1"/>
  <c r="I466" i="1"/>
  <c r="H474" i="1"/>
  <c r="R475" i="1"/>
  <c r="AD477" i="1"/>
  <c r="Z478" i="1"/>
  <c r="T486" i="1"/>
  <c r="AC487" i="1"/>
  <c r="S490" i="1"/>
  <c r="Z491" i="1"/>
  <c r="AC497" i="1"/>
  <c r="Z498" i="1"/>
  <c r="J500" i="1"/>
  <c r="AD501" i="1"/>
  <c r="S505" i="1"/>
  <c r="AD511" i="1"/>
  <c r="I465" i="1"/>
  <c r="H466" i="1"/>
  <c r="AH468" i="1"/>
  <c r="AD470" i="1"/>
  <c r="T472" i="1"/>
  <c r="Q475" i="1"/>
  <c r="R476" i="1"/>
  <c r="AC477" i="1"/>
  <c r="Y478" i="1"/>
  <c r="G481" i="1"/>
  <c r="AD482" i="1"/>
  <c r="J484" i="1"/>
  <c r="S486" i="1"/>
  <c r="AB487" i="1"/>
  <c r="H489" i="1"/>
  <c r="R490" i="1"/>
  <c r="Y491" i="1"/>
  <c r="AH492" i="1"/>
  <c r="AB497" i="1"/>
  <c r="Y498" i="1"/>
  <c r="I500" i="1"/>
  <c r="AC501" i="1"/>
  <c r="J504" i="1"/>
  <c r="R505" i="1"/>
  <c r="Q508" i="1"/>
  <c r="J510" i="1"/>
  <c r="AC511" i="1"/>
  <c r="J513" i="1"/>
  <c r="H465" i="1"/>
  <c r="G466" i="1"/>
  <c r="AD467" i="1"/>
  <c r="AC470" i="1"/>
  <c r="S472" i="1"/>
  <c r="T474" i="1"/>
  <c r="P475" i="1"/>
  <c r="AB477" i="1"/>
  <c r="X478" i="1"/>
  <c r="AC482" i="1"/>
  <c r="I484" i="1"/>
  <c r="R486" i="1"/>
  <c r="AA487" i="1"/>
  <c r="G489" i="1"/>
  <c r="Q490" i="1"/>
  <c r="X491" i="1"/>
  <c r="AF492" i="1"/>
  <c r="T496" i="1"/>
  <c r="AA497" i="1"/>
  <c r="X498" i="1"/>
  <c r="H500" i="1"/>
  <c r="AB501" i="1"/>
  <c r="AH502" i="1"/>
  <c r="I504" i="1"/>
  <c r="Q505" i="1"/>
  <c r="I510" i="1"/>
  <c r="AB511" i="1"/>
  <c r="I513" i="1"/>
  <c r="G465" i="1"/>
  <c r="F466" i="1"/>
  <c r="AC467" i="1"/>
  <c r="J469" i="1"/>
  <c r="AB470" i="1"/>
  <c r="R472" i="1"/>
  <c r="S474" i="1"/>
  <c r="AD476" i="1"/>
  <c r="AA477" i="1"/>
  <c r="W478" i="1"/>
  <c r="Z487" i="1"/>
  <c r="AD494" i="1"/>
  <c r="S496" i="1"/>
  <c r="G500" i="1"/>
  <c r="H504" i="1"/>
  <c r="P505" i="1"/>
  <c r="AA511" i="1"/>
  <c r="H513" i="1"/>
  <c r="E466" i="1"/>
  <c r="AB467" i="1"/>
  <c r="AA470" i="1"/>
  <c r="R474" i="1"/>
  <c r="AC476" i="1"/>
  <c r="AD490" i="1"/>
  <c r="J503" i="1"/>
  <c r="T510" i="1"/>
  <c r="AA467" i="1"/>
  <c r="H469" i="1"/>
  <c r="Z470" i="1"/>
  <c r="Q474" i="1"/>
  <c r="AB476" i="1"/>
  <c r="AF478" i="1"/>
  <c r="H480" i="1"/>
  <c r="Q481" i="1"/>
  <c r="J483" i="1"/>
  <c r="S484" i="1"/>
  <c r="AC490" i="1"/>
  <c r="J492" i="1"/>
  <c r="H493" i="1"/>
  <c r="AB494" i="1"/>
  <c r="AD496" i="1"/>
  <c r="X497" i="1"/>
  <c r="J499" i="1"/>
  <c r="T500" i="1"/>
  <c r="J502" i="1"/>
  <c r="I503" i="1"/>
  <c r="AD505" i="1"/>
  <c r="AB508" i="1"/>
  <c r="S510" i="1"/>
  <c r="AH511" i="1"/>
  <c r="T513" i="1"/>
  <c r="T466" i="1"/>
  <c r="Z467" i="1"/>
  <c r="G469" i="1"/>
  <c r="Y470" i="1"/>
  <c r="AD472" i="1"/>
  <c r="P474" i="1"/>
  <c r="AD475" i="1"/>
  <c r="AA476" i="1"/>
  <c r="G480" i="1"/>
  <c r="I483" i="1"/>
  <c r="AD486" i="1"/>
  <c r="J488" i="1"/>
  <c r="T489" i="1"/>
  <c r="AB490" i="1"/>
  <c r="I492" i="1"/>
  <c r="G493" i="1"/>
  <c r="AC496" i="1"/>
  <c r="I499" i="1"/>
  <c r="S500" i="1"/>
  <c r="I502" i="1"/>
  <c r="H503" i="1"/>
  <c r="T504" i="1"/>
  <c r="AC505" i="1"/>
  <c r="R510" i="1"/>
  <c r="S513" i="1"/>
  <c r="T465" i="1"/>
  <c r="S466" i="1"/>
  <c r="X467" i="1"/>
  <c r="X470" i="1"/>
  <c r="AC472" i="1"/>
  <c r="O474" i="1"/>
  <c r="AC475" i="1"/>
  <c r="Z476" i="1"/>
  <c r="J479" i="1"/>
  <c r="AD484" i="1"/>
  <c r="AC486" i="1"/>
  <c r="S489" i="1"/>
  <c r="AA490" i="1"/>
  <c r="H492" i="1"/>
  <c r="AB496" i="1"/>
  <c r="H499" i="1"/>
  <c r="R500" i="1"/>
  <c r="H502" i="1"/>
  <c r="G503" i="1"/>
  <c r="S504" i="1"/>
  <c r="AB505" i="1"/>
  <c r="J507" i="1"/>
  <c r="Q510" i="1"/>
  <c r="J512" i="1"/>
  <c r="R513" i="1"/>
  <c r="AB475" i="1"/>
  <c r="Y476" i="1"/>
  <c r="R489" i="1"/>
  <c r="Z490" i="1"/>
  <c r="G492" i="1"/>
  <c r="T493" i="1"/>
  <c r="J498" i="1"/>
  <c r="G499" i="1"/>
  <c r="AA505" i="1"/>
  <c r="I512" i="1"/>
  <c r="Q404" i="1"/>
  <c r="X405" i="1"/>
  <c r="J407" i="1"/>
  <c r="J410" i="1"/>
  <c r="O411" i="1"/>
  <c r="AD412" i="1"/>
  <c r="Q415" i="1"/>
  <c r="AB418" i="1"/>
  <c r="T420" i="1"/>
  <c r="Q421" i="1"/>
  <c r="X422" i="1"/>
  <c r="AC424" i="1"/>
  <c r="I426" i="1"/>
  <c r="I427" i="1"/>
  <c r="S428" i="1"/>
  <c r="P429" i="1"/>
  <c r="AC430" i="1"/>
  <c r="I432" i="1"/>
  <c r="H433" i="1"/>
  <c r="AA434" i="1"/>
  <c r="T436" i="1"/>
  <c r="AA438" i="1"/>
  <c r="D441" i="1"/>
  <c r="AC442" i="1"/>
  <c r="S445" i="1"/>
  <c r="AD446" i="1"/>
  <c r="S448" i="1"/>
  <c r="G451" i="1"/>
  <c r="Y453" i="1"/>
  <c r="F464" i="1"/>
  <c r="AD408" i="1"/>
  <c r="J414" i="1"/>
  <c r="AD404" i="1"/>
  <c r="H407" i="1"/>
  <c r="AC408" i="1"/>
  <c r="H414" i="1"/>
  <c r="AA424" i="1"/>
  <c r="G426" i="1"/>
  <c r="Q428" i="1"/>
  <c r="N429" i="1"/>
  <c r="AA430" i="1"/>
  <c r="G432" i="1"/>
  <c r="T433" i="1"/>
  <c r="Y434" i="1"/>
  <c r="R436" i="1"/>
  <c r="AC437" i="1"/>
  <c r="Y438" i="1"/>
  <c r="B441" i="1"/>
  <c r="AA442" i="1"/>
  <c r="G444" i="1"/>
  <c r="Q445" i="1"/>
  <c r="AB446" i="1"/>
  <c r="Q448" i="1"/>
  <c r="F450" i="1"/>
  <c r="T451" i="1"/>
  <c r="AC452" i="1"/>
  <c r="W453" i="1"/>
  <c r="X457" i="1"/>
  <c r="D460" i="1"/>
  <c r="T464" i="1"/>
  <c r="AC404" i="1"/>
  <c r="J406" i="1"/>
  <c r="G407" i="1"/>
  <c r="AB408" i="1"/>
  <c r="G414" i="1"/>
  <c r="AD415" i="1"/>
  <c r="Z424" i="1"/>
  <c r="F426" i="1"/>
  <c r="T427" i="1"/>
  <c r="T440" i="1"/>
  <c r="S451" i="1"/>
  <c r="AB461" i="1"/>
  <c r="S464" i="1"/>
  <c r="I406" i="1"/>
  <c r="AA408" i="1"/>
  <c r="T410" i="1"/>
  <c r="F414" i="1"/>
  <c r="AC415" i="1"/>
  <c r="AC421" i="1"/>
  <c r="Y424" i="1"/>
  <c r="E426" i="1"/>
  <c r="S427" i="1"/>
  <c r="O428" i="1"/>
  <c r="Y430" i="1"/>
  <c r="R433" i="1"/>
  <c r="AA437" i="1"/>
  <c r="S440" i="1"/>
  <c r="T441" i="1"/>
  <c r="Y442" i="1"/>
  <c r="O445" i="1"/>
  <c r="AD448" i="1"/>
  <c r="R451" i="1"/>
  <c r="AA452" i="1"/>
  <c r="T460" i="1"/>
  <c r="J463" i="1"/>
  <c r="G406" i="1"/>
  <c r="T407" i="1"/>
  <c r="Z408" i="1"/>
  <c r="S410" i="1"/>
  <c r="AA411" i="1"/>
  <c r="E414" i="1"/>
  <c r="AB415" i="1"/>
  <c r="AD417" i="1"/>
  <c r="AD420" i="1"/>
  <c r="AB421" i="1"/>
  <c r="X424" i="1"/>
  <c r="D426" i="1"/>
  <c r="R427" i="1"/>
  <c r="AD429" i="1"/>
  <c r="Q433" i="1"/>
  <c r="J435" i="1"/>
  <c r="AD436" i="1"/>
  <c r="R440" i="1"/>
  <c r="S441" i="1"/>
  <c r="X442" i="1"/>
  <c r="N445" i="1"/>
  <c r="J447" i="1"/>
  <c r="AC448" i="1"/>
  <c r="Q451" i="1"/>
  <c r="Z452" i="1"/>
  <c r="J454" i="1"/>
  <c r="T455" i="1"/>
  <c r="AB456" i="1"/>
  <c r="G459" i="1"/>
  <c r="S460" i="1"/>
  <c r="Z461" i="1"/>
  <c r="I463" i="1"/>
  <c r="AD464" i="1"/>
  <c r="J405" i="1"/>
  <c r="R410" i="1"/>
  <c r="J413" i="1"/>
  <c r="AA415" i="1"/>
  <c r="Q427" i="1"/>
  <c r="AC429" i="1"/>
  <c r="I435" i="1"/>
  <c r="AC436" i="1"/>
  <c r="Q440" i="1"/>
  <c r="I447" i="1"/>
  <c r="AB448" i="1"/>
  <c r="T450" i="1"/>
  <c r="P451" i="1"/>
  <c r="Y452" i="1"/>
  <c r="I454" i="1"/>
  <c r="S455" i="1"/>
  <c r="J458" i="1"/>
  <c r="F459" i="1"/>
  <c r="R460" i="1"/>
  <c r="Y461" i="1"/>
  <c r="H463" i="1"/>
  <c r="AC464" i="1"/>
  <c r="I405" i="1"/>
  <c r="AH408" i="1"/>
  <c r="Q410" i="1"/>
  <c r="I413" i="1"/>
  <c r="AB420" i="1"/>
  <c r="P427" i="1"/>
  <c r="AB429" i="1"/>
  <c r="H435" i="1"/>
  <c r="I439" i="1"/>
  <c r="P440" i="1"/>
  <c r="AA448" i="1"/>
  <c r="O451" i="1"/>
  <c r="H454" i="1"/>
  <c r="R455" i="1"/>
  <c r="G463" i="1"/>
  <c r="AA464" i="1"/>
  <c r="T405" i="1"/>
  <c r="I409" i="1"/>
  <c r="AD410" i="1"/>
  <c r="T413" i="1"/>
  <c r="AC414" i="1"/>
  <c r="J416" i="1"/>
  <c r="Z417" i="1"/>
  <c r="Z420" i="1"/>
  <c r="J422" i="1"/>
  <c r="I425" i="1"/>
  <c r="R426" i="1"/>
  <c r="AD427" i="1"/>
  <c r="S431" i="1"/>
  <c r="P432" i="1"/>
  <c r="T435" i="1"/>
  <c r="J437" i="1"/>
  <c r="I438" i="1"/>
  <c r="G439" i="1"/>
  <c r="O441" i="1"/>
  <c r="I443" i="1"/>
  <c r="AB445" i="1"/>
  <c r="F447" i="1"/>
  <c r="AD451" i="1"/>
  <c r="J453" i="1"/>
  <c r="T454" i="1"/>
  <c r="AD455" i="1"/>
  <c r="I457" i="1"/>
  <c r="G458" i="1"/>
  <c r="AC460" i="1"/>
  <c r="J462" i="1"/>
  <c r="T463" i="1"/>
  <c r="AH464" i="1"/>
  <c r="S405" i="1"/>
  <c r="AD407" i="1"/>
  <c r="AC410" i="1"/>
  <c r="S413" i="1"/>
  <c r="AB414" i="1"/>
  <c r="Y417" i="1"/>
  <c r="Y420" i="1"/>
  <c r="I422" i="1"/>
  <c r="H425" i="1"/>
  <c r="Q426" i="1"/>
  <c r="AC427" i="1"/>
  <c r="R431" i="1"/>
  <c r="O432" i="1"/>
  <c r="S435" i="1"/>
  <c r="I437" i="1"/>
  <c r="F439" i="1"/>
  <c r="AD444" i="1"/>
  <c r="AA445" i="1"/>
  <c r="E447" i="1"/>
  <c r="AD450" i="1"/>
  <c r="AC451" i="1"/>
  <c r="I453" i="1"/>
  <c r="S454" i="1"/>
  <c r="AC455" i="1"/>
  <c r="H457" i="1"/>
  <c r="T459" i="1"/>
  <c r="AB460" i="1"/>
  <c r="I462" i="1"/>
  <c r="S463" i="1"/>
  <c r="AG464" i="1"/>
  <c r="R405" i="1"/>
  <c r="Q406" i="1"/>
  <c r="AC407" i="1"/>
  <c r="T409" i="1"/>
  <c r="AB410" i="1"/>
  <c r="J412" i="1"/>
  <c r="R413" i="1"/>
  <c r="AA414" i="1"/>
  <c r="T416" i="1"/>
  <c r="AD419" i="1"/>
  <c r="X420" i="1"/>
  <c r="H422" i="1"/>
  <c r="AD423" i="1"/>
  <c r="G425" i="1"/>
  <c r="P426" i="1"/>
  <c r="AB427" i="1"/>
  <c r="Y428" i="1"/>
  <c r="Q431" i="1"/>
  <c r="N432" i="1"/>
  <c r="J434" i="1"/>
  <c r="R435" i="1"/>
  <c r="H437" i="1"/>
  <c r="F438" i="1"/>
  <c r="E439" i="1"/>
  <c r="AB440" i="1"/>
  <c r="AD441" i="1"/>
  <c r="T443" i="1"/>
  <c r="AC444" i="1"/>
  <c r="Z445" i="1"/>
  <c r="D447" i="1"/>
  <c r="T449" i="1"/>
  <c r="AC450" i="1"/>
  <c r="AB451" i="1"/>
  <c r="H453" i="1"/>
  <c r="R454" i="1"/>
  <c r="AB455" i="1"/>
  <c r="G457" i="1"/>
  <c r="Q459" i="1"/>
  <c r="H462" i="1"/>
  <c r="R463" i="1"/>
  <c r="Q405" i="1"/>
  <c r="AB407" i="1"/>
  <c r="S409" i="1"/>
  <c r="AA410" i="1"/>
  <c r="I412" i="1"/>
  <c r="Q413" i="1"/>
  <c r="AC423" i="1"/>
  <c r="O426" i="1"/>
  <c r="AA427" i="1"/>
  <c r="J430" i="1"/>
  <c r="I434" i="1"/>
  <c r="Q435" i="1"/>
  <c r="G437" i="1"/>
  <c r="AC441" i="1"/>
  <c r="S443" i="1"/>
  <c r="AB444" i="1"/>
  <c r="S449" i="1"/>
  <c r="Q454" i="1"/>
  <c r="AA455" i="1"/>
  <c r="F457" i="1"/>
  <c r="S458" i="1"/>
  <c r="P459" i="1"/>
  <c r="Z460" i="1"/>
  <c r="G462" i="1"/>
  <c r="O463" i="1"/>
  <c r="P405" i="1"/>
  <c r="AA407" i="1"/>
  <c r="R409" i="1"/>
  <c r="H412" i="1"/>
  <c r="P413" i="1"/>
  <c r="J418" i="1"/>
  <c r="AB419" i="1"/>
  <c r="T422" i="1"/>
  <c r="AB423" i="1"/>
  <c r="Z427" i="1"/>
  <c r="I430" i="1"/>
  <c r="AD432" i="1"/>
  <c r="P435" i="1"/>
  <c r="F437" i="1"/>
  <c r="T439" i="1"/>
  <c r="Z440" i="1"/>
  <c r="AB441" i="1"/>
  <c r="R443" i="1"/>
  <c r="AA444" i="1"/>
  <c r="T447" i="1"/>
  <c r="R449" i="1"/>
  <c r="AA450" i="1"/>
  <c r="T453" i="1"/>
  <c r="P454" i="1"/>
  <c r="Z455" i="1"/>
  <c r="E457" i="1"/>
  <c r="O459" i="1"/>
  <c r="J404" i="1"/>
  <c r="O405" i="1"/>
  <c r="Z407" i="1"/>
  <c r="Q409" i="1"/>
  <c r="AF410" i="1"/>
  <c r="G412" i="1"/>
  <c r="O413" i="1"/>
  <c r="X414" i="1"/>
  <c r="AD416" i="1"/>
  <c r="I418" i="1"/>
  <c r="AA419" i="1"/>
  <c r="J421" i="1"/>
  <c r="S422" i="1"/>
  <c r="AA423" i="1"/>
  <c r="S425" i="1"/>
  <c r="AD426" i="1"/>
  <c r="H430" i="1"/>
  <c r="AD431" i="1"/>
  <c r="AC432" i="1"/>
  <c r="T434" i="1"/>
  <c r="O435" i="1"/>
  <c r="E437" i="1"/>
  <c r="T438" i="1"/>
  <c r="S439" i="1"/>
  <c r="Y440" i="1"/>
  <c r="AA441" i="1"/>
  <c r="Q443" i="1"/>
  <c r="Z444" i="1"/>
  <c r="S447" i="1"/>
  <c r="Q449" i="1"/>
  <c r="Z450" i="1"/>
  <c r="J452" i="1"/>
  <c r="S453" i="1"/>
  <c r="O454" i="1"/>
  <c r="Y455" i="1"/>
  <c r="D457" i="1"/>
  <c r="E462" i="1"/>
  <c r="AD463" i="1"/>
  <c r="I404" i="1"/>
  <c r="N405" i="1"/>
  <c r="AD406" i="1"/>
  <c r="F412" i="1"/>
  <c r="I421" i="1"/>
  <c r="R422" i="1"/>
  <c r="AC426" i="1"/>
  <c r="AC431" i="1"/>
  <c r="AB432" i="1"/>
  <c r="S434" i="1"/>
  <c r="D437" i="1"/>
  <c r="S438" i="1"/>
  <c r="Z441" i="1"/>
  <c r="P443" i="1"/>
  <c r="AD459" i="1"/>
  <c r="AC463" i="1"/>
  <c r="H404" i="1"/>
  <c r="M405" i="1"/>
  <c r="AC406" i="1"/>
  <c r="AD409" i="1"/>
  <c r="E412" i="1"/>
  <c r="AD413" i="1"/>
  <c r="T418" i="1"/>
  <c r="Y419" i="1"/>
  <c r="H421" i="1"/>
  <c r="Q422" i="1"/>
  <c r="AB426" i="1"/>
  <c r="J428" i="1"/>
  <c r="J429" i="1"/>
  <c r="T430" i="1"/>
  <c r="AB431" i="1"/>
  <c r="AA432" i="1"/>
  <c r="R434" i="1"/>
  <c r="C437" i="1"/>
  <c r="R438" i="1"/>
  <c r="Y441" i="1"/>
  <c r="O443" i="1"/>
  <c r="X444" i="1"/>
  <c r="I446" i="1"/>
  <c r="AD447" i="1"/>
  <c r="O449" i="1"/>
  <c r="X450" i="1"/>
  <c r="H452" i="1"/>
  <c r="Q453" i="1"/>
  <c r="AD454" i="1"/>
  <c r="T457" i="1"/>
  <c r="O458" i="1"/>
  <c r="AC459" i="1"/>
  <c r="J461" i="1"/>
  <c r="T462" i="1"/>
  <c r="AB463" i="1"/>
  <c r="G404" i="1"/>
  <c r="AB406" i="1"/>
  <c r="J408" i="1"/>
  <c r="AC409" i="1"/>
  <c r="AC413" i="1"/>
  <c r="S418" i="1"/>
  <c r="G421" i="1"/>
  <c r="AD425" i="1"/>
  <c r="AA426" i="1"/>
  <c r="I428" i="1"/>
  <c r="S430" i="1"/>
  <c r="AA431" i="1"/>
  <c r="Z432" i="1"/>
  <c r="Q434" i="1"/>
  <c r="Q438" i="1"/>
  <c r="AC447" i="1"/>
  <c r="G452" i="1"/>
  <c r="P453" i="1"/>
  <c r="AC454" i="1"/>
  <c r="J456" i="1"/>
  <c r="S457" i="1"/>
  <c r="AB459" i="1"/>
  <c r="I461" i="1"/>
  <c r="S462" i="1"/>
  <c r="AA463" i="1"/>
  <c r="F404" i="1"/>
  <c r="AD405" i="1"/>
  <c r="AA406" i="1"/>
  <c r="I408" i="1"/>
  <c r="AB409" i="1"/>
  <c r="T412" i="1"/>
  <c r="AB413" i="1"/>
  <c r="J415" i="1"/>
  <c r="R418" i="1"/>
  <c r="F421" i="1"/>
  <c r="AD422" i="1"/>
  <c r="AC425" i="1"/>
  <c r="Z426" i="1"/>
  <c r="H428" i="1"/>
  <c r="R430" i="1"/>
  <c r="Z431" i="1"/>
  <c r="Y432" i="1"/>
  <c r="P434" i="1"/>
  <c r="P438" i="1"/>
  <c r="J441" i="1"/>
  <c r="AD443" i="1"/>
  <c r="T446" i="1"/>
  <c r="AB447" i="1"/>
  <c r="AD449" i="1"/>
  <c r="AH450" i="1"/>
  <c r="AB454" i="1"/>
  <c r="I456" i="1"/>
  <c r="R457" i="1"/>
  <c r="AD458" i="1"/>
  <c r="H461" i="1"/>
  <c r="E404" i="1"/>
  <c r="AC405" i="1"/>
  <c r="Z406" i="1"/>
  <c r="H408" i="1"/>
  <c r="AA409" i="1"/>
  <c r="T411" i="1"/>
  <c r="S412" i="1"/>
  <c r="AA413" i="1"/>
  <c r="I415" i="1"/>
  <c r="I417" i="1"/>
  <c r="Q418" i="1"/>
  <c r="E421" i="1"/>
  <c r="AC422" i="1"/>
  <c r="T424" i="1"/>
  <c r="AB425" i="1"/>
  <c r="Y426" i="1"/>
  <c r="G428" i="1"/>
  <c r="Q430" i="1"/>
  <c r="Y431" i="1"/>
  <c r="X432" i="1"/>
  <c r="O434" i="1"/>
  <c r="S437" i="1"/>
  <c r="O438" i="1"/>
  <c r="I441" i="1"/>
  <c r="J442" i="1"/>
  <c r="AC443" i="1"/>
  <c r="J445" i="1"/>
  <c r="S446" i="1"/>
  <c r="AA447" i="1"/>
  <c r="AC449" i="1"/>
  <c r="AG450" i="1"/>
  <c r="T452" i="1"/>
  <c r="AD453" i="1"/>
  <c r="AA454" i="1"/>
  <c r="F456" i="1"/>
  <c r="Q457" i="1"/>
  <c r="AC458" i="1"/>
  <c r="Q462" i="1"/>
  <c r="Y406" i="1"/>
  <c r="Z409" i="1"/>
  <c r="R412" i="1"/>
  <c r="Z413" i="1"/>
  <c r="P418" i="1"/>
  <c r="J420" i="1"/>
  <c r="S424" i="1"/>
  <c r="AA425" i="1"/>
  <c r="X426" i="1"/>
  <c r="F428" i="1"/>
  <c r="P430" i="1"/>
  <c r="X431" i="1"/>
  <c r="AH439" i="1"/>
  <c r="I442" i="1"/>
  <c r="AB443" i="1"/>
  <c r="I445" i="1"/>
  <c r="R446" i="1"/>
  <c r="E456" i="1"/>
  <c r="P457" i="1"/>
  <c r="H340" i="1"/>
  <c r="AC341" i="1"/>
  <c r="X342" i="1"/>
  <c r="E344" i="1"/>
  <c r="Q346" i="1"/>
  <c r="AC347" i="1"/>
  <c r="AD349" i="1"/>
  <c r="AC351" i="1"/>
  <c r="W352" i="1"/>
  <c r="T354" i="1"/>
  <c r="AD355" i="1"/>
  <c r="Y356" i="1"/>
  <c r="P361" i="1"/>
  <c r="Y362" i="1"/>
  <c r="R364" i="1"/>
  <c r="G366" i="1"/>
  <c r="AC367" i="1"/>
  <c r="Y368" i="1"/>
  <c r="J370" i="1"/>
  <c r="G371" i="1"/>
  <c r="R372" i="1"/>
  <c r="T373" i="1"/>
  <c r="AB374" i="1"/>
  <c r="Z375" i="1"/>
  <c r="AA378" i="1"/>
  <c r="T380" i="1"/>
  <c r="O381" i="1"/>
  <c r="AD384" i="1"/>
  <c r="AD385" i="1"/>
  <c r="AD387" i="1"/>
  <c r="T390" i="1"/>
  <c r="Z391" i="1"/>
  <c r="AB393" i="1"/>
  <c r="Y396" i="1"/>
  <c r="I398" i="1"/>
  <c r="E399" i="1"/>
  <c r="AD400" i="1"/>
  <c r="G402" i="1"/>
  <c r="S403" i="1"/>
  <c r="AD337" i="1"/>
  <c r="J339" i="1"/>
  <c r="G340" i="1"/>
  <c r="AB341" i="1"/>
  <c r="T345" i="1"/>
  <c r="AB347" i="1"/>
  <c r="AB349" i="1"/>
  <c r="S354" i="1"/>
  <c r="AC355" i="1"/>
  <c r="X356" i="1"/>
  <c r="AD358" i="1"/>
  <c r="J360" i="1"/>
  <c r="X362" i="1"/>
  <c r="Q364" i="1"/>
  <c r="F366" i="1"/>
  <c r="AB367" i="1"/>
  <c r="X368" i="1"/>
  <c r="I370" i="1"/>
  <c r="F371" i="1"/>
  <c r="Q372" i="1"/>
  <c r="S373" i="1"/>
  <c r="AA374" i="1"/>
  <c r="T377" i="1"/>
  <c r="S380" i="1"/>
  <c r="AC384" i="1"/>
  <c r="AC385" i="1"/>
  <c r="AC387" i="1"/>
  <c r="S390" i="1"/>
  <c r="AA393" i="1"/>
  <c r="H398" i="1"/>
  <c r="R403" i="1"/>
  <c r="AC337" i="1"/>
  <c r="I339" i="1"/>
  <c r="AA341" i="1"/>
  <c r="T344" i="1"/>
  <c r="S345" i="1"/>
  <c r="AD346" i="1"/>
  <c r="AA347" i="1"/>
  <c r="R354" i="1"/>
  <c r="I360" i="1"/>
  <c r="AD361" i="1"/>
  <c r="P364" i="1"/>
  <c r="E366" i="1"/>
  <c r="AA367" i="1"/>
  <c r="H370" i="1"/>
  <c r="E371" i="1"/>
  <c r="P372" i="1"/>
  <c r="R373" i="1"/>
  <c r="Z374" i="1"/>
  <c r="S377" i="1"/>
  <c r="R380" i="1"/>
  <c r="AD381" i="1"/>
  <c r="AB384" i="1"/>
  <c r="AB385" i="1"/>
  <c r="AB387" i="1"/>
  <c r="Z393" i="1"/>
  <c r="G398" i="1"/>
  <c r="AB400" i="1"/>
  <c r="T402" i="1"/>
  <c r="Q403" i="1"/>
  <c r="AB337" i="1"/>
  <c r="H339" i="1"/>
  <c r="T340" i="1"/>
  <c r="Z341" i="1"/>
  <c r="S344" i="1"/>
  <c r="Z347" i="1"/>
  <c r="Q354" i="1"/>
  <c r="AC361" i="1"/>
  <c r="Z367" i="1"/>
  <c r="G370" i="1"/>
  <c r="O372" i="1"/>
  <c r="Q373" i="1"/>
  <c r="Y374" i="1"/>
  <c r="R377" i="1"/>
  <c r="X378" i="1"/>
  <c r="Q380" i="1"/>
  <c r="AC381" i="1"/>
  <c r="R383" i="1"/>
  <c r="AA384" i="1"/>
  <c r="AA385" i="1"/>
  <c r="AA387" i="1"/>
  <c r="I389" i="1"/>
  <c r="AD390" i="1"/>
  <c r="Y393" i="1"/>
  <c r="J397" i="1"/>
  <c r="F398" i="1"/>
  <c r="T399" i="1"/>
  <c r="AA400" i="1"/>
  <c r="S402" i="1"/>
  <c r="P403" i="1"/>
  <c r="AA337" i="1"/>
  <c r="G339" i="1"/>
  <c r="S340" i="1"/>
  <c r="Y341" i="1"/>
  <c r="I343" i="1"/>
  <c r="R344" i="1"/>
  <c r="AD345" i="1"/>
  <c r="AB346" i="1"/>
  <c r="Y347" i="1"/>
  <c r="J350" i="1"/>
  <c r="Y351" i="1"/>
  <c r="T353" i="1"/>
  <c r="P354" i="1"/>
  <c r="J357" i="1"/>
  <c r="J359" i="1"/>
  <c r="T360" i="1"/>
  <c r="AB361" i="1"/>
  <c r="J363" i="1"/>
  <c r="N364" i="1"/>
  <c r="T366" i="1"/>
  <c r="Y367" i="1"/>
  <c r="J369" i="1"/>
  <c r="F370" i="1"/>
  <c r="T371" i="1"/>
  <c r="P373" i="1"/>
  <c r="J376" i="1"/>
  <c r="P380" i="1"/>
  <c r="AB381" i="1"/>
  <c r="Q383" i="1"/>
  <c r="Z384" i="1"/>
  <c r="Z385" i="1"/>
  <c r="Z387" i="1"/>
  <c r="H389" i="1"/>
  <c r="AC390" i="1"/>
  <c r="X393" i="1"/>
  <c r="T395" i="1"/>
  <c r="I397" i="1"/>
  <c r="E398" i="1"/>
  <c r="R402" i="1"/>
  <c r="O403" i="1"/>
  <c r="Z337" i="1"/>
  <c r="F339" i="1"/>
  <c r="R340" i="1"/>
  <c r="X341" i="1"/>
  <c r="H343" i="1"/>
  <c r="Q344" i="1"/>
  <c r="AC345" i="1"/>
  <c r="AA346" i="1"/>
  <c r="X347" i="1"/>
  <c r="I350" i="1"/>
  <c r="S353" i="1"/>
  <c r="O354" i="1"/>
  <c r="I357" i="1"/>
  <c r="I359" i="1"/>
  <c r="S360" i="1"/>
  <c r="AA361" i="1"/>
  <c r="I363" i="1"/>
  <c r="S366" i="1"/>
  <c r="I369" i="1"/>
  <c r="E370" i="1"/>
  <c r="S371" i="1"/>
  <c r="O373" i="1"/>
  <c r="I376" i="1"/>
  <c r="AD377" i="1"/>
  <c r="O380" i="1"/>
  <c r="AA381" i="1"/>
  <c r="Y384" i="1"/>
  <c r="V387" i="1"/>
  <c r="AB390" i="1"/>
  <c r="W393" i="1"/>
  <c r="S395" i="1"/>
  <c r="Q402" i="1"/>
  <c r="Y337" i="1"/>
  <c r="P344" i="1"/>
  <c r="R353" i="1"/>
  <c r="H357" i="1"/>
  <c r="H359" i="1"/>
  <c r="R360" i="1"/>
  <c r="H369" i="1"/>
  <c r="G397" i="1"/>
  <c r="AD403" i="1"/>
  <c r="O344" i="1"/>
  <c r="Y346" i="1"/>
  <c r="T350" i="1"/>
  <c r="Q353" i="1"/>
  <c r="G357" i="1"/>
  <c r="G359" i="1"/>
  <c r="Q360" i="1"/>
  <c r="AD366" i="1"/>
  <c r="J368" i="1"/>
  <c r="G369" i="1"/>
  <c r="T370" i="1"/>
  <c r="Q371" i="1"/>
  <c r="AC372" i="1"/>
  <c r="I375" i="1"/>
  <c r="T376" i="1"/>
  <c r="I386" i="1"/>
  <c r="AD395" i="1"/>
  <c r="F397" i="1"/>
  <c r="AD402" i="1"/>
  <c r="AC403" i="1"/>
  <c r="AH337" i="1"/>
  <c r="J342" i="1"/>
  <c r="T343" i="1"/>
  <c r="N344" i="1"/>
  <c r="S350" i="1"/>
  <c r="F359" i="1"/>
  <c r="AH361" i="1"/>
  <c r="T363" i="1"/>
  <c r="AC366" i="1"/>
  <c r="I368" i="1"/>
  <c r="F369" i="1"/>
  <c r="S370" i="1"/>
  <c r="P371" i="1"/>
  <c r="AB372" i="1"/>
  <c r="AD373" i="1"/>
  <c r="H375" i="1"/>
  <c r="S376" i="1"/>
  <c r="AD380" i="1"/>
  <c r="H386" i="1"/>
  <c r="J388" i="1"/>
  <c r="D389" i="1"/>
  <c r="J391" i="1"/>
  <c r="J394" i="1"/>
  <c r="AC395" i="1"/>
  <c r="E397" i="1"/>
  <c r="R398" i="1"/>
  <c r="O399" i="1"/>
  <c r="T401" i="1"/>
  <c r="AC402" i="1"/>
  <c r="AB403" i="1"/>
  <c r="I342" i="1"/>
  <c r="S343" i="1"/>
  <c r="M344" i="1"/>
  <c r="R350" i="1"/>
  <c r="AD353" i="1"/>
  <c r="T357" i="1"/>
  <c r="E359" i="1"/>
  <c r="AD360" i="1"/>
  <c r="AG361" i="1"/>
  <c r="S363" i="1"/>
  <c r="AB366" i="1"/>
  <c r="H368" i="1"/>
  <c r="E369" i="1"/>
  <c r="R370" i="1"/>
  <c r="O371" i="1"/>
  <c r="AA372" i="1"/>
  <c r="AC373" i="1"/>
  <c r="G375" i="1"/>
  <c r="R376" i="1"/>
  <c r="Y377" i="1"/>
  <c r="T379" i="1"/>
  <c r="AC380" i="1"/>
  <c r="AD383" i="1"/>
  <c r="J385" i="1"/>
  <c r="G386" i="1"/>
  <c r="I388" i="1"/>
  <c r="I391" i="1"/>
  <c r="T392" i="1"/>
  <c r="I394" i="1"/>
  <c r="AB395" i="1"/>
  <c r="D397" i="1"/>
  <c r="Q398" i="1"/>
  <c r="S401" i="1"/>
  <c r="AB402" i="1"/>
  <c r="AA403" i="1"/>
  <c r="T356" i="1"/>
  <c r="T382" i="1"/>
  <c r="H388" i="1"/>
  <c r="H391" i="1"/>
  <c r="S392" i="1"/>
  <c r="AD399" i="1"/>
  <c r="R401" i="1"/>
  <c r="AA402" i="1"/>
  <c r="Z403" i="1"/>
  <c r="I338" i="1"/>
  <c r="G342" i="1"/>
  <c r="AD344" i="1"/>
  <c r="J347" i="1"/>
  <c r="AB353" i="1"/>
  <c r="J355" i="1"/>
  <c r="S356" i="1"/>
  <c r="R357" i="1"/>
  <c r="T359" i="1"/>
  <c r="AB360" i="1"/>
  <c r="J362" i="1"/>
  <c r="Q363" i="1"/>
  <c r="I365" i="1"/>
  <c r="Z366" i="1"/>
  <c r="F368" i="1"/>
  <c r="T369" i="1"/>
  <c r="AD371" i="1"/>
  <c r="Y372" i="1"/>
  <c r="E375" i="1"/>
  <c r="AD376" i="1"/>
  <c r="S382" i="1"/>
  <c r="AB383" i="1"/>
  <c r="H385" i="1"/>
  <c r="R386" i="1"/>
  <c r="G388" i="1"/>
  <c r="S389" i="1"/>
  <c r="G391" i="1"/>
  <c r="R392" i="1"/>
  <c r="T397" i="1"/>
  <c r="AD398" i="1"/>
  <c r="AC399" i="1"/>
  <c r="Q401" i="1"/>
  <c r="Z402" i="1"/>
  <c r="Y403" i="1"/>
  <c r="H338" i="1"/>
  <c r="Z340" i="1"/>
  <c r="F342" i="1"/>
  <c r="AC343" i="1"/>
  <c r="AC344" i="1"/>
  <c r="I347" i="1"/>
  <c r="AD348" i="1"/>
  <c r="T352" i="1"/>
  <c r="AA353" i="1"/>
  <c r="I355" i="1"/>
  <c r="R356" i="1"/>
  <c r="S359" i="1"/>
  <c r="H365" i="1"/>
  <c r="Y366" i="1"/>
  <c r="E368" i="1"/>
  <c r="S369" i="1"/>
  <c r="X372" i="1"/>
  <c r="AC376" i="1"/>
  <c r="AD379" i="1"/>
  <c r="J381" i="1"/>
  <c r="R382" i="1"/>
  <c r="F388" i="1"/>
  <c r="Y402" i="1"/>
  <c r="AD339" i="1"/>
  <c r="E342" i="1"/>
  <c r="AB343" i="1"/>
  <c r="AB344" i="1"/>
  <c r="H347" i="1"/>
  <c r="AC348" i="1"/>
  <c r="S352" i="1"/>
  <c r="Z353" i="1"/>
  <c r="H355" i="1"/>
  <c r="Q356" i="1"/>
  <c r="P357" i="1"/>
  <c r="Q359" i="1"/>
  <c r="Z360" i="1"/>
  <c r="T362" i="1"/>
  <c r="AD363" i="1"/>
  <c r="R369" i="1"/>
  <c r="W372" i="1"/>
  <c r="J374" i="1"/>
  <c r="AB376" i="1"/>
  <c r="I381" i="1"/>
  <c r="F385" i="1"/>
  <c r="E388" i="1"/>
  <c r="R397" i="1"/>
  <c r="AB398" i="1"/>
  <c r="AD401" i="1"/>
  <c r="X402" i="1"/>
  <c r="T338" i="1"/>
  <c r="D342" i="1"/>
  <c r="AA344" i="1"/>
  <c r="G347" i="1"/>
  <c r="AB348" i="1"/>
  <c r="R352" i="1"/>
  <c r="Y353" i="1"/>
  <c r="G355" i="1"/>
  <c r="P356" i="1"/>
  <c r="P359" i="1"/>
  <c r="S362" i="1"/>
  <c r="AC363" i="1"/>
  <c r="T368" i="1"/>
  <c r="Q369" i="1"/>
  <c r="I374" i="1"/>
  <c r="AA376" i="1"/>
  <c r="H381" i="1"/>
  <c r="T396" i="1"/>
  <c r="AA398" i="1"/>
  <c r="J341" i="1"/>
  <c r="Z344" i="1"/>
  <c r="AA348" i="1"/>
  <c r="Q352" i="1"/>
  <c r="O356" i="1"/>
  <c r="O359" i="1"/>
  <c r="R362" i="1"/>
  <c r="AB363" i="1"/>
  <c r="S368" i="1"/>
  <c r="P369" i="1"/>
  <c r="AH372" i="1"/>
  <c r="H374" i="1"/>
  <c r="Z376" i="1"/>
  <c r="G381" i="1"/>
  <c r="J384" i="1"/>
  <c r="D385" i="1"/>
  <c r="J387" i="1"/>
  <c r="T388" i="1"/>
  <c r="O389" i="1"/>
  <c r="J393" i="1"/>
  <c r="S396" i="1"/>
  <c r="AD397" i="1"/>
  <c r="Z398" i="1"/>
  <c r="I400" i="1"/>
  <c r="AB401" i="1"/>
  <c r="I341" i="1"/>
  <c r="Y344" i="1"/>
  <c r="T347" i="1"/>
  <c r="T355" i="1"/>
  <c r="N356" i="1"/>
  <c r="AD357" i="1"/>
  <c r="J361" i="1"/>
  <c r="Q362" i="1"/>
  <c r="Y376" i="1"/>
  <c r="F381" i="1"/>
  <c r="AH382" i="1"/>
  <c r="I384" i="1"/>
  <c r="I387" i="1"/>
  <c r="S388" i="1"/>
  <c r="Q391" i="1"/>
  <c r="I393" i="1"/>
  <c r="R396" i="1"/>
  <c r="AC397" i="1"/>
  <c r="Y398" i="1"/>
  <c r="H400" i="1"/>
  <c r="AA401" i="1"/>
  <c r="J403" i="1"/>
  <c r="H341" i="1"/>
  <c r="X344" i="1"/>
  <c r="G346" i="1"/>
  <c r="S347" i="1"/>
  <c r="AD352" i="1"/>
  <c r="J354" i="1"/>
  <c r="S355" i="1"/>
  <c r="M356" i="1"/>
  <c r="AC357" i="1"/>
  <c r="AD359" i="1"/>
  <c r="I361" i="1"/>
  <c r="P362" i="1"/>
  <c r="Z363" i="1"/>
  <c r="I367" i="1"/>
  <c r="Q368" i="1"/>
  <c r="AD369" i="1"/>
  <c r="X370" i="1"/>
  <c r="J372" i="1"/>
  <c r="J373" i="1"/>
  <c r="T374" i="1"/>
  <c r="P375" i="1"/>
  <c r="X376" i="1"/>
  <c r="J380" i="1"/>
  <c r="E381" i="1"/>
  <c r="H384" i="1"/>
  <c r="T385" i="1"/>
  <c r="R388" i="1"/>
  <c r="AD389" i="1"/>
  <c r="AD394" i="1"/>
  <c r="Q396" i="1"/>
  <c r="AB397" i="1"/>
  <c r="G400" i="1"/>
  <c r="I403" i="1"/>
  <c r="R347" i="1"/>
  <c r="J349" i="1"/>
  <c r="I354" i="1"/>
  <c r="R355" i="1"/>
  <c r="AC359" i="1"/>
  <c r="H361" i="1"/>
  <c r="AC369" i="1"/>
  <c r="I372" i="1"/>
  <c r="I373" i="1"/>
  <c r="S374" i="1"/>
  <c r="I380" i="1"/>
  <c r="G384" i="1"/>
  <c r="S385" i="1"/>
  <c r="T393" i="1"/>
  <c r="AC394" i="1"/>
  <c r="AA397" i="1"/>
  <c r="AH401" i="1"/>
  <c r="H403" i="1"/>
  <c r="T341" i="1"/>
  <c r="Q347" i="1"/>
  <c r="I349" i="1"/>
  <c r="H354" i="1"/>
  <c r="Q355" i="1"/>
  <c r="AB359" i="1"/>
  <c r="AD368" i="1"/>
  <c r="AB369" i="1"/>
  <c r="H372" i="1"/>
  <c r="H373" i="1"/>
  <c r="R374" i="1"/>
  <c r="H380" i="1"/>
  <c r="T381" i="1"/>
  <c r="F384" i="1"/>
  <c r="R385" i="1"/>
  <c r="AD388" i="1"/>
  <c r="S393" i="1"/>
  <c r="AB394" i="1"/>
  <c r="AD396" i="1"/>
  <c r="Z397" i="1"/>
  <c r="J399" i="1"/>
  <c r="T400" i="1"/>
  <c r="AG401" i="1"/>
  <c r="G403" i="1"/>
  <c r="R337" i="1"/>
  <c r="S341" i="1"/>
  <c r="AB342" i="1"/>
  <c r="I344" i="1"/>
  <c r="J345" i="1"/>
  <c r="P347" i="1"/>
  <c r="H349" i="1"/>
  <c r="T351" i="1"/>
  <c r="AA352" i="1"/>
  <c r="G354" i="1"/>
  <c r="P355" i="1"/>
  <c r="AC356" i="1"/>
  <c r="J358" i="1"/>
  <c r="AA359" i="1"/>
  <c r="T361" i="1"/>
  <c r="AC362" i="1"/>
  <c r="J364" i="1"/>
  <c r="T367" i="1"/>
  <c r="AC368" i="1"/>
  <c r="AA369" i="1"/>
  <c r="F372" i="1"/>
  <c r="G373" i="1"/>
  <c r="Q374" i="1"/>
  <c r="AD375" i="1"/>
  <c r="J377" i="1"/>
  <c r="G380" i="1"/>
  <c r="S381" i="1"/>
  <c r="H383" i="1"/>
  <c r="E384" i="1"/>
  <c r="Q385" i="1"/>
  <c r="T387" i="1"/>
  <c r="AC388" i="1"/>
  <c r="J390" i="1"/>
  <c r="AD391" i="1"/>
  <c r="R393" i="1"/>
  <c r="AA394" i="1"/>
  <c r="AC396" i="1"/>
  <c r="Y397" i="1"/>
  <c r="I399" i="1"/>
  <c r="S400" i="1"/>
  <c r="F403" i="1"/>
  <c r="R265" i="1"/>
  <c r="P266" i="1"/>
  <c r="I269" i="1"/>
  <c r="I270" i="1"/>
  <c r="S271" i="1"/>
  <c r="AC272" i="1"/>
  <c r="T277" i="1"/>
  <c r="AB278" i="1"/>
  <c r="P292" i="1"/>
  <c r="AC300" i="1"/>
  <c r="T303" i="1"/>
  <c r="J305" i="1"/>
  <c r="J306" i="1"/>
  <c r="AD307" i="1"/>
  <c r="J309" i="1"/>
  <c r="AD310" i="1"/>
  <c r="AD311" i="1"/>
  <c r="AA312" i="1"/>
  <c r="Z313" i="1"/>
  <c r="I315" i="1"/>
  <c r="T319" i="1"/>
  <c r="Z320" i="1"/>
  <c r="AC323" i="1"/>
  <c r="AD326" i="1"/>
  <c r="R328" i="1"/>
  <c r="N329" i="1"/>
  <c r="Y330" i="1"/>
  <c r="AC333" i="1"/>
  <c r="H336" i="1"/>
  <c r="Q265" i="1"/>
  <c r="J268" i="1"/>
  <c r="H269" i="1"/>
  <c r="H270" i="1"/>
  <c r="R271" i="1"/>
  <c r="AB272" i="1"/>
  <c r="W273" i="1"/>
  <c r="S277" i="1"/>
  <c r="AA278" i="1"/>
  <c r="AB281" i="1"/>
  <c r="AD284" i="1"/>
  <c r="AD285" i="1"/>
  <c r="T287" i="1"/>
  <c r="J290" i="1"/>
  <c r="J291" i="1"/>
  <c r="O292" i="1"/>
  <c r="W293" i="1"/>
  <c r="AD296" i="1"/>
  <c r="T298" i="1"/>
  <c r="AB300" i="1"/>
  <c r="J302" i="1"/>
  <c r="I305" i="1"/>
  <c r="AC311" i="1"/>
  <c r="J322" i="1"/>
  <c r="P265" i="1"/>
  <c r="AD266" i="1"/>
  <c r="I268" i="1"/>
  <c r="G269" i="1"/>
  <c r="G270" i="1"/>
  <c r="Q271" i="1"/>
  <c r="AA272" i="1"/>
  <c r="V273" i="1"/>
  <c r="T275" i="1"/>
  <c r="R277" i="1"/>
  <c r="Z278" i="1"/>
  <c r="T280" i="1"/>
  <c r="AA281" i="1"/>
  <c r="I290" i="1"/>
  <c r="AC296" i="1"/>
  <c r="S298" i="1"/>
  <c r="AC299" i="1"/>
  <c r="AA300" i="1"/>
  <c r="I302" i="1"/>
  <c r="R303" i="1"/>
  <c r="H305" i="1"/>
  <c r="H306" i="1"/>
  <c r="AB307" i="1"/>
  <c r="T309" i="1"/>
  <c r="AB310" i="1"/>
  <c r="AB311" i="1"/>
  <c r="Y312" i="1"/>
  <c r="T315" i="1"/>
  <c r="AC317" i="1"/>
  <c r="I322" i="1"/>
  <c r="AA323" i="1"/>
  <c r="AB326" i="1"/>
  <c r="P328" i="1"/>
  <c r="AD329" i="1"/>
  <c r="W330" i="1"/>
  <c r="J332" i="1"/>
  <c r="I335" i="1"/>
  <c r="T336" i="1"/>
  <c r="O265" i="1"/>
  <c r="F269" i="1"/>
  <c r="Z272" i="1"/>
  <c r="Q277" i="1"/>
  <c r="Y278" i="1"/>
  <c r="S280" i="1"/>
  <c r="Z281" i="1"/>
  <c r="AC283" i="1"/>
  <c r="AB284" i="1"/>
  <c r="AB285" i="1"/>
  <c r="R287" i="1"/>
  <c r="J289" i="1"/>
  <c r="H290" i="1"/>
  <c r="H291" i="1"/>
  <c r="AD292" i="1"/>
  <c r="AB296" i="1"/>
  <c r="R298" i="1"/>
  <c r="AB299" i="1"/>
  <c r="Z300" i="1"/>
  <c r="H302" i="1"/>
  <c r="G305" i="1"/>
  <c r="G306" i="1"/>
  <c r="AA307" i="1"/>
  <c r="S309" i="1"/>
  <c r="AA310" i="1"/>
  <c r="AA311" i="1"/>
  <c r="X312" i="1"/>
  <c r="AH313" i="1"/>
  <c r="S315" i="1"/>
  <c r="O316" i="1"/>
  <c r="AB317" i="1"/>
  <c r="AD319" i="1"/>
  <c r="J321" i="1"/>
  <c r="H322" i="1"/>
  <c r="Z323" i="1"/>
  <c r="AA326" i="1"/>
  <c r="J334" i="1"/>
  <c r="H335" i="1"/>
  <c r="S336" i="1"/>
  <c r="E269" i="1"/>
  <c r="T270" i="1"/>
  <c r="AD271" i="1"/>
  <c r="AH273" i="1"/>
  <c r="P277" i="1"/>
  <c r="AB283" i="1"/>
  <c r="AA284" i="1"/>
  <c r="I289" i="1"/>
  <c r="G290" i="1"/>
  <c r="AA292" i="1"/>
  <c r="J294" i="1"/>
  <c r="Q298" i="1"/>
  <c r="AA299" i="1"/>
  <c r="Y300" i="1"/>
  <c r="G302" i="1"/>
  <c r="F305" i="1"/>
  <c r="Z307" i="1"/>
  <c r="R309" i="1"/>
  <c r="Z310" i="1"/>
  <c r="Z311" i="1"/>
  <c r="W312" i="1"/>
  <c r="T332" i="1"/>
  <c r="I334" i="1"/>
  <c r="G335" i="1"/>
  <c r="R336" i="1"/>
  <c r="S270" i="1"/>
  <c r="AC271" i="1"/>
  <c r="AD280" i="1"/>
  <c r="AA283" i="1"/>
  <c r="Z284" i="1"/>
  <c r="H289" i="1"/>
  <c r="F290" i="1"/>
  <c r="P298" i="1"/>
  <c r="J314" i="1"/>
  <c r="Z317" i="1"/>
  <c r="AB319" i="1"/>
  <c r="H321" i="1"/>
  <c r="T322" i="1"/>
  <c r="X323" i="1"/>
  <c r="AD328" i="1"/>
  <c r="J331" i="1"/>
  <c r="H334" i="1"/>
  <c r="AC265" i="1"/>
  <c r="Z266" i="1"/>
  <c r="E268" i="1"/>
  <c r="T269" i="1"/>
  <c r="R270" i="1"/>
  <c r="AB271" i="1"/>
  <c r="J273" i="1"/>
  <c r="J274" i="1"/>
  <c r="AB275" i="1"/>
  <c r="AD277" i="1"/>
  <c r="J279" i="1"/>
  <c r="AC280" i="1"/>
  <c r="J282" i="1"/>
  <c r="Z283" i="1"/>
  <c r="Y284" i="1"/>
  <c r="Y285" i="1"/>
  <c r="AC287" i="1"/>
  <c r="G289" i="1"/>
  <c r="E290" i="1"/>
  <c r="H294" i="1"/>
  <c r="J297" i="1"/>
  <c r="O298" i="1"/>
  <c r="T302" i="1"/>
  <c r="D305" i="1"/>
  <c r="AD309" i="1"/>
  <c r="X310" i="1"/>
  <c r="I314" i="1"/>
  <c r="AD315" i="1"/>
  <c r="AD316" i="1"/>
  <c r="Y317" i="1"/>
  <c r="G321" i="1"/>
  <c r="J327" i="1"/>
  <c r="AC328" i="1"/>
  <c r="J330" i="1"/>
  <c r="I331" i="1"/>
  <c r="G334" i="1"/>
  <c r="E335" i="1"/>
  <c r="AD336" i="1"/>
  <c r="AB265" i="1"/>
  <c r="S269" i="1"/>
  <c r="Q270" i="1"/>
  <c r="AA271" i="1"/>
  <c r="I274" i="1"/>
  <c r="I282" i="1"/>
  <c r="AC309" i="1"/>
  <c r="J312" i="1"/>
  <c r="J313" i="1"/>
  <c r="H314" i="1"/>
  <c r="AC315" i="1"/>
  <c r="AC316" i="1"/>
  <c r="F321" i="1"/>
  <c r="AD325" i="1"/>
  <c r="I327" i="1"/>
  <c r="AB328" i="1"/>
  <c r="H331" i="1"/>
  <c r="AD332" i="1"/>
  <c r="F334" i="1"/>
  <c r="AC336" i="1"/>
  <c r="AA265" i="1"/>
  <c r="X266" i="1"/>
  <c r="T268" i="1"/>
  <c r="R269" i="1"/>
  <c r="P270" i="1"/>
  <c r="Z271" i="1"/>
  <c r="H273" i="1"/>
  <c r="H274" i="1"/>
  <c r="Z275" i="1"/>
  <c r="AA280" i="1"/>
  <c r="H282" i="1"/>
  <c r="X283" i="1"/>
  <c r="W284" i="1"/>
  <c r="AA287" i="1"/>
  <c r="T289" i="1"/>
  <c r="T290" i="1"/>
  <c r="I293" i="1"/>
  <c r="F294" i="1"/>
  <c r="P295" i="1"/>
  <c r="T297" i="1"/>
  <c r="AD298" i="1"/>
  <c r="J301" i="1"/>
  <c r="R302" i="1"/>
  <c r="Z303" i="1"/>
  <c r="T305" i="1"/>
  <c r="Q306" i="1"/>
  <c r="J308" i="1"/>
  <c r="AB309" i="1"/>
  <c r="AH310" i="1"/>
  <c r="I312" i="1"/>
  <c r="I313" i="1"/>
  <c r="G314" i="1"/>
  <c r="AB315" i="1"/>
  <c r="AB316" i="1"/>
  <c r="Y319" i="1"/>
  <c r="E321" i="1"/>
  <c r="AD322" i="1"/>
  <c r="J324" i="1"/>
  <c r="AC325" i="1"/>
  <c r="H327" i="1"/>
  <c r="AA328" i="1"/>
  <c r="H330" i="1"/>
  <c r="G331" i="1"/>
  <c r="AC332" i="1"/>
  <c r="E334" i="1"/>
  <c r="T335" i="1"/>
  <c r="AB336" i="1"/>
  <c r="Z265" i="1"/>
  <c r="S268" i="1"/>
  <c r="Q269" i="1"/>
  <c r="O270" i="1"/>
  <c r="Y271" i="1"/>
  <c r="G273" i="1"/>
  <c r="G274" i="1"/>
  <c r="Y275" i="1"/>
  <c r="G282" i="1"/>
  <c r="V284" i="1"/>
  <c r="Z287" i="1"/>
  <c r="S289" i="1"/>
  <c r="S290" i="1"/>
  <c r="AD291" i="1"/>
  <c r="H293" i="1"/>
  <c r="E294" i="1"/>
  <c r="O295" i="1"/>
  <c r="S297" i="1"/>
  <c r="AC298" i="1"/>
  <c r="I301" i="1"/>
  <c r="Q302" i="1"/>
  <c r="Y303" i="1"/>
  <c r="S305" i="1"/>
  <c r="I308" i="1"/>
  <c r="AA309" i="1"/>
  <c r="H312" i="1"/>
  <c r="H313" i="1"/>
  <c r="F314" i="1"/>
  <c r="AA315" i="1"/>
  <c r="AA316" i="1"/>
  <c r="J318" i="1"/>
  <c r="D321" i="1"/>
  <c r="AC322" i="1"/>
  <c r="I324" i="1"/>
  <c r="AB325" i="1"/>
  <c r="G327" i="1"/>
  <c r="Z328" i="1"/>
  <c r="F331" i="1"/>
  <c r="S335" i="1"/>
  <c r="AA336" i="1"/>
  <c r="R268" i="1"/>
  <c r="J286" i="1"/>
  <c r="Y287" i="1"/>
  <c r="R289" i="1"/>
  <c r="R290" i="1"/>
  <c r="AC291" i="1"/>
  <c r="R297" i="1"/>
  <c r="AB298" i="1"/>
  <c r="J300" i="1"/>
  <c r="H301" i="1"/>
  <c r="P302" i="1"/>
  <c r="X303" i="1"/>
  <c r="R305" i="1"/>
  <c r="AD306" i="1"/>
  <c r="H308" i="1"/>
  <c r="Z309" i="1"/>
  <c r="J311" i="1"/>
  <c r="G312" i="1"/>
  <c r="G313" i="1"/>
  <c r="E314" i="1"/>
  <c r="Z315" i="1"/>
  <c r="Z316" i="1"/>
  <c r="I318" i="1"/>
  <c r="AB322" i="1"/>
  <c r="AA325" i="1"/>
  <c r="F327" i="1"/>
  <c r="Y328" i="1"/>
  <c r="E331" i="1"/>
  <c r="AA332" i="1"/>
  <c r="T334" i="1"/>
  <c r="R335" i="1"/>
  <c r="Z336" i="1"/>
  <c r="J267" i="1"/>
  <c r="Q268" i="1"/>
  <c r="O269" i="1"/>
  <c r="AD270" i="1"/>
  <c r="E273" i="1"/>
  <c r="T274" i="1"/>
  <c r="J281" i="1"/>
  <c r="AH284" i="1"/>
  <c r="Q289" i="1"/>
  <c r="Q290" i="1"/>
  <c r="AB291" i="1"/>
  <c r="AD295" i="1"/>
  <c r="AA298" i="1"/>
  <c r="I300" i="1"/>
  <c r="Q305" i="1"/>
  <c r="AC306" i="1"/>
  <c r="Y309" i="1"/>
  <c r="I311" i="1"/>
  <c r="F312" i="1"/>
  <c r="F313" i="1"/>
  <c r="Y315" i="1"/>
  <c r="Y316" i="1"/>
  <c r="H318" i="1"/>
  <c r="J320" i="1"/>
  <c r="I267" i="1"/>
  <c r="P268" i="1"/>
  <c r="AC270" i="1"/>
  <c r="J272" i="1"/>
  <c r="S274" i="1"/>
  <c r="X277" i="1"/>
  <c r="AD279" i="1"/>
  <c r="I281" i="1"/>
  <c r="S282" i="1"/>
  <c r="I284" i="1"/>
  <c r="AG284" i="1"/>
  <c r="H286" i="1"/>
  <c r="P289" i="1"/>
  <c r="P290" i="1"/>
  <c r="AA291" i="1"/>
  <c r="S294" i="1"/>
  <c r="AC295" i="1"/>
  <c r="AD297" i="1"/>
  <c r="Z298" i="1"/>
  <c r="H300" i="1"/>
  <c r="AD302" i="1"/>
  <c r="P305" i="1"/>
  <c r="AB306" i="1"/>
  <c r="F308" i="1"/>
  <c r="X309" i="1"/>
  <c r="H311" i="1"/>
  <c r="E312" i="1"/>
  <c r="E313" i="1"/>
  <c r="T314" i="1"/>
  <c r="U315" i="1"/>
  <c r="X316" i="1"/>
  <c r="G318" i="1"/>
  <c r="H320" i="1"/>
  <c r="S321" i="1"/>
  <c r="S324" i="1"/>
  <c r="D327" i="1"/>
  <c r="T331" i="1"/>
  <c r="Y332" i="1"/>
  <c r="AD335" i="1"/>
  <c r="J266" i="1"/>
  <c r="H267" i="1"/>
  <c r="O268" i="1"/>
  <c r="AD269" i="1"/>
  <c r="AB270" i="1"/>
  <c r="I272" i="1"/>
  <c r="T273" i="1"/>
  <c r="R274" i="1"/>
  <c r="J276" i="1"/>
  <c r="AC279" i="1"/>
  <c r="H281" i="1"/>
  <c r="R282" i="1"/>
  <c r="H284" i="1"/>
  <c r="AF284" i="1"/>
  <c r="J288" i="1"/>
  <c r="O289" i="1"/>
  <c r="O290" i="1"/>
  <c r="Z291" i="1"/>
  <c r="AC297" i="1"/>
  <c r="Y298" i="1"/>
  <c r="G300" i="1"/>
  <c r="T301" i="1"/>
  <c r="O305" i="1"/>
  <c r="AA306" i="1"/>
  <c r="G311" i="1"/>
  <c r="D312" i="1"/>
  <c r="W316" i="1"/>
  <c r="F318" i="1"/>
  <c r="G320" i="1"/>
  <c r="J329" i="1"/>
  <c r="S331" i="1"/>
  <c r="Q334" i="1"/>
  <c r="AC335" i="1"/>
  <c r="J337" i="1"/>
  <c r="AC269" i="1"/>
  <c r="Q324" i="1"/>
  <c r="T327" i="1"/>
  <c r="I329" i="1"/>
  <c r="R331" i="1"/>
  <c r="P334" i="1"/>
  <c r="AB335" i="1"/>
  <c r="I337" i="1"/>
  <c r="H266" i="1"/>
  <c r="T267" i="1"/>
  <c r="AD268" i="1"/>
  <c r="AB269" i="1"/>
  <c r="Z270" i="1"/>
  <c r="G272" i="1"/>
  <c r="J278" i="1"/>
  <c r="AA279" i="1"/>
  <c r="F281" i="1"/>
  <c r="F284" i="1"/>
  <c r="J285" i="1"/>
  <c r="S286" i="1"/>
  <c r="H288" i="1"/>
  <c r="AD289" i="1"/>
  <c r="AD290" i="1"/>
  <c r="X291" i="1"/>
  <c r="R293" i="1"/>
  <c r="P294" i="1"/>
  <c r="J296" i="1"/>
  <c r="AA297" i="1"/>
  <c r="AG298" i="1"/>
  <c r="E300" i="1"/>
  <c r="R301" i="1"/>
  <c r="AA302" i="1"/>
  <c r="AD305" i="1"/>
  <c r="J310" i="1"/>
  <c r="T311" i="1"/>
  <c r="T312" i="1"/>
  <c r="S313" i="1"/>
  <c r="J316" i="1"/>
  <c r="T318" i="1"/>
  <c r="T320" i="1"/>
  <c r="AD321" i="1"/>
  <c r="T323" i="1"/>
  <c r="P324" i="1"/>
  <c r="S327" i="1"/>
  <c r="H329" i="1"/>
  <c r="P330" i="1"/>
  <c r="Q331" i="1"/>
  <c r="J333" i="1"/>
  <c r="O334" i="1"/>
  <c r="AA335" i="1"/>
  <c r="H337" i="1"/>
  <c r="F266" i="1"/>
  <c r="S267" i="1"/>
  <c r="AC268" i="1"/>
  <c r="AA269" i="1"/>
  <c r="Y270" i="1"/>
  <c r="F272" i="1"/>
  <c r="Q273" i="1"/>
  <c r="AD274" i="1"/>
  <c r="I278" i="1"/>
  <c r="Z279" i="1"/>
  <c r="AD282" i="1"/>
  <c r="AC289" i="1"/>
  <c r="AC290" i="1"/>
  <c r="I296" i="1"/>
  <c r="Z302" i="1"/>
  <c r="AC305" i="1"/>
  <c r="I310" i="1"/>
  <c r="S311" i="1"/>
  <c r="S312" i="1"/>
  <c r="R313" i="1"/>
  <c r="AD314" i="1"/>
  <c r="I316" i="1"/>
  <c r="J317" i="1"/>
  <c r="S320" i="1"/>
  <c r="AC321" i="1"/>
  <c r="S323" i="1"/>
  <c r="J326" i="1"/>
  <c r="G329" i="1"/>
  <c r="Z335" i="1"/>
  <c r="AB268" i="1"/>
  <c r="Z269" i="1"/>
  <c r="AC274" i="1"/>
  <c r="X279" i="1"/>
  <c r="D281" i="1"/>
  <c r="AC282" i="1"/>
  <c r="T288" i="1"/>
  <c r="AB289" i="1"/>
  <c r="AB290" i="1"/>
  <c r="H296" i="1"/>
  <c r="J299" i="1"/>
  <c r="T300" i="1"/>
  <c r="AD301" i="1"/>
  <c r="Y302" i="1"/>
  <c r="R304" i="1"/>
  <c r="AB305" i="1"/>
  <c r="T307" i="1"/>
  <c r="AD308" i="1"/>
  <c r="R311" i="1"/>
  <c r="R312" i="1"/>
  <c r="Q313" i="1"/>
  <c r="AC314" i="1"/>
  <c r="H316" i="1"/>
  <c r="I317" i="1"/>
  <c r="R320" i="1"/>
  <c r="AB321" i="1"/>
  <c r="R323" i="1"/>
  <c r="T333" i="1"/>
  <c r="Y335" i="1"/>
  <c r="AA268" i="1"/>
  <c r="Y269" i="1"/>
  <c r="T272" i="1"/>
  <c r="AD273" i="1"/>
  <c r="AB274" i="1"/>
  <c r="T278" i="1"/>
  <c r="AB282" i="1"/>
  <c r="G285" i="1"/>
  <c r="AD286" i="1"/>
  <c r="S288" i="1"/>
  <c r="AA289" i="1"/>
  <c r="AA290" i="1"/>
  <c r="AD293" i="1"/>
  <c r="AD294" i="1"/>
  <c r="G296" i="1"/>
  <c r="S300" i="1"/>
  <c r="AC301" i="1"/>
  <c r="AA305" i="1"/>
  <c r="S307" i="1"/>
  <c r="AC308" i="1"/>
  <c r="T310" i="1"/>
  <c r="Q311" i="1"/>
  <c r="Q312" i="1"/>
  <c r="P313" i="1"/>
  <c r="AB314" i="1"/>
  <c r="G316" i="1"/>
  <c r="H317" i="1"/>
  <c r="Q320" i="1"/>
  <c r="AA321" i="1"/>
  <c r="Q323" i="1"/>
  <c r="H326" i="1"/>
  <c r="T329" i="1"/>
  <c r="AD331" i="1"/>
  <c r="S333" i="1"/>
  <c r="AD334" i="1"/>
  <c r="X335" i="1"/>
  <c r="AD267" i="1"/>
  <c r="Z268" i="1"/>
  <c r="X269" i="1"/>
  <c r="J271" i="1"/>
  <c r="S272" i="1"/>
  <c r="AC273" i="1"/>
  <c r="AA274" i="1"/>
  <c r="S278" i="1"/>
  <c r="AH279" i="1"/>
  <c r="T281" i="1"/>
  <c r="AA282" i="1"/>
  <c r="T284" i="1"/>
  <c r="AC286" i="1"/>
  <c r="R288" i="1"/>
  <c r="Z289" i="1"/>
  <c r="Z290" i="1"/>
  <c r="J292" i="1"/>
  <c r="AC293" i="1"/>
  <c r="AC294" i="1"/>
  <c r="F296" i="1"/>
  <c r="I298" i="1"/>
  <c r="R300" i="1"/>
  <c r="AB301" i="1"/>
  <c r="AD304" i="1"/>
  <c r="Z305" i="1"/>
  <c r="R307" i="1"/>
  <c r="AB308" i="1"/>
  <c r="S310" i="1"/>
  <c r="P311" i="1"/>
  <c r="P312" i="1"/>
  <c r="AA314" i="1"/>
  <c r="F316" i="1"/>
  <c r="G317" i="1"/>
  <c r="AD318" i="1"/>
  <c r="P320" i="1"/>
  <c r="Z321" i="1"/>
  <c r="P323" i="1"/>
  <c r="AD324" i="1"/>
  <c r="S329" i="1"/>
  <c r="AD330" i="1"/>
  <c r="AC331" i="1"/>
  <c r="R333" i="1"/>
  <c r="AC334" i="1"/>
  <c r="W335" i="1"/>
  <c r="Z187" i="1"/>
  <c r="T189" i="1"/>
  <c r="R190" i="1"/>
  <c r="W191" i="1"/>
  <c r="J193" i="1"/>
  <c r="T194" i="1"/>
  <c r="Q195" i="1"/>
  <c r="AD196" i="1"/>
  <c r="J198" i="1"/>
  <c r="H200" i="1"/>
  <c r="Q201" i="1"/>
  <c r="H203" i="1"/>
  <c r="Z204" i="1"/>
  <c r="H206" i="1"/>
  <c r="S207" i="1"/>
  <c r="Y211" i="1"/>
  <c r="Q215" i="1"/>
  <c r="Z216" i="1"/>
  <c r="AC218" i="1"/>
  <c r="T224" i="1"/>
  <c r="P225" i="1"/>
  <c r="AD226" i="1"/>
  <c r="AD227" i="1"/>
  <c r="AB229" i="1"/>
  <c r="J231" i="1"/>
  <c r="AC232" i="1"/>
  <c r="J234" i="1"/>
  <c r="AA236" i="1"/>
  <c r="J238" i="1"/>
  <c r="H239" i="1"/>
  <c r="AD240" i="1"/>
  <c r="AC244" i="1"/>
  <c r="J246" i="1"/>
  <c r="G247" i="1"/>
  <c r="T248" i="1"/>
  <c r="AD249" i="1"/>
  <c r="D251" i="1"/>
  <c r="AB252" i="1"/>
  <c r="Y253" i="1"/>
  <c r="H255" i="1"/>
  <c r="G256" i="1"/>
  <c r="AA257" i="1"/>
  <c r="J259" i="1"/>
  <c r="P262" i="1"/>
  <c r="X263" i="1"/>
  <c r="S189" i="1"/>
  <c r="I193" i="1"/>
  <c r="S194" i="1"/>
  <c r="P195" i="1"/>
  <c r="AC196" i="1"/>
  <c r="I198" i="1"/>
  <c r="J199" i="1"/>
  <c r="P201" i="1"/>
  <c r="G203" i="1"/>
  <c r="R207" i="1"/>
  <c r="AD210" i="1"/>
  <c r="X211" i="1"/>
  <c r="J213" i="1"/>
  <c r="T214" i="1"/>
  <c r="P215" i="1"/>
  <c r="Y216" i="1"/>
  <c r="AB218" i="1"/>
  <c r="T220" i="1"/>
  <c r="AD221" i="1"/>
  <c r="J223" i="1"/>
  <c r="S224" i="1"/>
  <c r="AC226" i="1"/>
  <c r="AC227" i="1"/>
  <c r="AA229" i="1"/>
  <c r="I231" i="1"/>
  <c r="AB232" i="1"/>
  <c r="I234" i="1"/>
  <c r="Z236" i="1"/>
  <c r="I238" i="1"/>
  <c r="AC240" i="1"/>
  <c r="T242" i="1"/>
  <c r="AB244" i="1"/>
  <c r="I246" i="1"/>
  <c r="S248" i="1"/>
  <c r="AC249" i="1"/>
  <c r="AA252" i="1"/>
  <c r="X253" i="1"/>
  <c r="G255" i="1"/>
  <c r="Z257" i="1"/>
  <c r="I259" i="1"/>
  <c r="J261" i="1"/>
  <c r="R189" i="1"/>
  <c r="AD190" i="1"/>
  <c r="AH191" i="1"/>
  <c r="H193" i="1"/>
  <c r="R194" i="1"/>
  <c r="O195" i="1"/>
  <c r="H198" i="1"/>
  <c r="I199" i="1"/>
  <c r="T200" i="1"/>
  <c r="O201" i="1"/>
  <c r="F203" i="1"/>
  <c r="AH204" i="1"/>
  <c r="T206" i="1"/>
  <c r="Q207" i="1"/>
  <c r="AH208" i="1"/>
  <c r="W211" i="1"/>
  <c r="I213" i="1"/>
  <c r="S214" i="1"/>
  <c r="O215" i="1"/>
  <c r="AA218" i="1"/>
  <c r="S220" i="1"/>
  <c r="AC221" i="1"/>
  <c r="I223" i="1"/>
  <c r="R224" i="1"/>
  <c r="H231" i="1"/>
  <c r="H234" i="1"/>
  <c r="H238" i="1"/>
  <c r="T239" i="1"/>
  <c r="H246" i="1"/>
  <c r="T247" i="1"/>
  <c r="R248" i="1"/>
  <c r="AB249" i="1"/>
  <c r="T251" i="1"/>
  <c r="Z252" i="1"/>
  <c r="F255" i="1"/>
  <c r="T256" i="1"/>
  <c r="Y257" i="1"/>
  <c r="H259" i="1"/>
  <c r="I261" i="1"/>
  <c r="AD262" i="1"/>
  <c r="J188" i="1"/>
  <c r="Q189" i="1"/>
  <c r="AC190" i="1"/>
  <c r="G193" i="1"/>
  <c r="Q194" i="1"/>
  <c r="N195" i="1"/>
  <c r="F198" i="1"/>
  <c r="H199" i="1"/>
  <c r="N201" i="1"/>
  <c r="E203" i="1"/>
  <c r="AG208" i="1"/>
  <c r="H213" i="1"/>
  <c r="N215" i="1"/>
  <c r="Z218" i="1"/>
  <c r="H223" i="1"/>
  <c r="Q224" i="1"/>
  <c r="G234" i="1"/>
  <c r="G238" i="1"/>
  <c r="S239" i="1"/>
  <c r="AD242" i="1"/>
  <c r="AH244" i="1"/>
  <c r="G246" i="1"/>
  <c r="S247" i="1"/>
  <c r="Q248" i="1"/>
  <c r="AA249" i="1"/>
  <c r="S251" i="1"/>
  <c r="Y252" i="1"/>
  <c r="E255" i="1"/>
  <c r="S256" i="1"/>
  <c r="X257" i="1"/>
  <c r="G259" i="1"/>
  <c r="H261" i="1"/>
  <c r="AC262" i="1"/>
  <c r="J264" i="1"/>
  <c r="T231" i="1"/>
  <c r="J233" i="1"/>
  <c r="F234" i="1"/>
  <c r="F238" i="1"/>
  <c r="R239" i="1"/>
  <c r="J241" i="1"/>
  <c r="AC242" i="1"/>
  <c r="F246" i="1"/>
  <c r="R247" i="1"/>
  <c r="P248" i="1"/>
  <c r="Z249" i="1"/>
  <c r="R251" i="1"/>
  <c r="X252" i="1"/>
  <c r="J254" i="1"/>
  <c r="R256" i="1"/>
  <c r="W257" i="1"/>
  <c r="G261" i="1"/>
  <c r="AB262" i="1"/>
  <c r="I264" i="1"/>
  <c r="H188" i="1"/>
  <c r="O189" i="1"/>
  <c r="D198" i="1"/>
  <c r="F199" i="1"/>
  <c r="N200" i="1"/>
  <c r="Q206" i="1"/>
  <c r="AC207" i="1"/>
  <c r="J209" i="1"/>
  <c r="S231" i="1"/>
  <c r="E238" i="1"/>
  <c r="I241" i="1"/>
  <c r="AA242" i="1"/>
  <c r="E246" i="1"/>
  <c r="F261" i="1"/>
  <c r="Z262" i="1"/>
  <c r="H264" i="1"/>
  <c r="AD195" i="1"/>
  <c r="E199" i="1"/>
  <c r="AB207" i="1"/>
  <c r="I209" i="1"/>
  <c r="X249" i="1"/>
  <c r="V252" i="1"/>
  <c r="AD200" i="1"/>
  <c r="S233" i="1"/>
  <c r="S188" i="1"/>
  <c r="AC189" i="1"/>
  <c r="R193" i="1"/>
  <c r="AA194" i="1"/>
  <c r="AB195" i="1"/>
  <c r="S198" i="1"/>
  <c r="AC200" i="1"/>
  <c r="AC206" i="1"/>
  <c r="T209" i="1"/>
  <c r="G212" i="1"/>
  <c r="Q213" i="1"/>
  <c r="AD214" i="1"/>
  <c r="AA215" i="1"/>
  <c r="Q217" i="1"/>
  <c r="H219" i="1"/>
  <c r="Z220" i="1"/>
  <c r="E222" i="1"/>
  <c r="Q223" i="1"/>
  <c r="H230" i="1"/>
  <c r="AC231" i="1"/>
  <c r="R233" i="1"/>
  <c r="T234" i="1"/>
  <c r="S238" i="1"/>
  <c r="AB239" i="1"/>
  <c r="S241" i="1"/>
  <c r="J243" i="1"/>
  <c r="S246" i="1"/>
  <c r="AC247" i="1"/>
  <c r="AB248" i="1"/>
  <c r="AC251" i="1"/>
  <c r="R254" i="1"/>
  <c r="Q255" i="1"/>
  <c r="AB256" i="1"/>
  <c r="I258" i="1"/>
  <c r="Q259" i="1"/>
  <c r="T261" i="1"/>
  <c r="J263" i="1"/>
  <c r="S264" i="1"/>
  <c r="R188" i="1"/>
  <c r="AB189" i="1"/>
  <c r="I191" i="1"/>
  <c r="T192" i="1"/>
  <c r="Q193" i="1"/>
  <c r="Z194" i="1"/>
  <c r="AA195" i="1"/>
  <c r="R198" i="1"/>
  <c r="S199" i="1"/>
  <c r="AB200" i="1"/>
  <c r="AC203" i="1"/>
  <c r="T205" i="1"/>
  <c r="AB206" i="1"/>
  <c r="J208" i="1"/>
  <c r="P213" i="1"/>
  <c r="AC214" i="1"/>
  <c r="P217" i="1"/>
  <c r="Y220" i="1"/>
  <c r="P223" i="1"/>
  <c r="AB231" i="1"/>
  <c r="Q233" i="1"/>
  <c r="S234" i="1"/>
  <c r="T237" i="1"/>
  <c r="R238" i="1"/>
  <c r="AA239" i="1"/>
  <c r="R241" i="1"/>
  <c r="I243" i="1"/>
  <c r="T245" i="1"/>
  <c r="R246" i="1"/>
  <c r="AB247" i="1"/>
  <c r="AA248" i="1"/>
  <c r="J250" i="1"/>
  <c r="AB251" i="1"/>
  <c r="J253" i="1"/>
  <c r="Q254" i="1"/>
  <c r="AA256" i="1"/>
  <c r="H258" i="1"/>
  <c r="P259" i="1"/>
  <c r="S261" i="1"/>
  <c r="I263" i="1"/>
  <c r="R264" i="1"/>
  <c r="AA189" i="1"/>
  <c r="S192" i="1"/>
  <c r="P193" i="1"/>
  <c r="Y194" i="1"/>
  <c r="Z195" i="1"/>
  <c r="Q198" i="1"/>
  <c r="R199" i="1"/>
  <c r="AA200" i="1"/>
  <c r="AH201" i="1"/>
  <c r="AB203" i="1"/>
  <c r="S205" i="1"/>
  <c r="AA206" i="1"/>
  <c r="I208" i="1"/>
  <c r="R209" i="1"/>
  <c r="T212" i="1"/>
  <c r="O213" i="1"/>
  <c r="AB214" i="1"/>
  <c r="O217" i="1"/>
  <c r="T219" i="1"/>
  <c r="X220" i="1"/>
  <c r="T222" i="1"/>
  <c r="O223" i="1"/>
  <c r="Y224" i="1"/>
  <c r="V225" i="1"/>
  <c r="J228" i="1"/>
  <c r="J229" i="1"/>
  <c r="T230" i="1"/>
  <c r="AA231" i="1"/>
  <c r="P233" i="1"/>
  <c r="R234" i="1"/>
  <c r="J236" i="1"/>
  <c r="S237" i="1"/>
  <c r="Q238" i="1"/>
  <c r="Z239" i="1"/>
  <c r="H243" i="1"/>
  <c r="S245" i="1"/>
  <c r="AA247" i="1"/>
  <c r="I250" i="1"/>
  <c r="AA251" i="1"/>
  <c r="I253" i="1"/>
  <c r="AD255" i="1"/>
  <c r="G258" i="1"/>
  <c r="O259" i="1"/>
  <c r="H263" i="1"/>
  <c r="Q264" i="1"/>
  <c r="AH186" i="1"/>
  <c r="AD188" i="1"/>
  <c r="Z189" i="1"/>
  <c r="T191" i="1"/>
  <c r="R192" i="1"/>
  <c r="O193" i="1"/>
  <c r="X194" i="1"/>
  <c r="Y195" i="1"/>
  <c r="P198" i="1"/>
  <c r="Z200" i="1"/>
  <c r="Z206" i="1"/>
  <c r="J211" i="1"/>
  <c r="S212" i="1"/>
  <c r="S222" i="1"/>
  <c r="X224" i="1"/>
  <c r="J227" i="1"/>
  <c r="I228" i="1"/>
  <c r="I229" i="1"/>
  <c r="S230" i="1"/>
  <c r="Z231" i="1"/>
  <c r="O233" i="1"/>
  <c r="Q234" i="1"/>
  <c r="I236" i="1"/>
  <c r="R237" i="1"/>
  <c r="Y239" i="1"/>
  <c r="AD241" i="1"/>
  <c r="G243" i="1"/>
  <c r="R245" i="1"/>
  <c r="AD246" i="1"/>
  <c r="H250" i="1"/>
  <c r="AC255" i="1"/>
  <c r="AD261" i="1"/>
  <c r="G263" i="1"/>
  <c r="P264" i="1"/>
  <c r="AG186" i="1"/>
  <c r="AC188" i="1"/>
  <c r="Y189" i="1"/>
  <c r="S191" i="1"/>
  <c r="Q192" i="1"/>
  <c r="N193" i="1"/>
  <c r="X195" i="1"/>
  <c r="I197" i="1"/>
  <c r="O198" i="1"/>
  <c r="Y200" i="1"/>
  <c r="J202" i="1"/>
  <c r="Q205" i="1"/>
  <c r="Y206" i="1"/>
  <c r="T208" i="1"/>
  <c r="I211" i="1"/>
  <c r="R212" i="1"/>
  <c r="AD213" i="1"/>
  <c r="AD217" i="1"/>
  <c r="R219" i="1"/>
  <c r="R222" i="1"/>
  <c r="AD223" i="1"/>
  <c r="W224" i="1"/>
  <c r="I227" i="1"/>
  <c r="H228" i="1"/>
  <c r="R230" i="1"/>
  <c r="N233" i="1"/>
  <c r="P234" i="1"/>
  <c r="H236" i="1"/>
  <c r="Q237" i="1"/>
  <c r="AC241" i="1"/>
  <c r="Q245" i="1"/>
  <c r="AC246" i="1"/>
  <c r="J249" i="1"/>
  <c r="G250" i="1"/>
  <c r="Y251" i="1"/>
  <c r="T253" i="1"/>
  <c r="AB255" i="1"/>
  <c r="J257" i="1"/>
  <c r="T258" i="1"/>
  <c r="AD259" i="1"/>
  <c r="O264" i="1"/>
  <c r="AF186" i="1"/>
  <c r="W195" i="1"/>
  <c r="N198" i="1"/>
  <c r="AD199" i="1"/>
  <c r="X200" i="1"/>
  <c r="J204" i="1"/>
  <c r="X206" i="1"/>
  <c r="S208" i="1"/>
  <c r="AD209" i="1"/>
  <c r="H211" i="1"/>
  <c r="Q212" i="1"/>
  <c r="AC213" i="1"/>
  <c r="Y214" i="1"/>
  <c r="T216" i="1"/>
  <c r="AC217" i="1"/>
  <c r="J221" i="1"/>
  <c r="Q222" i="1"/>
  <c r="AC223" i="1"/>
  <c r="J226" i="1"/>
  <c r="H227" i="1"/>
  <c r="G228" i="1"/>
  <c r="G229" i="1"/>
  <c r="Q230" i="1"/>
  <c r="AH231" i="1"/>
  <c r="L233" i="1"/>
  <c r="O234" i="1"/>
  <c r="G236" i="1"/>
  <c r="P237" i="1"/>
  <c r="AC238" i="1"/>
  <c r="AH239" i="1"/>
  <c r="AB241" i="1"/>
  <c r="P245" i="1"/>
  <c r="AB246" i="1"/>
  <c r="AH247" i="1"/>
  <c r="I249" i="1"/>
  <c r="S253" i="1"/>
  <c r="AD254" i="1"/>
  <c r="AA255" i="1"/>
  <c r="I257" i="1"/>
  <c r="S258" i="1"/>
  <c r="T263" i="1"/>
  <c r="AD192" i="1"/>
  <c r="T197" i="1"/>
  <c r="W200" i="1"/>
  <c r="T202" i="1"/>
  <c r="I204" i="1"/>
  <c r="R208" i="1"/>
  <c r="P212" i="1"/>
  <c r="AD219" i="1"/>
  <c r="I226" i="1"/>
  <c r="G227" i="1"/>
  <c r="F228" i="1"/>
  <c r="F236" i="1"/>
  <c r="AA241" i="1"/>
  <c r="AD243" i="1"/>
  <c r="AA246" i="1"/>
  <c r="R253" i="1"/>
  <c r="Z255" i="1"/>
  <c r="R258" i="1"/>
  <c r="S263" i="1"/>
  <c r="AD264" i="1"/>
  <c r="AC192" i="1"/>
  <c r="AD198" i="1"/>
  <c r="Q208" i="1"/>
  <c r="T211" i="1"/>
  <c r="AC219" i="1"/>
  <c r="H226" i="1"/>
  <c r="F227" i="1"/>
  <c r="E228" i="1"/>
  <c r="O230" i="1"/>
  <c r="AD233" i="1"/>
  <c r="AD234" i="1"/>
  <c r="E236" i="1"/>
  <c r="AD237" i="1"/>
  <c r="Z241" i="1"/>
  <c r="AD245" i="1"/>
  <c r="Z246" i="1"/>
  <c r="Q253" i="1"/>
  <c r="Y255" i="1"/>
  <c r="Q258" i="1"/>
  <c r="R263" i="1"/>
  <c r="AC264" i="1"/>
  <c r="I187" i="1"/>
  <c r="AB192" i="1"/>
  <c r="AB193" i="1"/>
  <c r="H195" i="1"/>
  <c r="J196" i="1"/>
  <c r="R197" i="1"/>
  <c r="AC198" i="1"/>
  <c r="AA199" i="1"/>
  <c r="AD202" i="1"/>
  <c r="T204" i="1"/>
  <c r="AB205" i="1"/>
  <c r="J207" i="1"/>
  <c r="P208" i="1"/>
  <c r="J210" i="1"/>
  <c r="S211" i="1"/>
  <c r="AD212" i="1"/>
  <c r="Q216" i="1"/>
  <c r="AB219" i="1"/>
  <c r="G221" i="1"/>
  <c r="AD222" i="1"/>
  <c r="Z223" i="1"/>
  <c r="I225" i="1"/>
  <c r="G226" i="1"/>
  <c r="E227" i="1"/>
  <c r="D228" i="1"/>
  <c r="N230" i="1"/>
  <c r="G232" i="1"/>
  <c r="AC233" i="1"/>
  <c r="AC234" i="1"/>
  <c r="D236" i="1"/>
  <c r="AC237" i="1"/>
  <c r="Y241" i="1"/>
  <c r="AC245" i="1"/>
  <c r="Y246" i="1"/>
  <c r="J248" i="1"/>
  <c r="P253" i="1"/>
  <c r="AA254" i="1"/>
  <c r="X255" i="1"/>
  <c r="P258" i="1"/>
  <c r="I260" i="1"/>
  <c r="Q263" i="1"/>
  <c r="AB264" i="1"/>
  <c r="H187" i="1"/>
  <c r="AA192" i="1"/>
  <c r="I196" i="1"/>
  <c r="Q197" i="1"/>
  <c r="AB198" i="1"/>
  <c r="I207" i="1"/>
  <c r="R211" i="1"/>
  <c r="AC212" i="1"/>
  <c r="AA219" i="1"/>
  <c r="AC222" i="1"/>
  <c r="F226" i="1"/>
  <c r="AB233" i="1"/>
  <c r="AB237" i="1"/>
  <c r="X241" i="1"/>
  <c r="AB245" i="1"/>
  <c r="X246" i="1"/>
  <c r="I248" i="1"/>
  <c r="T249" i="1"/>
  <c r="O253" i="1"/>
  <c r="Z192" i="1"/>
  <c r="H196" i="1"/>
  <c r="AA198" i="1"/>
  <c r="H207" i="1"/>
  <c r="AB212" i="1"/>
  <c r="AB222" i="1"/>
  <c r="AD230" i="1"/>
  <c r="AA233" i="1"/>
  <c r="AA237" i="1"/>
  <c r="AA245" i="1"/>
  <c r="H248" i="1"/>
  <c r="S249" i="1"/>
  <c r="AD258" i="1"/>
  <c r="F190" i="1"/>
  <c r="AB191" i="1"/>
  <c r="Y192" i="1"/>
  <c r="Y193" i="1"/>
  <c r="E195" i="1"/>
  <c r="G196" i="1"/>
  <c r="AD197" i="1"/>
  <c r="Z198" i="1"/>
  <c r="X199" i="1"/>
  <c r="H201" i="1"/>
  <c r="AA202" i="1"/>
  <c r="Y205" i="1"/>
  <c r="G207" i="1"/>
  <c r="AD211" i="1"/>
  <c r="AA212" i="1"/>
  <c r="I214" i="1"/>
  <c r="AA222" i="1"/>
  <c r="T226" i="1"/>
  <c r="T227" i="1"/>
  <c r="S228" i="1"/>
  <c r="R229" i="1"/>
  <c r="AC230" i="1"/>
  <c r="Z233" i="1"/>
  <c r="J235" i="1"/>
  <c r="S236" i="1"/>
  <c r="Z237" i="1"/>
  <c r="W238" i="1"/>
  <c r="Z245" i="1"/>
  <c r="AH246" i="1"/>
  <c r="G248" i="1"/>
  <c r="R249" i="1"/>
  <c r="I251" i="1"/>
  <c r="R252" i="1"/>
  <c r="AD253" i="1"/>
  <c r="X254" i="1"/>
  <c r="AH255" i="1"/>
  <c r="AC258" i="1"/>
  <c r="AC263" i="1"/>
  <c r="X192" i="1"/>
  <c r="F196" i="1"/>
  <c r="AC197" i="1"/>
  <c r="Y198" i="1"/>
  <c r="AD204" i="1"/>
  <c r="F207" i="1"/>
  <c r="AB208" i="1"/>
  <c r="T210" i="1"/>
  <c r="AC211" i="1"/>
  <c r="Z212" i="1"/>
  <c r="H214" i="1"/>
  <c r="AD216" i="1"/>
  <c r="H218" i="1"/>
  <c r="T221" i="1"/>
  <c r="Z222" i="1"/>
  <c r="T225" i="1"/>
  <c r="S226" i="1"/>
  <c r="S227" i="1"/>
  <c r="R228" i="1"/>
  <c r="Q229" i="1"/>
  <c r="AB230" i="1"/>
  <c r="T232" i="1"/>
  <c r="Y233" i="1"/>
  <c r="Y237" i="1"/>
  <c r="T240" i="1"/>
  <c r="T244" i="1"/>
  <c r="Y245" i="1"/>
  <c r="F248" i="1"/>
  <c r="Q249" i="1"/>
  <c r="H251" i="1"/>
  <c r="AC253" i="1"/>
  <c r="AB258" i="1"/>
  <c r="E260" i="1"/>
  <c r="T262" i="1"/>
  <c r="AB263" i="1"/>
  <c r="J265" i="1"/>
  <c r="AC187" i="1"/>
  <c r="J189" i="1"/>
  <c r="Z191" i="1"/>
  <c r="W192" i="1"/>
  <c r="T195" i="1"/>
  <c r="E196" i="1"/>
  <c r="AB197" i="1"/>
  <c r="X198" i="1"/>
  <c r="T201" i="1"/>
  <c r="AC204" i="1"/>
  <c r="E207" i="1"/>
  <c r="AA208" i="1"/>
  <c r="S210" i="1"/>
  <c r="AB211" i="1"/>
  <c r="Y212" i="1"/>
  <c r="G214" i="1"/>
  <c r="T215" i="1"/>
  <c r="AC216" i="1"/>
  <c r="J220" i="1"/>
  <c r="S221" i="1"/>
  <c r="Y222" i="1"/>
  <c r="J224" i="1"/>
  <c r="S225" i="1"/>
  <c r="R226" i="1"/>
  <c r="R227" i="1"/>
  <c r="Q228" i="1"/>
  <c r="AA230" i="1"/>
  <c r="S232" i="1"/>
  <c r="X233" i="1"/>
  <c r="AD236" i="1"/>
  <c r="X237" i="1"/>
  <c r="S240" i="1"/>
  <c r="I242" i="1"/>
  <c r="R244" i="1"/>
  <c r="X245" i="1"/>
  <c r="J247" i="1"/>
  <c r="E248" i="1"/>
  <c r="P249" i="1"/>
  <c r="G251" i="1"/>
  <c r="AB253" i="1"/>
  <c r="J256" i="1"/>
  <c r="AD257" i="1"/>
  <c r="AA258" i="1"/>
  <c r="S262" i="1"/>
  <c r="AA263" i="1"/>
  <c r="I265" i="1"/>
  <c r="AC118" i="1"/>
  <c r="AA119" i="1"/>
  <c r="H121" i="1"/>
  <c r="Q122" i="1"/>
  <c r="T124" i="1"/>
  <c r="AC125" i="1"/>
  <c r="R127" i="1"/>
  <c r="E129" i="1"/>
  <c r="S130" i="1"/>
  <c r="AA131" i="1"/>
  <c r="F133" i="1"/>
  <c r="E134" i="1"/>
  <c r="S135" i="1"/>
  <c r="Z136" i="1"/>
  <c r="F138" i="1"/>
  <c r="O139" i="1"/>
  <c r="AD140" i="1"/>
  <c r="F142" i="1"/>
  <c r="X143" i="1"/>
  <c r="T145" i="1"/>
  <c r="AC146" i="1"/>
  <c r="G148" i="1"/>
  <c r="S149" i="1"/>
  <c r="Q150" i="1"/>
  <c r="AD153" i="1"/>
  <c r="AD154" i="1"/>
  <c r="H156" i="1"/>
  <c r="I157" i="1"/>
  <c r="AB158" i="1"/>
  <c r="I160" i="1"/>
  <c r="I161" i="1"/>
  <c r="S162" i="1"/>
  <c r="AC163" i="1"/>
  <c r="J165" i="1"/>
  <c r="G166" i="1"/>
  <c r="T167" i="1"/>
  <c r="P168" i="1"/>
  <c r="AA169" i="1"/>
  <c r="I171" i="1"/>
  <c r="AC173" i="1"/>
  <c r="I175" i="1"/>
  <c r="AD176" i="1"/>
  <c r="AD179" i="1"/>
  <c r="AB180" i="1"/>
  <c r="AA181" i="1"/>
  <c r="H184" i="1"/>
  <c r="Z185" i="1"/>
  <c r="AB118" i="1"/>
  <c r="AC140" i="1"/>
  <c r="S145" i="1"/>
  <c r="R149" i="1"/>
  <c r="G156" i="1"/>
  <c r="H160" i="1"/>
  <c r="H161" i="1"/>
  <c r="R162" i="1"/>
  <c r="I165" i="1"/>
  <c r="F166" i="1"/>
  <c r="Z169" i="1"/>
  <c r="AB173" i="1"/>
  <c r="AC176" i="1"/>
  <c r="T178" i="1"/>
  <c r="AC179" i="1"/>
  <c r="AA180" i="1"/>
  <c r="Z181" i="1"/>
  <c r="G184" i="1"/>
  <c r="AA118" i="1"/>
  <c r="Q130" i="1"/>
  <c r="Q135" i="1"/>
  <c r="T138" i="1"/>
  <c r="AB140" i="1"/>
  <c r="R145" i="1"/>
  <c r="E148" i="1"/>
  <c r="Q149" i="1"/>
  <c r="AD150" i="1"/>
  <c r="AB153" i="1"/>
  <c r="AB154" i="1"/>
  <c r="F156" i="1"/>
  <c r="G157" i="1"/>
  <c r="G160" i="1"/>
  <c r="G161" i="1"/>
  <c r="Q162" i="1"/>
  <c r="H165" i="1"/>
  <c r="E166" i="1"/>
  <c r="R167" i="1"/>
  <c r="AD168" i="1"/>
  <c r="Y169" i="1"/>
  <c r="T171" i="1"/>
  <c r="AD172" i="1"/>
  <c r="AA173" i="1"/>
  <c r="T175" i="1"/>
  <c r="AB176" i="1"/>
  <c r="S178" i="1"/>
  <c r="AB179" i="1"/>
  <c r="Z180" i="1"/>
  <c r="Y181" i="1"/>
  <c r="Z118" i="1"/>
  <c r="AC122" i="1"/>
  <c r="T129" i="1"/>
  <c r="P130" i="1"/>
  <c r="J132" i="1"/>
  <c r="T133" i="1"/>
  <c r="S134" i="1"/>
  <c r="P135" i="1"/>
  <c r="J137" i="1"/>
  <c r="S138" i="1"/>
  <c r="AC139" i="1"/>
  <c r="Z140" i="1"/>
  <c r="T142" i="1"/>
  <c r="Q145" i="1"/>
  <c r="O149" i="1"/>
  <c r="AC150" i="1"/>
  <c r="J152" i="1"/>
  <c r="AA153" i="1"/>
  <c r="AA154" i="1"/>
  <c r="E156" i="1"/>
  <c r="F160" i="1"/>
  <c r="F161" i="1"/>
  <c r="P162" i="1"/>
  <c r="J164" i="1"/>
  <c r="G165" i="1"/>
  <c r="D166" i="1"/>
  <c r="Q167" i="1"/>
  <c r="AC168" i="1"/>
  <c r="X169" i="1"/>
  <c r="S171" i="1"/>
  <c r="AC172" i="1"/>
  <c r="Z173" i="1"/>
  <c r="S175" i="1"/>
  <c r="AA176" i="1"/>
  <c r="R178" i="1"/>
  <c r="AA179" i="1"/>
  <c r="Y180" i="1"/>
  <c r="X181" i="1"/>
  <c r="H183" i="1"/>
  <c r="T184" i="1"/>
  <c r="J186" i="1"/>
  <c r="Y118" i="1"/>
  <c r="J120" i="1"/>
  <c r="AB122" i="1"/>
  <c r="AH127" i="1"/>
  <c r="S129" i="1"/>
  <c r="O130" i="1"/>
  <c r="I132" i="1"/>
  <c r="S133" i="1"/>
  <c r="I137" i="1"/>
  <c r="R138" i="1"/>
  <c r="Y140" i="1"/>
  <c r="J144" i="1"/>
  <c r="P145" i="1"/>
  <c r="J147" i="1"/>
  <c r="T148" i="1"/>
  <c r="N149" i="1"/>
  <c r="D156" i="1"/>
  <c r="E160" i="1"/>
  <c r="E161" i="1"/>
  <c r="O162" i="1"/>
  <c r="F165" i="1"/>
  <c r="Y173" i="1"/>
  <c r="R175" i="1"/>
  <c r="Z176" i="1"/>
  <c r="Z179" i="1"/>
  <c r="S184" i="1"/>
  <c r="T120" i="1"/>
  <c r="AC124" i="1"/>
  <c r="J151" i="1"/>
  <c r="AD162" i="1"/>
  <c r="J182" i="1"/>
  <c r="AD184" i="1"/>
  <c r="S186" i="1"/>
  <c r="S120" i="1"/>
  <c r="AB124" i="1"/>
  <c r="AD130" i="1"/>
  <c r="G144" i="1"/>
  <c r="AD148" i="1"/>
  <c r="AD149" i="1"/>
  <c r="I151" i="1"/>
  <c r="W153" i="1"/>
  <c r="S156" i="1"/>
  <c r="Q157" i="1"/>
  <c r="T160" i="1"/>
  <c r="S161" i="1"/>
  <c r="AC162" i="1"/>
  <c r="S165" i="1"/>
  <c r="Y168" i="1"/>
  <c r="O171" i="1"/>
  <c r="AD175" i="1"/>
  <c r="AB178" i="1"/>
  <c r="I182" i="1"/>
  <c r="T183" i="1"/>
  <c r="AC184" i="1"/>
  <c r="R186" i="1"/>
  <c r="J119" i="1"/>
  <c r="R120" i="1"/>
  <c r="X122" i="1"/>
  <c r="AA124" i="1"/>
  <c r="AD126" i="1"/>
  <c r="H128" i="1"/>
  <c r="AD129" i="1"/>
  <c r="AC130" i="1"/>
  <c r="E132" i="1"/>
  <c r="AD133" i="1"/>
  <c r="N134" i="1"/>
  <c r="AA135" i="1"/>
  <c r="S137" i="1"/>
  <c r="AD138" i="1"/>
  <c r="X139" i="1"/>
  <c r="T141" i="1"/>
  <c r="Y142" i="1"/>
  <c r="F144" i="1"/>
  <c r="AD145" i="1"/>
  <c r="T147" i="1"/>
  <c r="AC148" i="1"/>
  <c r="AC149" i="1"/>
  <c r="H151" i="1"/>
  <c r="R156" i="1"/>
  <c r="P157" i="1"/>
  <c r="T159" i="1"/>
  <c r="S160" i="1"/>
  <c r="R161" i="1"/>
  <c r="AB162" i="1"/>
  <c r="R165" i="1"/>
  <c r="Q166" i="1"/>
  <c r="AD167" i="1"/>
  <c r="H170" i="1"/>
  <c r="N171" i="1"/>
  <c r="X172" i="1"/>
  <c r="J174" i="1"/>
  <c r="AC175" i="1"/>
  <c r="AA178" i="1"/>
  <c r="J180" i="1"/>
  <c r="J181" i="1"/>
  <c r="H182" i="1"/>
  <c r="Q186" i="1"/>
  <c r="Q120" i="1"/>
  <c r="Z124" i="1"/>
  <c r="AC126" i="1"/>
  <c r="AC129" i="1"/>
  <c r="AB130" i="1"/>
  <c r="AC133" i="1"/>
  <c r="Z135" i="1"/>
  <c r="R137" i="1"/>
  <c r="AC138" i="1"/>
  <c r="W139" i="1"/>
  <c r="S141" i="1"/>
  <c r="E144" i="1"/>
  <c r="AC145" i="1"/>
  <c r="S147" i="1"/>
  <c r="AB148" i="1"/>
  <c r="AB149" i="1"/>
  <c r="G151" i="1"/>
  <c r="AH153" i="1"/>
  <c r="AH154" i="1"/>
  <c r="Q156" i="1"/>
  <c r="O157" i="1"/>
  <c r="S159" i="1"/>
  <c r="R160" i="1"/>
  <c r="Q161" i="1"/>
  <c r="AA162" i="1"/>
  <c r="Q165" i="1"/>
  <c r="AC167" i="1"/>
  <c r="I174" i="1"/>
  <c r="AB175" i="1"/>
  <c r="Z178" i="1"/>
  <c r="I180" i="1"/>
  <c r="I181" i="1"/>
  <c r="G182" i="1"/>
  <c r="P186" i="1"/>
  <c r="H119" i="1"/>
  <c r="P120" i="1"/>
  <c r="AC121" i="1"/>
  <c r="Y124" i="1"/>
  <c r="AB126" i="1"/>
  <c r="T128" i="1"/>
  <c r="AB129" i="1"/>
  <c r="AA130" i="1"/>
  <c r="Y135" i="1"/>
  <c r="R141" i="1"/>
  <c r="D144" i="1"/>
  <c r="AB145" i="1"/>
  <c r="R147" i="1"/>
  <c r="AA148" i="1"/>
  <c r="AA149" i="1"/>
  <c r="F151" i="1"/>
  <c r="P156" i="1"/>
  <c r="N157" i="1"/>
  <c r="R159" i="1"/>
  <c r="Q160" i="1"/>
  <c r="P161" i="1"/>
  <c r="Z162" i="1"/>
  <c r="P165" i="1"/>
  <c r="O166" i="1"/>
  <c r="AB167" i="1"/>
  <c r="J169" i="1"/>
  <c r="AD171" i="1"/>
  <c r="H174" i="1"/>
  <c r="AA175" i="1"/>
  <c r="Y178" i="1"/>
  <c r="H180" i="1"/>
  <c r="H181" i="1"/>
  <c r="F182" i="1"/>
  <c r="Q183" i="1"/>
  <c r="J185" i="1"/>
  <c r="O186" i="1"/>
  <c r="G119" i="1"/>
  <c r="O120" i="1"/>
  <c r="AB121" i="1"/>
  <c r="J123" i="1"/>
  <c r="X124" i="1"/>
  <c r="AA126" i="1"/>
  <c r="S128" i="1"/>
  <c r="Z130" i="1"/>
  <c r="AD137" i="1"/>
  <c r="AH138" i="1"/>
  <c r="AH139" i="1"/>
  <c r="Q147" i="1"/>
  <c r="Z148" i="1"/>
  <c r="Z149" i="1"/>
  <c r="J155" i="1"/>
  <c r="Q159" i="1"/>
  <c r="P160" i="1"/>
  <c r="Y162" i="1"/>
  <c r="AA167" i="1"/>
  <c r="I169" i="1"/>
  <c r="T170" i="1"/>
  <c r="Z175" i="1"/>
  <c r="G180" i="1"/>
  <c r="G181" i="1"/>
  <c r="E182" i="1"/>
  <c r="I185" i="1"/>
  <c r="AD156" i="1"/>
  <c r="P159" i="1"/>
  <c r="AD165" i="1"/>
  <c r="S170" i="1"/>
  <c r="T174" i="1"/>
  <c r="H185" i="1"/>
  <c r="AH130" i="1"/>
  <c r="J136" i="1"/>
  <c r="AB137" i="1"/>
  <c r="O141" i="1"/>
  <c r="AC156" i="1"/>
  <c r="AC165" i="1"/>
  <c r="AC166" i="1"/>
  <c r="T169" i="1"/>
  <c r="O170" i="1"/>
  <c r="AA171" i="1"/>
  <c r="S174" i="1"/>
  <c r="X175" i="1"/>
  <c r="J179" i="1"/>
  <c r="E180" i="1"/>
  <c r="T181" i="1"/>
  <c r="G185" i="1"/>
  <c r="AD120" i="1"/>
  <c r="Y121" i="1"/>
  <c r="T123" i="1"/>
  <c r="J125" i="1"/>
  <c r="J127" i="1"/>
  <c r="AD128" i="1"/>
  <c r="I136" i="1"/>
  <c r="AA137" i="1"/>
  <c r="AC147" i="1"/>
  <c r="J150" i="1"/>
  <c r="AB156" i="1"/>
  <c r="AD159" i="1"/>
  <c r="AB165" i="1"/>
  <c r="S181" i="1"/>
  <c r="T119" i="1"/>
  <c r="AC120" i="1"/>
  <c r="X121" i="1"/>
  <c r="S123" i="1"/>
  <c r="I125" i="1"/>
  <c r="I127" i="1"/>
  <c r="AC128" i="1"/>
  <c r="AG129" i="1"/>
  <c r="W133" i="1"/>
  <c r="Y134" i="1"/>
  <c r="H136" i="1"/>
  <c r="Z137" i="1"/>
  <c r="H139" i="1"/>
  <c r="H140" i="1"/>
  <c r="AC141" i="1"/>
  <c r="T143" i="1"/>
  <c r="AB147" i="1"/>
  <c r="J149" i="1"/>
  <c r="I150" i="1"/>
  <c r="F154" i="1"/>
  <c r="AD155" i="1"/>
  <c r="AA156" i="1"/>
  <c r="I158" i="1"/>
  <c r="AC159" i="1"/>
  <c r="AC160" i="1"/>
  <c r="AA161" i="1"/>
  <c r="I163" i="1"/>
  <c r="P164" i="1"/>
  <c r="AA165" i="1"/>
  <c r="AA166" i="1"/>
  <c r="J168" i="1"/>
  <c r="R169" i="1"/>
  <c r="AD170" i="1"/>
  <c r="Y171" i="1"/>
  <c r="S173" i="1"/>
  <c r="AD174" i="1"/>
  <c r="P177" i="1"/>
  <c r="H179" i="1"/>
  <c r="T180" i="1"/>
  <c r="R181" i="1"/>
  <c r="R182" i="1"/>
  <c r="AC183" i="1"/>
  <c r="T185" i="1"/>
  <c r="T118" i="1"/>
  <c r="S119" i="1"/>
  <c r="AB120" i="1"/>
  <c r="H125" i="1"/>
  <c r="H127" i="1"/>
  <c r="AB128" i="1"/>
  <c r="AF129" i="1"/>
  <c r="T131" i="1"/>
  <c r="AD132" i="1"/>
  <c r="X134" i="1"/>
  <c r="G136" i="1"/>
  <c r="Y137" i="1"/>
  <c r="G139" i="1"/>
  <c r="G140" i="1"/>
  <c r="S143" i="1"/>
  <c r="P144" i="1"/>
  <c r="AA147" i="1"/>
  <c r="I149" i="1"/>
  <c r="H150" i="1"/>
  <c r="AD151" i="1"/>
  <c r="AD152" i="1"/>
  <c r="E154" i="1"/>
  <c r="AC155" i="1"/>
  <c r="Z156" i="1"/>
  <c r="H158" i="1"/>
  <c r="AB159" i="1"/>
  <c r="AB160" i="1"/>
  <c r="H163" i="1"/>
  <c r="O164" i="1"/>
  <c r="Z165" i="1"/>
  <c r="Z166" i="1"/>
  <c r="I168" i="1"/>
  <c r="Q169" i="1"/>
  <c r="AC170" i="1"/>
  <c r="X171" i="1"/>
  <c r="AC174" i="1"/>
  <c r="J176" i="1"/>
  <c r="S180" i="1"/>
  <c r="Q181" i="1"/>
  <c r="Q182" i="1"/>
  <c r="AB183" i="1"/>
  <c r="S185" i="1"/>
  <c r="S118" i="1"/>
  <c r="AD123" i="1"/>
  <c r="S131" i="1"/>
  <c r="AC132" i="1"/>
  <c r="AG133" i="1"/>
  <c r="F136" i="1"/>
  <c r="X137" i="1"/>
  <c r="F139" i="1"/>
  <c r="AH141" i="1"/>
  <c r="J146" i="1"/>
  <c r="Z147" i="1"/>
  <c r="H149" i="1"/>
  <c r="G150" i="1"/>
  <c r="AB155" i="1"/>
  <c r="Y156" i="1"/>
  <c r="AA159" i="1"/>
  <c r="Y165" i="1"/>
  <c r="Y166" i="1"/>
  <c r="H168" i="1"/>
  <c r="P169" i="1"/>
  <c r="AB170" i="1"/>
  <c r="Q173" i="1"/>
  <c r="AB174" i="1"/>
  <c r="I176" i="1"/>
  <c r="T179" i="1"/>
  <c r="R180" i="1"/>
  <c r="P181" i="1"/>
  <c r="P182" i="1"/>
  <c r="AA183" i="1"/>
  <c r="R185" i="1"/>
  <c r="R118" i="1"/>
  <c r="T125" i="1"/>
  <c r="J130" i="1"/>
  <c r="AG141" i="1"/>
  <c r="AD143" i="1"/>
  <c r="I146" i="1"/>
  <c r="Y147" i="1"/>
  <c r="G149" i="1"/>
  <c r="F150" i="1"/>
  <c r="AB151" i="1"/>
  <c r="T154" i="1"/>
  <c r="AA155" i="1"/>
  <c r="X156" i="1"/>
  <c r="Z159" i="1"/>
  <c r="Z160" i="1"/>
  <c r="J162" i="1"/>
  <c r="T163" i="1"/>
  <c r="AD164" i="1"/>
  <c r="W165" i="1"/>
  <c r="X166" i="1"/>
  <c r="G168" i="1"/>
  <c r="O169" i="1"/>
  <c r="AA170" i="1"/>
  <c r="P173" i="1"/>
  <c r="AA174" i="1"/>
  <c r="G176" i="1"/>
  <c r="AD177" i="1"/>
  <c r="S179" i="1"/>
  <c r="Q180" i="1"/>
  <c r="O181" i="1"/>
  <c r="Z183" i="1"/>
  <c r="Q185" i="1"/>
  <c r="Q118" i="1"/>
  <c r="S125" i="1"/>
  <c r="I130" i="1"/>
  <c r="F149" i="1"/>
  <c r="E150" i="1"/>
  <c r="W156" i="1"/>
  <c r="T158" i="1"/>
  <c r="M169" i="1"/>
  <c r="Z170" i="1"/>
  <c r="Z174" i="1"/>
  <c r="AC177" i="1"/>
  <c r="R179" i="1"/>
  <c r="P180" i="1"/>
  <c r="N181" i="1"/>
  <c r="P118" i="1"/>
  <c r="J124" i="1"/>
  <c r="R125" i="1"/>
  <c r="D127" i="1"/>
  <c r="I129" i="1"/>
  <c r="H130" i="1"/>
  <c r="J133" i="1"/>
  <c r="I134" i="1"/>
  <c r="I135" i="1"/>
  <c r="AD136" i="1"/>
  <c r="J138" i="1"/>
  <c r="S139" i="1"/>
  <c r="T146" i="1"/>
  <c r="E149" i="1"/>
  <c r="J153" i="1"/>
  <c r="V156" i="1"/>
  <c r="S158" i="1"/>
  <c r="X159" i="1"/>
  <c r="H162" i="1"/>
  <c r="T168" i="1"/>
  <c r="Y170" i="1"/>
  <c r="T176" i="1"/>
  <c r="Q179" i="1"/>
  <c r="AC182" i="1"/>
  <c r="AD185" i="1"/>
  <c r="O118" i="1"/>
  <c r="AD119" i="1"/>
  <c r="T122" i="1"/>
  <c r="I124" i="1"/>
  <c r="Q125" i="1"/>
  <c r="H129" i="1"/>
  <c r="G130" i="1"/>
  <c r="AD131" i="1"/>
  <c r="I133" i="1"/>
  <c r="H134" i="1"/>
  <c r="H135" i="1"/>
  <c r="AC136" i="1"/>
  <c r="I138" i="1"/>
  <c r="R139" i="1"/>
  <c r="S146" i="1"/>
  <c r="D149" i="1"/>
  <c r="I153" i="1"/>
  <c r="G162" i="1"/>
  <c r="J166" i="1"/>
  <c r="J167" i="1"/>
  <c r="S168" i="1"/>
  <c r="AD169" i="1"/>
  <c r="S176" i="1"/>
  <c r="P179" i="1"/>
  <c r="AD181" i="1"/>
  <c r="AB182" i="1"/>
  <c r="AC185" i="1"/>
  <c r="AC131" i="1"/>
  <c r="G134" i="1"/>
  <c r="AB136" i="1"/>
  <c r="J156" i="1"/>
  <c r="I166" i="1"/>
  <c r="I167" i="1"/>
  <c r="R168" i="1"/>
  <c r="AC169" i="1"/>
  <c r="G172" i="1"/>
  <c r="R176" i="1"/>
  <c r="J178" i="1"/>
  <c r="O179" i="1"/>
  <c r="AD180" i="1"/>
  <c r="AC181" i="1"/>
  <c r="AA182" i="1"/>
  <c r="J184" i="1"/>
  <c r="AB185" i="1"/>
  <c r="AD118" i="1"/>
  <c r="AB119" i="1"/>
  <c r="I121" i="1"/>
  <c r="R122" i="1"/>
  <c r="AD125" i="1"/>
  <c r="S127" i="1"/>
  <c r="F129" i="1"/>
  <c r="T130" i="1"/>
  <c r="AB131" i="1"/>
  <c r="G133" i="1"/>
  <c r="F134" i="1"/>
  <c r="AA136" i="1"/>
  <c r="G138" i="1"/>
  <c r="P139" i="1"/>
  <c r="T149" i="1"/>
  <c r="R150" i="1"/>
  <c r="I156" i="1"/>
  <c r="J160" i="1"/>
  <c r="J161" i="1"/>
  <c r="T162" i="1"/>
  <c r="AD163" i="1"/>
  <c r="H166" i="1"/>
  <c r="Q168" i="1"/>
  <c r="AB169" i="1"/>
  <c r="J171" i="1"/>
  <c r="AD173" i="1"/>
  <c r="AC180" i="1"/>
  <c r="AB181" i="1"/>
  <c r="I184" i="1"/>
  <c r="AA185" i="1"/>
  <c r="J67" i="1"/>
  <c r="AA68" i="1"/>
  <c r="T73" i="1"/>
  <c r="I76" i="1"/>
  <c r="O79" i="1"/>
  <c r="Z80" i="1"/>
  <c r="AD82" i="1"/>
  <c r="Q84" i="1"/>
  <c r="J86" i="1"/>
  <c r="R87" i="1"/>
  <c r="P88" i="1"/>
  <c r="AD89" i="1"/>
  <c r="Y90" i="1"/>
  <c r="R92" i="1"/>
  <c r="AA94" i="1"/>
  <c r="S96" i="1"/>
  <c r="G98" i="1"/>
  <c r="AC99" i="1"/>
  <c r="I101" i="1"/>
  <c r="Q102" i="1"/>
  <c r="Z103" i="1"/>
  <c r="J105" i="1"/>
  <c r="AC107" i="1"/>
  <c r="J109" i="1"/>
  <c r="G110" i="1"/>
  <c r="AA111" i="1"/>
  <c r="AC112" i="1"/>
  <c r="H114" i="1"/>
  <c r="Q115" i="1"/>
  <c r="T117" i="1"/>
  <c r="R102" i="1"/>
  <c r="AD65" i="1"/>
  <c r="I72" i="1"/>
  <c r="I75" i="1"/>
  <c r="G76" i="1"/>
  <c r="I78" i="1"/>
  <c r="AD79" i="1"/>
  <c r="AD84" i="1"/>
  <c r="T98" i="1"/>
  <c r="AD102" i="1"/>
  <c r="X103" i="1"/>
  <c r="H105" i="1"/>
  <c r="S106" i="1"/>
  <c r="H109" i="1"/>
  <c r="E110" i="1"/>
  <c r="Y111" i="1"/>
  <c r="AA112" i="1"/>
  <c r="R117" i="1"/>
  <c r="R84" i="1"/>
  <c r="AC65" i="1"/>
  <c r="T67" i="1"/>
  <c r="H72" i="1"/>
  <c r="AD73" i="1"/>
  <c r="H75" i="1"/>
  <c r="F76" i="1"/>
  <c r="H78" i="1"/>
  <c r="AC79" i="1"/>
  <c r="W80" i="1"/>
  <c r="AA82" i="1"/>
  <c r="AC84" i="1"/>
  <c r="S98" i="1"/>
  <c r="AH99" i="1"/>
  <c r="T101" i="1"/>
  <c r="AC102" i="1"/>
  <c r="X111" i="1"/>
  <c r="Z112" i="1"/>
  <c r="AA115" i="1"/>
  <c r="P79" i="1"/>
  <c r="AB65" i="1"/>
  <c r="S67" i="1"/>
  <c r="J69" i="1"/>
  <c r="G72" i="1"/>
  <c r="AC73" i="1"/>
  <c r="G75" i="1"/>
  <c r="E76" i="1"/>
  <c r="G78" i="1"/>
  <c r="AB79" i="1"/>
  <c r="Z82" i="1"/>
  <c r="AB84" i="1"/>
  <c r="N87" i="1"/>
  <c r="AC88" i="1"/>
  <c r="Z92" i="1"/>
  <c r="J95" i="1"/>
  <c r="R98" i="1"/>
  <c r="S101" i="1"/>
  <c r="AB102" i="1"/>
  <c r="T110" i="1"/>
  <c r="Y112" i="1"/>
  <c r="Y115" i="1"/>
  <c r="AD117" i="1"/>
  <c r="AD67" i="1"/>
  <c r="H69" i="1"/>
  <c r="AC70" i="1"/>
  <c r="T72" i="1"/>
  <c r="AA73" i="1"/>
  <c r="E75" i="1"/>
  <c r="S76" i="1"/>
  <c r="E78" i="1"/>
  <c r="Z79" i="1"/>
  <c r="J81" i="1"/>
  <c r="Z84" i="1"/>
  <c r="S86" i="1"/>
  <c r="AA88" i="1"/>
  <c r="S91" i="1"/>
  <c r="X92" i="1"/>
  <c r="H95" i="1"/>
  <c r="AD98" i="1"/>
  <c r="I100" i="1"/>
  <c r="Q101" i="1"/>
  <c r="Z102" i="1"/>
  <c r="I104" i="1"/>
  <c r="O106" i="1"/>
  <c r="W107" i="1"/>
  <c r="R110" i="1"/>
  <c r="W112" i="1"/>
  <c r="S114" i="1"/>
  <c r="AB117" i="1"/>
  <c r="R86" i="1"/>
  <c r="AD87" i="1"/>
  <c r="T97" i="1"/>
  <c r="AC98" i="1"/>
  <c r="H100" i="1"/>
  <c r="P101" i="1"/>
  <c r="Y102" i="1"/>
  <c r="T105" i="1"/>
  <c r="R109" i="1"/>
  <c r="Q110" i="1"/>
  <c r="I112" i="1"/>
  <c r="V112" i="1"/>
  <c r="R114" i="1"/>
  <c r="J116" i="1"/>
  <c r="AA117" i="1"/>
  <c r="T75" i="1"/>
  <c r="AC87" i="1"/>
  <c r="S97" i="1"/>
  <c r="S105" i="1"/>
  <c r="AD106" i="1"/>
  <c r="P110" i="1"/>
  <c r="Q114" i="1"/>
  <c r="Z117" i="1"/>
  <c r="H66" i="1"/>
  <c r="S75" i="1"/>
  <c r="AD78" i="1"/>
  <c r="W79" i="1"/>
  <c r="J85" i="1"/>
  <c r="AD86" i="1"/>
  <c r="AB87" i="1"/>
  <c r="X88" i="1"/>
  <c r="I90" i="1"/>
  <c r="J93" i="1"/>
  <c r="S95" i="1"/>
  <c r="Q97" i="1"/>
  <c r="AA98" i="1"/>
  <c r="F100" i="1"/>
  <c r="AD101" i="1"/>
  <c r="S104" i="1"/>
  <c r="R105" i="1"/>
  <c r="AC106" i="1"/>
  <c r="J108" i="1"/>
  <c r="O110" i="1"/>
  <c r="Y117" i="1"/>
  <c r="G66" i="1"/>
  <c r="J68" i="1"/>
  <c r="R75" i="1"/>
  <c r="AC78" i="1"/>
  <c r="T81" i="1"/>
  <c r="AB83" i="1"/>
  <c r="AC101" i="1"/>
  <c r="AB106" i="1"/>
  <c r="AD114" i="1"/>
  <c r="AC116" i="1"/>
  <c r="F66" i="1"/>
  <c r="I68" i="1"/>
  <c r="X70" i="1"/>
  <c r="J74" i="1"/>
  <c r="Q75" i="1"/>
  <c r="AC76" i="1"/>
  <c r="Z78" i="1"/>
  <c r="S81" i="1"/>
  <c r="Z83" i="1"/>
  <c r="H85" i="1"/>
  <c r="AB86" i="1"/>
  <c r="R93" i="1"/>
  <c r="Q95" i="1"/>
  <c r="AD97" i="1"/>
  <c r="Y98" i="1"/>
  <c r="T100" i="1"/>
  <c r="AB101" i="1"/>
  <c r="I103" i="1"/>
  <c r="Q104" i="1"/>
  <c r="AD105" i="1"/>
  <c r="AA106" i="1"/>
  <c r="H108" i="1"/>
  <c r="AD110" i="1"/>
  <c r="T113" i="1"/>
  <c r="AC114" i="1"/>
  <c r="AA116" i="1"/>
  <c r="E66" i="1"/>
  <c r="H68" i="1"/>
  <c r="AD72" i="1"/>
  <c r="I74" i="1"/>
  <c r="P75" i="1"/>
  <c r="AB76" i="1"/>
  <c r="Y78" i="1"/>
  <c r="J80" i="1"/>
  <c r="R81" i="1"/>
  <c r="Y83" i="1"/>
  <c r="AA86" i="1"/>
  <c r="T90" i="1"/>
  <c r="AD91" i="1"/>
  <c r="P95" i="1"/>
  <c r="AC97" i="1"/>
  <c r="X98" i="1"/>
  <c r="S100" i="1"/>
  <c r="AA101" i="1"/>
  <c r="H103" i="1"/>
  <c r="P104" i="1"/>
  <c r="AC105" i="1"/>
  <c r="Z106" i="1"/>
  <c r="G108" i="1"/>
  <c r="AB110" i="1"/>
  <c r="D112" i="1"/>
  <c r="S113" i="1"/>
  <c r="AB114" i="1"/>
  <c r="Z116" i="1"/>
  <c r="D66" i="1"/>
  <c r="G68" i="1"/>
  <c r="AC72" i="1"/>
  <c r="O75" i="1"/>
  <c r="X78" i="1"/>
  <c r="I80" i="1"/>
  <c r="X83" i="1"/>
  <c r="J88" i="1"/>
  <c r="AC91" i="1"/>
  <c r="AB97" i="1"/>
  <c r="Z101" i="1"/>
  <c r="G103" i="1"/>
  <c r="O104" i="1"/>
  <c r="AB105" i="1"/>
  <c r="Y106" i="1"/>
  <c r="F108" i="1"/>
  <c r="AD109" i="1"/>
  <c r="R113" i="1"/>
  <c r="AA114" i="1"/>
  <c r="Y116" i="1"/>
  <c r="I88" i="1"/>
  <c r="R90" i="1"/>
  <c r="AB91" i="1"/>
  <c r="AD95" i="1"/>
  <c r="AA97" i="1"/>
  <c r="Y101" i="1"/>
  <c r="AA105" i="1"/>
  <c r="X106" i="1"/>
  <c r="E108" i="1"/>
  <c r="T66" i="1"/>
  <c r="E68" i="1"/>
  <c r="I71" i="1"/>
  <c r="AA72" i="1"/>
  <c r="AD75" i="1"/>
  <c r="Y76" i="1"/>
  <c r="T80" i="1"/>
  <c r="AC81" i="1"/>
  <c r="R85" i="1"/>
  <c r="H88" i="1"/>
  <c r="Q90" i="1"/>
  <c r="AA91" i="1"/>
  <c r="AC95" i="1"/>
  <c r="Z97" i="1"/>
  <c r="J99" i="1"/>
  <c r="Z105" i="1"/>
  <c r="AB109" i="1"/>
  <c r="Y114" i="1"/>
  <c r="S66" i="1"/>
  <c r="D68" i="1"/>
  <c r="H71" i="1"/>
  <c r="Z72" i="1"/>
  <c r="R74" i="1"/>
  <c r="J79" i="1"/>
  <c r="S80" i="1"/>
  <c r="J84" i="1"/>
  <c r="Q85" i="1"/>
  <c r="G88" i="1"/>
  <c r="P90" i="1"/>
  <c r="Z91" i="1"/>
  <c r="I94" i="1"/>
  <c r="AB95" i="1"/>
  <c r="Y97" i="1"/>
  <c r="I99" i="1"/>
  <c r="AB100" i="1"/>
  <c r="AC104" i="1"/>
  <c r="Y105" i="1"/>
  <c r="T108" i="1"/>
  <c r="AA109" i="1"/>
  <c r="R112" i="1"/>
  <c r="AD113" i="1"/>
  <c r="X114" i="1"/>
  <c r="J117" i="1"/>
  <c r="R66" i="1"/>
  <c r="G71" i="1"/>
  <c r="I79" i="1"/>
  <c r="R80" i="1"/>
  <c r="I84" i="1"/>
  <c r="H87" i="1"/>
  <c r="F88" i="1"/>
  <c r="T89" i="1"/>
  <c r="O90" i="1"/>
  <c r="Y91" i="1"/>
  <c r="AA95" i="1"/>
  <c r="X97" i="1"/>
  <c r="H99" i="1"/>
  <c r="AA100" i="1"/>
  <c r="J102" i="1"/>
  <c r="T103" i="1"/>
  <c r="AB104" i="1"/>
  <c r="X105" i="1"/>
  <c r="J107" i="1"/>
  <c r="S108" i="1"/>
  <c r="Z109" i="1"/>
  <c r="T111" i="1"/>
  <c r="Q112" i="1"/>
  <c r="AC113" i="1"/>
  <c r="W114" i="1"/>
  <c r="I117" i="1"/>
  <c r="Q66" i="1"/>
  <c r="T68" i="1"/>
  <c r="AD74" i="1"/>
  <c r="H77" i="1"/>
  <c r="Q80" i="1"/>
  <c r="J82" i="1"/>
  <c r="H84" i="1"/>
  <c r="E88" i="1"/>
  <c r="S89" i="1"/>
  <c r="X91" i="1"/>
  <c r="T94" i="1"/>
  <c r="Z95" i="1"/>
  <c r="G99" i="1"/>
  <c r="Z100" i="1"/>
  <c r="I102" i="1"/>
  <c r="S103" i="1"/>
  <c r="AA104" i="1"/>
  <c r="W105" i="1"/>
  <c r="I107" i="1"/>
  <c r="Y109" i="1"/>
  <c r="S111" i="1"/>
  <c r="H117" i="1"/>
  <c r="J73" i="1"/>
  <c r="AC74" i="1"/>
  <c r="T79" i="1"/>
  <c r="R89" i="1"/>
  <c r="R111" i="1"/>
  <c r="AA113" i="1"/>
  <c r="G117" i="1"/>
  <c r="I73" i="1"/>
  <c r="AB74" i="1"/>
  <c r="S79" i="1"/>
  <c r="T88" i="1"/>
  <c r="Q89" i="1"/>
  <c r="AC90" i="1"/>
  <c r="T99" i="1"/>
  <c r="AD103" i="1"/>
  <c r="Y104" i="1"/>
  <c r="T107" i="1"/>
  <c r="J115" i="1"/>
  <c r="F117" i="1"/>
  <c r="AB66" i="1"/>
  <c r="AD68" i="1"/>
  <c r="F70" i="1"/>
  <c r="AD71" i="1"/>
  <c r="H73" i="1"/>
  <c r="AA74" i="1"/>
  <c r="Y77" i="1"/>
  <c r="R79" i="1"/>
  <c r="AC80" i="1"/>
  <c r="T82" i="1"/>
  <c r="T84" i="1"/>
  <c r="Z85" i="1"/>
  <c r="S88" i="1"/>
  <c r="P89" i="1"/>
  <c r="AB90" i="1"/>
  <c r="J92" i="1"/>
  <c r="AD94" i="1"/>
  <c r="G96" i="1"/>
  <c r="J98" i="1"/>
  <c r="S99" i="1"/>
  <c r="T102" i="1"/>
  <c r="AC103" i="1"/>
  <c r="X104" i="1"/>
  <c r="S107" i="1"/>
  <c r="J110" i="1"/>
  <c r="E117" i="1"/>
  <c r="AC68" i="1"/>
  <c r="E70" i="1"/>
  <c r="AC71" i="1"/>
  <c r="G73" i="1"/>
  <c r="Z74" i="1"/>
  <c r="X77" i="1"/>
  <c r="Q79" i="1"/>
  <c r="AB80" i="1"/>
  <c r="S82" i="1"/>
  <c r="S84" i="1"/>
  <c r="T87" i="1"/>
  <c r="R88" i="1"/>
  <c r="O89" i="1"/>
  <c r="AA90" i="1"/>
  <c r="G92" i="1"/>
  <c r="AC94" i="1"/>
  <c r="E96" i="1"/>
  <c r="I98" i="1"/>
  <c r="S102" i="1"/>
  <c r="AB103" i="1"/>
  <c r="I110" i="1"/>
  <c r="AC111" i="1"/>
  <c r="J114" i="1"/>
  <c r="T115" i="1"/>
  <c r="D117" i="1"/>
  <c r="G22" i="1"/>
  <c r="AC60" i="1"/>
  <c r="V14" i="1"/>
  <c r="F22" i="1"/>
  <c r="H25" i="1"/>
  <c r="I28" i="1"/>
  <c r="E31" i="1"/>
  <c r="AD34" i="1"/>
  <c r="AB37" i="1"/>
  <c r="X40" i="1"/>
  <c r="Y42" i="1"/>
  <c r="I48" i="1"/>
  <c r="P50" i="1"/>
  <c r="J57" i="1"/>
  <c r="R58" i="1"/>
  <c r="AB60" i="1"/>
  <c r="AA61" i="1"/>
  <c r="J63" i="1"/>
  <c r="AD64" i="1"/>
  <c r="W92" i="1"/>
  <c r="O115" i="1"/>
  <c r="X116" i="1"/>
  <c r="F386" i="1"/>
  <c r="J517" i="1"/>
  <c r="AG18" i="1"/>
  <c r="F25" i="1"/>
  <c r="AC34" i="1"/>
  <c r="AA37" i="1"/>
  <c r="H45" i="1"/>
  <c r="H48" i="1"/>
  <c r="O50" i="1"/>
  <c r="I57" i="1"/>
  <c r="Q58" i="1"/>
  <c r="AD59" i="1"/>
  <c r="AA60" i="1"/>
  <c r="Z61" i="1"/>
  <c r="I63" i="1"/>
  <c r="AC64" i="1"/>
  <c r="E386" i="1"/>
  <c r="AF18" i="1"/>
  <c r="T22" i="1"/>
  <c r="G45" i="1"/>
  <c r="AD53" i="1"/>
  <c r="H57" i="1"/>
  <c r="P58" i="1"/>
  <c r="AC59" i="1"/>
  <c r="Z60" i="1"/>
  <c r="Y61" i="1"/>
  <c r="AB64" i="1"/>
  <c r="AH92" i="1"/>
  <c r="J96" i="1"/>
  <c r="AD115" i="1"/>
  <c r="H517" i="1"/>
  <c r="R22" i="1"/>
  <c r="Y50" i="1"/>
  <c r="AC53" i="1"/>
  <c r="G57" i="1"/>
  <c r="O58" i="1"/>
  <c r="AB59" i="1"/>
  <c r="Y60" i="1"/>
  <c r="T63" i="1"/>
  <c r="AA64" i="1"/>
  <c r="AG92" i="1"/>
  <c r="I96" i="1"/>
  <c r="AC115" i="1"/>
  <c r="T386" i="1"/>
  <c r="G517" i="1"/>
  <c r="Q22" i="1"/>
  <c r="T25" i="1"/>
  <c r="Z31" i="1"/>
  <c r="T41" i="1"/>
  <c r="S43" i="1"/>
  <c r="S45" i="1"/>
  <c r="Q48" i="1"/>
  <c r="AA59" i="1"/>
  <c r="X60" i="1"/>
  <c r="Z64" i="1"/>
  <c r="H96" i="1"/>
  <c r="AB115" i="1"/>
  <c r="S386" i="1"/>
  <c r="F517" i="1"/>
  <c r="J485" i="1"/>
  <c r="O25" i="1"/>
  <c r="Q38" i="1"/>
  <c r="R41" i="1"/>
  <c r="P43" i="1"/>
  <c r="Z45" i="1"/>
  <c r="AD48" i="1"/>
  <c r="S57" i="1"/>
  <c r="AC58" i="1"/>
  <c r="Y59" i="1"/>
  <c r="V60" i="1"/>
  <c r="I62" i="1"/>
  <c r="I93" i="1"/>
  <c r="F96" i="1"/>
  <c r="Z115" i="1"/>
  <c r="Q386" i="1"/>
  <c r="H485" i="1"/>
  <c r="H16" i="1"/>
  <c r="R35" i="1"/>
  <c r="M41" i="1"/>
  <c r="AD43" i="1"/>
  <c r="Q57" i="1"/>
  <c r="AA58" i="1"/>
  <c r="T62" i="1"/>
  <c r="AA63" i="1"/>
  <c r="I65" i="1"/>
  <c r="J77" i="1"/>
  <c r="J83" i="1"/>
  <c r="I92" i="1"/>
  <c r="T93" i="1"/>
  <c r="AD386" i="1"/>
  <c r="AD517" i="1"/>
  <c r="J20" i="1"/>
  <c r="Z58" i="1"/>
  <c r="J60" i="1"/>
  <c r="J61" i="1"/>
  <c r="H65" i="1"/>
  <c r="I77" i="1"/>
  <c r="I83" i="1"/>
  <c r="H92" i="1"/>
  <c r="S93" i="1"/>
  <c r="T96" i="1"/>
  <c r="AC386" i="1"/>
  <c r="T485" i="1"/>
  <c r="AC517" i="1"/>
  <c r="P46" i="1"/>
  <c r="G49" i="1"/>
  <c r="AB386" i="1"/>
  <c r="AB517" i="1"/>
  <c r="R12" i="1"/>
  <c r="I30" i="1"/>
  <c r="AB35" i="1"/>
  <c r="Y41" i="1"/>
  <c r="AC57" i="1"/>
  <c r="X58" i="1"/>
  <c r="H60" i="1"/>
  <c r="H61" i="1"/>
  <c r="Q62" i="1"/>
  <c r="J64" i="1"/>
  <c r="T65" i="1"/>
  <c r="G77" i="1"/>
  <c r="T83" i="1"/>
  <c r="Q93" i="1"/>
  <c r="R96" i="1"/>
  <c r="I116" i="1"/>
  <c r="AA386" i="1"/>
  <c r="R485" i="1"/>
  <c r="AA517" i="1"/>
  <c r="R26" i="1"/>
  <c r="AA35" i="1"/>
  <c r="J44" i="1"/>
  <c r="AB46" i="1"/>
  <c r="J55" i="1"/>
  <c r="AB57" i="1"/>
  <c r="G60" i="1"/>
  <c r="G61" i="1"/>
  <c r="P62" i="1"/>
  <c r="I64" i="1"/>
  <c r="S65" i="1"/>
  <c r="S83" i="1"/>
  <c r="T92" i="1"/>
  <c r="P93" i="1"/>
  <c r="Z386" i="1"/>
  <c r="Q485" i="1"/>
  <c r="Z517" i="1"/>
  <c r="AA7" i="1"/>
  <c r="Z7" i="1"/>
  <c r="X12" i="1"/>
  <c r="T30" i="1"/>
  <c r="I44" i="1"/>
  <c r="H55" i="1"/>
  <c r="F60" i="1"/>
  <c r="O62" i="1"/>
  <c r="H64" i="1"/>
  <c r="R65" i="1"/>
  <c r="T77" i="1"/>
  <c r="R83" i="1"/>
  <c r="S92" i="1"/>
  <c r="O93" i="1"/>
  <c r="AD96" i="1"/>
  <c r="I115" i="1"/>
  <c r="T116" i="1"/>
  <c r="Y386" i="1"/>
  <c r="P485" i="1"/>
  <c r="Y517" i="1"/>
  <c r="I17" i="1"/>
  <c r="J24" i="1"/>
  <c r="AD26" i="1"/>
  <c r="S30" i="1"/>
  <c r="J40" i="1"/>
  <c r="J42" i="1"/>
  <c r="H44" i="1"/>
  <c r="Z57" i="1"/>
  <c r="J59" i="1"/>
  <c r="E60" i="1"/>
  <c r="T61" i="1"/>
  <c r="G64" i="1"/>
  <c r="Q65" i="1"/>
  <c r="S77" i="1"/>
  <c r="Q83" i="1"/>
  <c r="AC96" i="1"/>
  <c r="H115" i="1"/>
  <c r="S116" i="1"/>
  <c r="X386" i="1"/>
  <c r="J21" i="1"/>
  <c r="I24" i="1"/>
  <c r="R30" i="1"/>
  <c r="I40" i="1"/>
  <c r="H47" i="1"/>
  <c r="J50" i="1"/>
  <c r="Q55" i="1"/>
  <c r="I59" i="1"/>
  <c r="S61" i="1"/>
  <c r="AD62" i="1"/>
  <c r="P83" i="1"/>
  <c r="Q92" i="1"/>
  <c r="AD93" i="1"/>
  <c r="AB96" i="1"/>
  <c r="G115" i="1"/>
  <c r="R116" i="1"/>
  <c r="W517" i="1"/>
  <c r="H21" i="1"/>
  <c r="G24" i="1"/>
  <c r="Q30" i="1"/>
  <c r="H50" i="1"/>
  <c r="T52" i="1"/>
  <c r="X57" i="1"/>
  <c r="H59" i="1"/>
  <c r="T60" i="1"/>
  <c r="R61" i="1"/>
  <c r="AC62" i="1"/>
  <c r="E64" i="1"/>
  <c r="AD77" i="1"/>
  <c r="AC93" i="1"/>
  <c r="AA96" i="1"/>
  <c r="F115" i="1"/>
  <c r="Q116" i="1"/>
  <c r="AD485" i="1"/>
  <c r="G21" i="1"/>
  <c r="F24" i="1"/>
  <c r="P30" i="1"/>
  <c r="AA33" i="1"/>
  <c r="T40" i="1"/>
  <c r="F42" i="1"/>
  <c r="AC44" i="1"/>
  <c r="G50" i="1"/>
  <c r="R52" i="1"/>
  <c r="G59" i="1"/>
  <c r="S60" i="1"/>
  <c r="Q61" i="1"/>
  <c r="AB62" i="1"/>
  <c r="AC77" i="1"/>
  <c r="AD83" i="1"/>
  <c r="AD92" i="1"/>
  <c r="AB93" i="1"/>
  <c r="Z96" i="1"/>
  <c r="E115" i="1"/>
  <c r="AC485" i="1"/>
  <c r="T27" i="1"/>
  <c r="Q40" i="1"/>
  <c r="AB44" i="1"/>
  <c r="AC47" i="1"/>
  <c r="F50" i="1"/>
  <c r="P52" i="1"/>
  <c r="F59" i="1"/>
  <c r="R60" i="1"/>
  <c r="P61" i="1"/>
  <c r="AA62" i="1"/>
  <c r="T64" i="1"/>
  <c r="AB77" i="1"/>
  <c r="AC83" i="1"/>
  <c r="AD116" i="1"/>
  <c r="AB485" i="1"/>
  <c r="J58" i="1"/>
  <c r="E59" i="1"/>
  <c r="Q60" i="1"/>
  <c r="O61" i="1"/>
  <c r="Z62" i="1"/>
  <c r="S64" i="1"/>
  <c r="AA77" i="1"/>
  <c r="Z485" i="1"/>
  <c r="I18" i="1"/>
  <c r="R27" i="1"/>
  <c r="AA47" i="1"/>
  <c r="E18" i="1"/>
  <c r="AA24" i="1"/>
  <c r="Q27" i="1"/>
  <c r="I34" i="1"/>
  <c r="R37" i="1"/>
  <c r="Z44" i="1"/>
  <c r="Y47" i="1"/>
  <c r="AB52" i="1"/>
  <c r="I58" i="1"/>
  <c r="P60" i="1"/>
  <c r="Y62" i="1"/>
  <c r="R64" i="1"/>
  <c r="Z77" i="1"/>
  <c r="AA83" i="1"/>
  <c r="AA92" i="1"/>
  <c r="S115" i="1"/>
  <c r="AB116" i="1"/>
  <c r="J386" i="1"/>
  <c r="Y485" i="1"/>
  <c r="G46" i="1"/>
  <c r="AD47" i="1"/>
  <c r="AC48" i="1"/>
  <c r="Q52" i="1"/>
  <c r="I55" i="1"/>
  <c r="J41" i="1"/>
  <c r="G42" i="1"/>
  <c r="AC43" i="1"/>
  <c r="T46" i="1"/>
  <c r="AB47" i="1"/>
  <c r="AA48" i="1"/>
  <c r="I50" i="1"/>
  <c r="H51" i="1"/>
  <c r="O52" i="1"/>
  <c r="AB53" i="1"/>
  <c r="G55" i="1"/>
  <c r="I41" i="1"/>
  <c r="AB43" i="1"/>
  <c r="S46" i="1"/>
  <c r="Z48" i="1"/>
  <c r="AA53" i="1"/>
  <c r="F55" i="1"/>
  <c r="H41" i="1"/>
  <c r="AA43" i="1"/>
  <c r="J45" i="1"/>
  <c r="R46" i="1"/>
  <c r="Z47" i="1"/>
  <c r="Y48" i="1"/>
  <c r="AD52" i="1"/>
  <c r="Z53" i="1"/>
  <c r="E55" i="1"/>
  <c r="T42" i="1"/>
  <c r="Z43" i="1"/>
  <c r="I45" i="1"/>
  <c r="Q46" i="1"/>
  <c r="S51" i="1"/>
  <c r="AC52" i="1"/>
  <c r="D55" i="1"/>
  <c r="X43" i="1"/>
  <c r="J49" i="1"/>
  <c r="AD51" i="1"/>
  <c r="AA52" i="1"/>
  <c r="J54" i="1"/>
  <c r="T55" i="1"/>
  <c r="AD46" i="1"/>
  <c r="I49" i="1"/>
  <c r="T50" i="1"/>
  <c r="AC51" i="1"/>
  <c r="Z52" i="1"/>
  <c r="I54" i="1"/>
  <c r="S55" i="1"/>
  <c r="Q41" i="1"/>
  <c r="AC42" i="1"/>
  <c r="AH43" i="1"/>
  <c r="T45" i="1"/>
  <c r="AC46" i="1"/>
  <c r="J48" i="1"/>
  <c r="H49" i="1"/>
  <c r="AB51" i="1"/>
  <c r="Y52" i="1"/>
  <c r="R55" i="1"/>
  <c r="H46" i="1"/>
  <c r="S40" i="1"/>
  <c r="O41" i="1"/>
  <c r="AA42" i="1"/>
  <c r="R45" i="1"/>
  <c r="AA46" i="1"/>
  <c r="F49" i="1"/>
  <c r="R40" i="1"/>
  <c r="N41" i="1"/>
  <c r="Q45" i="1"/>
  <c r="G48" i="1"/>
  <c r="E49" i="1"/>
  <c r="R54" i="1"/>
  <c r="AD55" i="1"/>
  <c r="J53" i="1"/>
  <c r="AC55" i="1"/>
  <c r="AD45" i="1"/>
  <c r="J47" i="1"/>
  <c r="E48" i="1"/>
  <c r="T49" i="1"/>
  <c r="J52" i="1"/>
  <c r="I53" i="1"/>
  <c r="AD54" i="1"/>
  <c r="AB55" i="1"/>
  <c r="O40" i="1"/>
  <c r="AD41" i="1"/>
  <c r="T44" i="1"/>
  <c r="AC45" i="1"/>
  <c r="I47" i="1"/>
  <c r="D48" i="1"/>
  <c r="S49" i="1"/>
  <c r="AD50" i="1"/>
  <c r="I52" i="1"/>
  <c r="H53" i="1"/>
  <c r="AC54" i="1"/>
  <c r="AC41" i="1"/>
  <c r="J43" i="1"/>
  <c r="S44" i="1"/>
  <c r="R49" i="1"/>
  <c r="AC50" i="1"/>
  <c r="H52" i="1"/>
  <c r="G53" i="1"/>
  <c r="AB54" i="1"/>
  <c r="AD40" i="1"/>
  <c r="AB41" i="1"/>
  <c r="I43" i="1"/>
  <c r="R44" i="1"/>
  <c r="Y45" i="1"/>
  <c r="G47" i="1"/>
  <c r="T48" i="1"/>
  <c r="Q49" i="1"/>
  <c r="AB50" i="1"/>
  <c r="G52" i="1"/>
  <c r="F53" i="1"/>
  <c r="AA54" i="1"/>
  <c r="J56" i="1"/>
  <c r="X45" i="1"/>
  <c r="S48" i="1"/>
  <c r="P49" i="1"/>
  <c r="AA50" i="1"/>
  <c r="F52" i="1"/>
  <c r="E53" i="1"/>
  <c r="Z54" i="1"/>
  <c r="I56" i="1"/>
  <c r="AB40" i="1"/>
  <c r="Z41" i="1"/>
  <c r="T43" i="1"/>
  <c r="AD44" i="1"/>
  <c r="T47" i="1"/>
  <c r="R48" i="1"/>
  <c r="O49" i="1"/>
  <c r="Z50" i="1"/>
  <c r="E52" i="1"/>
  <c r="D53" i="1"/>
  <c r="Y54" i="1"/>
  <c r="H56" i="1"/>
  <c r="S47" i="1"/>
  <c r="X54" i="1"/>
  <c r="Z40" i="1"/>
  <c r="R43" i="1"/>
  <c r="J46" i="1"/>
  <c r="R47" i="1"/>
  <c r="P48" i="1"/>
  <c r="AD49" i="1"/>
  <c r="X50" i="1"/>
  <c r="T53" i="1"/>
  <c r="I46" i="1"/>
  <c r="Q47" i="1"/>
  <c r="AC49" i="1"/>
  <c r="S52" i="1"/>
  <c r="S53" i="1"/>
  <c r="AD56" i="1"/>
  <c r="AD28" i="1"/>
  <c r="F31" i="1"/>
  <c r="AD32" i="1"/>
  <c r="J34" i="1"/>
  <c r="S35" i="1"/>
  <c r="H37" i="1"/>
  <c r="R38" i="1"/>
  <c r="O39" i="1"/>
  <c r="AB28" i="1"/>
  <c r="AB32" i="1"/>
  <c r="H34" i="1"/>
  <c r="T37" i="1"/>
  <c r="P38" i="1"/>
  <c r="AD39" i="1"/>
  <c r="T31" i="1"/>
  <c r="AA32" i="1"/>
  <c r="G34" i="1"/>
  <c r="AD35" i="1"/>
  <c r="S37" i="1"/>
  <c r="O38" i="1"/>
  <c r="AC39" i="1"/>
  <c r="S31" i="1"/>
  <c r="Z32" i="1"/>
  <c r="F34" i="1"/>
  <c r="AB39" i="1"/>
  <c r="J29" i="1"/>
  <c r="R31" i="1"/>
  <c r="Y32" i="1"/>
  <c r="E34" i="1"/>
  <c r="AD38" i="1"/>
  <c r="I29" i="1"/>
  <c r="D34" i="1"/>
  <c r="AC38" i="1"/>
  <c r="H29" i="1"/>
  <c r="O37" i="1"/>
  <c r="AB38" i="1"/>
  <c r="G29" i="1"/>
  <c r="AC31" i="1"/>
  <c r="J33" i="1"/>
  <c r="AA38" i="1"/>
  <c r="F29" i="1"/>
  <c r="AB31" i="1"/>
  <c r="I33" i="1"/>
  <c r="S34" i="1"/>
  <c r="J36" i="1"/>
  <c r="AD37" i="1"/>
  <c r="Z38" i="1"/>
  <c r="I37" i="1"/>
  <c r="E29" i="1"/>
  <c r="AD30" i="1"/>
  <c r="AA31" i="1"/>
  <c r="H33" i="1"/>
  <c r="I36" i="1"/>
  <c r="AC37" i="1"/>
  <c r="Y38" i="1"/>
  <c r="J28" i="1"/>
  <c r="D29" i="1"/>
  <c r="AC30" i="1"/>
  <c r="G33" i="1"/>
  <c r="AB30" i="1"/>
  <c r="T36" i="1"/>
  <c r="H28" i="1"/>
  <c r="T29" i="1"/>
  <c r="AA30" i="1"/>
  <c r="X31" i="1"/>
  <c r="T33" i="1"/>
  <c r="AB34" i="1"/>
  <c r="S36" i="1"/>
  <c r="Z37" i="1"/>
  <c r="J39" i="1"/>
  <c r="G28" i="1"/>
  <c r="S29" i="1"/>
  <c r="Z30" i="1"/>
  <c r="W31" i="1"/>
  <c r="AA34" i="1"/>
  <c r="R36" i="1"/>
  <c r="Y37" i="1"/>
  <c r="I39" i="1"/>
  <c r="P39" i="1"/>
  <c r="F28" i="1"/>
  <c r="R29" i="1"/>
  <c r="Y30" i="1"/>
  <c r="AD33" i="1"/>
  <c r="Z34" i="1"/>
  <c r="Q36" i="1"/>
  <c r="X37" i="1"/>
  <c r="H39" i="1"/>
  <c r="Q29" i="1"/>
  <c r="X30" i="1"/>
  <c r="AC33" i="1"/>
  <c r="P36" i="1"/>
  <c r="W37" i="1"/>
  <c r="G39" i="1"/>
  <c r="T28" i="1"/>
  <c r="P29" i="1"/>
  <c r="W30" i="1"/>
  <c r="J32" i="1"/>
  <c r="O36" i="1"/>
  <c r="F39" i="1"/>
  <c r="R28" i="1"/>
  <c r="AD29" i="1"/>
  <c r="H32" i="1"/>
  <c r="Z33" i="1"/>
  <c r="I35" i="1"/>
  <c r="J38" i="1"/>
  <c r="T39" i="1"/>
  <c r="S28" i="1"/>
  <c r="Q28" i="1"/>
  <c r="AC29" i="1"/>
  <c r="J31" i="1"/>
  <c r="G32" i="1"/>
  <c r="Y33" i="1"/>
  <c r="H35" i="1"/>
  <c r="AH36" i="1"/>
  <c r="I38" i="1"/>
  <c r="S39" i="1"/>
  <c r="P28" i="1"/>
  <c r="AB29" i="1"/>
  <c r="X33" i="1"/>
  <c r="R39" i="1"/>
  <c r="O28" i="1"/>
  <c r="AA29" i="1"/>
  <c r="T32" i="1"/>
  <c r="J37" i="1"/>
  <c r="T38" i="1"/>
  <c r="Q39" i="1"/>
  <c r="Y17" i="1"/>
  <c r="J16" i="1"/>
  <c r="X17" i="1"/>
  <c r="AH18" i="1"/>
  <c r="I21" i="1"/>
  <c r="H22" i="1"/>
  <c r="H24" i="1"/>
  <c r="G25" i="1"/>
  <c r="J26" i="1"/>
  <c r="S27" i="1"/>
  <c r="G16" i="1"/>
  <c r="J18" i="1"/>
  <c r="H20" i="1"/>
  <c r="E22" i="1"/>
  <c r="E24" i="1"/>
  <c r="D25" i="1"/>
  <c r="T26" i="1"/>
  <c r="P27" i="1"/>
  <c r="J19" i="1"/>
  <c r="T21" i="1"/>
  <c r="S26" i="1"/>
  <c r="O27" i="1"/>
  <c r="E16" i="1"/>
  <c r="H18" i="1"/>
  <c r="I19" i="1"/>
  <c r="T20" i="1"/>
  <c r="S21" i="1"/>
  <c r="T24" i="1"/>
  <c r="D16" i="1"/>
  <c r="G18" i="1"/>
  <c r="H19" i="1"/>
  <c r="S20" i="1"/>
  <c r="R21" i="1"/>
  <c r="S22" i="1"/>
  <c r="S24" i="1"/>
  <c r="S25" i="1"/>
  <c r="Q26" i="1"/>
  <c r="AD27" i="1"/>
  <c r="F18" i="1"/>
  <c r="G19" i="1"/>
  <c r="R20" i="1"/>
  <c r="Q21" i="1"/>
  <c r="R24" i="1"/>
  <c r="R25" i="1"/>
  <c r="AC27" i="1"/>
  <c r="F19" i="1"/>
  <c r="Q20" i="1"/>
  <c r="P21" i="1"/>
  <c r="Q24" i="1"/>
  <c r="F16" i="1"/>
  <c r="D18" i="1"/>
  <c r="E19" i="1"/>
  <c r="P20" i="1"/>
  <c r="O21" i="1"/>
  <c r="P24" i="1"/>
  <c r="P25" i="1"/>
  <c r="AC26" i="1"/>
  <c r="AF27" i="1"/>
  <c r="AB26" i="1"/>
  <c r="AH16" i="1"/>
  <c r="T19" i="1"/>
  <c r="N20" i="1"/>
  <c r="AD21" i="1"/>
  <c r="AD24" i="1"/>
  <c r="N25" i="1"/>
  <c r="AA26" i="1"/>
  <c r="AC21" i="1"/>
  <c r="AC24" i="1"/>
  <c r="Z26" i="1"/>
  <c r="J17" i="1"/>
  <c r="S18" i="1"/>
  <c r="N19" i="1"/>
  <c r="AD20" i="1"/>
  <c r="AB21" i="1"/>
  <c r="T23" i="1"/>
  <c r="AB24" i="1"/>
  <c r="AD25" i="1"/>
  <c r="Y26" i="1"/>
  <c r="AC20" i="1"/>
  <c r="AA21" i="1"/>
  <c r="AC25" i="1"/>
  <c r="O20" i="1"/>
  <c r="R18" i="1"/>
  <c r="H17" i="1"/>
  <c r="Q18" i="1"/>
  <c r="AD19" i="1"/>
  <c r="AB20" i="1"/>
  <c r="Z21" i="1"/>
  <c r="Z24" i="1"/>
  <c r="AB25" i="1"/>
  <c r="T18" i="1"/>
  <c r="AD15" i="1"/>
  <c r="P18" i="1"/>
  <c r="AC19" i="1"/>
  <c r="AA20" i="1"/>
  <c r="Y21" i="1"/>
  <c r="Y24" i="1"/>
  <c r="AA25" i="1"/>
  <c r="J27" i="1"/>
  <c r="AC15" i="1"/>
  <c r="O18" i="1"/>
  <c r="AB19" i="1"/>
  <c r="Z20" i="1"/>
  <c r="X21" i="1"/>
  <c r="AD23" i="1"/>
  <c r="X24" i="1"/>
  <c r="Z25" i="1"/>
  <c r="I27" i="1"/>
  <c r="AB15" i="1"/>
  <c r="AD17" i="1"/>
  <c r="AA19" i="1"/>
  <c r="W21" i="1"/>
  <c r="AC23" i="1"/>
  <c r="W24" i="1"/>
  <c r="Y25" i="1"/>
  <c r="H27" i="1"/>
  <c r="AA15" i="1"/>
  <c r="AC17" i="1"/>
  <c r="AD18" i="1"/>
  <c r="Z19" i="1"/>
  <c r="AH20" i="1"/>
  <c r="V21" i="1"/>
  <c r="AB23" i="1"/>
  <c r="X25" i="1"/>
  <c r="G27" i="1"/>
  <c r="Z15" i="1"/>
  <c r="AB17" i="1"/>
  <c r="AC18" i="1"/>
  <c r="Y19" i="1"/>
  <c r="AG20" i="1"/>
  <c r="W25" i="1"/>
  <c r="F27" i="1"/>
  <c r="Y15" i="1"/>
  <c r="AA17" i="1"/>
  <c r="AB18" i="1"/>
  <c r="X19" i="1"/>
  <c r="AF20" i="1"/>
  <c r="J25" i="1"/>
  <c r="V25" i="1"/>
  <c r="E27" i="1"/>
  <c r="Z17" i="1"/>
  <c r="Z18" i="1"/>
  <c r="W19" i="1"/>
  <c r="J22" i="1"/>
  <c r="AC13" i="1"/>
  <c r="AD10" i="1"/>
  <c r="J15" i="1"/>
  <c r="Q12" i="1"/>
  <c r="I15" i="1"/>
  <c r="AC10" i="1"/>
  <c r="AC12" i="1"/>
  <c r="AD7" i="1"/>
  <c r="AA10" i="1"/>
  <c r="AB12" i="1"/>
  <c r="J14" i="1"/>
  <c r="H15" i="1"/>
  <c r="AB10" i="1"/>
  <c r="AC7" i="1"/>
  <c r="Z10" i="1"/>
  <c r="AA12" i="1"/>
  <c r="F14" i="1"/>
  <c r="G15" i="1"/>
  <c r="AB13" i="1"/>
  <c r="AD12" i="1"/>
  <c r="AB7" i="1"/>
  <c r="Y10" i="1"/>
  <c r="Z12" i="1"/>
  <c r="E14" i="1"/>
  <c r="F15" i="1"/>
  <c r="Y12" i="1"/>
  <c r="E15" i="1"/>
  <c r="V10" i="1"/>
  <c r="W12" i="1"/>
  <c r="S14" i="1"/>
  <c r="T15" i="1"/>
  <c r="V12" i="1"/>
  <c r="R14" i="1"/>
  <c r="S15" i="1"/>
  <c r="Q14" i="1"/>
  <c r="R15" i="1"/>
  <c r="P14" i="1"/>
  <c r="Q15" i="1"/>
  <c r="O14" i="1"/>
  <c r="P15" i="1"/>
  <c r="O15" i="1"/>
  <c r="AD11" i="1"/>
  <c r="T13" i="1"/>
  <c r="AD14" i="1"/>
  <c r="T9" i="1"/>
  <c r="AB11" i="1"/>
  <c r="R13" i="1"/>
  <c r="AC14" i="1"/>
  <c r="AC11" i="1"/>
  <c r="S13" i="1"/>
  <c r="S9" i="1"/>
  <c r="AA11" i="1"/>
  <c r="Q13" i="1"/>
  <c r="AB14" i="1"/>
  <c r="P13" i="1"/>
  <c r="AA14" i="1"/>
  <c r="R9" i="1"/>
  <c r="Q9" i="1"/>
  <c r="O13" i="1"/>
  <c r="Z14" i="1"/>
  <c r="N13" i="1"/>
  <c r="Y14" i="1"/>
  <c r="T12" i="1"/>
  <c r="M13" i="1"/>
  <c r="X14" i="1"/>
  <c r="S12" i="1"/>
  <c r="W14" i="1"/>
  <c r="AH798" i="1"/>
  <c r="AG798" i="1"/>
  <c r="AF798" i="1"/>
  <c r="Y798" i="1"/>
  <c r="X798" i="1"/>
  <c r="W798" i="1"/>
  <c r="V798" i="1"/>
  <c r="Q798" i="1"/>
  <c r="P798" i="1"/>
  <c r="O798" i="1"/>
  <c r="N798" i="1"/>
  <c r="M798" i="1"/>
  <c r="L798" i="1"/>
  <c r="D798" i="1"/>
  <c r="C798" i="1"/>
  <c r="B798" i="1"/>
  <c r="AG797" i="1"/>
  <c r="AF797" i="1"/>
  <c r="Y797" i="1"/>
  <c r="X797" i="1"/>
  <c r="W797" i="1"/>
  <c r="V797" i="1"/>
  <c r="P797" i="1"/>
  <c r="O797" i="1"/>
  <c r="N797" i="1"/>
  <c r="M797" i="1"/>
  <c r="L797" i="1"/>
  <c r="D797" i="1"/>
  <c r="C797" i="1"/>
  <c r="B797" i="1"/>
  <c r="AH796" i="1"/>
  <c r="AG796" i="1"/>
  <c r="AF796" i="1"/>
  <c r="X796" i="1"/>
  <c r="W796" i="1"/>
  <c r="V796" i="1"/>
  <c r="T796" i="1"/>
  <c r="S796" i="1"/>
  <c r="R796" i="1"/>
  <c r="Q796" i="1"/>
  <c r="P796" i="1"/>
  <c r="O796" i="1"/>
  <c r="N796" i="1"/>
  <c r="M796" i="1"/>
  <c r="L796" i="1"/>
  <c r="G796" i="1"/>
  <c r="F796" i="1"/>
  <c r="E796" i="1"/>
  <c r="D796" i="1"/>
  <c r="C796" i="1"/>
  <c r="B796" i="1"/>
  <c r="AG795" i="1"/>
  <c r="AF795" i="1"/>
  <c r="W795" i="1"/>
  <c r="V795" i="1"/>
  <c r="N795" i="1"/>
  <c r="M795" i="1"/>
  <c r="L795" i="1"/>
  <c r="F795" i="1"/>
  <c r="E795" i="1"/>
  <c r="D795" i="1"/>
  <c r="C795" i="1"/>
  <c r="B795" i="1"/>
  <c r="AH794" i="1"/>
  <c r="AG794" i="1"/>
  <c r="AF794" i="1"/>
  <c r="AA794" i="1"/>
  <c r="Z794" i="1"/>
  <c r="Y794" i="1"/>
  <c r="X794" i="1"/>
  <c r="W794" i="1"/>
  <c r="V794" i="1"/>
  <c r="O794" i="1"/>
  <c r="N794" i="1"/>
  <c r="M794" i="1"/>
  <c r="L794" i="1"/>
  <c r="H794" i="1"/>
  <c r="G794" i="1"/>
  <c r="F794" i="1"/>
  <c r="E794" i="1"/>
  <c r="D794" i="1"/>
  <c r="C794" i="1"/>
  <c r="B794" i="1"/>
  <c r="AH793" i="1"/>
  <c r="AG793" i="1"/>
  <c r="AF793" i="1"/>
  <c r="AC793" i="1"/>
  <c r="AB793" i="1"/>
  <c r="AA793" i="1"/>
  <c r="Z793" i="1"/>
  <c r="Y793" i="1"/>
  <c r="X793" i="1"/>
  <c r="W793" i="1"/>
  <c r="V793" i="1"/>
  <c r="M793" i="1"/>
  <c r="L793" i="1"/>
  <c r="G793" i="1"/>
  <c r="F793" i="1"/>
  <c r="E793" i="1"/>
  <c r="D793" i="1"/>
  <c r="C793" i="1"/>
  <c r="B793" i="1"/>
  <c r="AG792" i="1"/>
  <c r="AF792" i="1"/>
  <c r="Z792" i="1"/>
  <c r="Y792" i="1"/>
  <c r="X792" i="1"/>
  <c r="W792" i="1"/>
  <c r="V792" i="1"/>
  <c r="N792" i="1"/>
  <c r="M792" i="1"/>
  <c r="L792" i="1"/>
  <c r="C792" i="1"/>
  <c r="B792" i="1"/>
  <c r="AG791" i="1"/>
  <c r="AF791" i="1"/>
  <c r="AB791" i="1"/>
  <c r="AA791" i="1"/>
  <c r="Z791" i="1"/>
  <c r="Y791" i="1"/>
  <c r="X791" i="1"/>
  <c r="W791" i="1"/>
  <c r="V791" i="1"/>
  <c r="P791" i="1"/>
  <c r="O791" i="1"/>
  <c r="N791" i="1"/>
  <c r="M791" i="1"/>
  <c r="L791" i="1"/>
  <c r="J791" i="1"/>
  <c r="I791" i="1"/>
  <c r="H791" i="1"/>
  <c r="G791" i="1"/>
  <c r="F791" i="1"/>
  <c r="E791" i="1"/>
  <c r="D791" i="1"/>
  <c r="C791" i="1"/>
  <c r="B791" i="1"/>
  <c r="AH790" i="1"/>
  <c r="AG790" i="1"/>
  <c r="AF790" i="1"/>
  <c r="Y790" i="1"/>
  <c r="X790" i="1"/>
  <c r="W790" i="1"/>
  <c r="V790" i="1"/>
  <c r="P790" i="1"/>
  <c r="O790" i="1"/>
  <c r="N790" i="1"/>
  <c r="M790" i="1"/>
  <c r="L790" i="1"/>
  <c r="J790" i="1"/>
  <c r="I790" i="1"/>
  <c r="H790" i="1"/>
  <c r="G790" i="1"/>
  <c r="F790" i="1"/>
  <c r="E790" i="1"/>
  <c r="D790" i="1"/>
  <c r="C790" i="1"/>
  <c r="B790" i="1"/>
  <c r="AH789" i="1"/>
  <c r="AG789" i="1"/>
  <c r="AF789" i="1"/>
  <c r="W789" i="1"/>
  <c r="V789" i="1"/>
  <c r="O789" i="1"/>
  <c r="N789" i="1"/>
  <c r="M789" i="1"/>
  <c r="L789" i="1"/>
  <c r="H789" i="1"/>
  <c r="G789" i="1"/>
  <c r="F789" i="1"/>
  <c r="E789" i="1"/>
  <c r="D789" i="1"/>
  <c r="C789" i="1"/>
  <c r="B789" i="1"/>
  <c r="AH788" i="1"/>
  <c r="AG788" i="1"/>
  <c r="AF788" i="1"/>
  <c r="Z788" i="1"/>
  <c r="Y788" i="1"/>
  <c r="X788" i="1"/>
  <c r="W788" i="1"/>
  <c r="V788" i="1"/>
  <c r="M788" i="1"/>
  <c r="L788" i="1"/>
  <c r="F788" i="1"/>
  <c r="E788" i="1"/>
  <c r="D788" i="1"/>
  <c r="C788" i="1"/>
  <c r="B788" i="1"/>
  <c r="AH787" i="1"/>
  <c r="AG787" i="1"/>
  <c r="AF787" i="1"/>
  <c r="X787" i="1"/>
  <c r="W787" i="1"/>
  <c r="V787" i="1"/>
  <c r="N787" i="1"/>
  <c r="M787" i="1"/>
  <c r="L787" i="1"/>
  <c r="F787" i="1"/>
  <c r="E787" i="1"/>
  <c r="D787" i="1"/>
  <c r="C787" i="1"/>
  <c r="B787" i="1"/>
  <c r="AH786" i="1"/>
  <c r="AG786" i="1"/>
  <c r="AF786" i="1"/>
  <c r="R786" i="1"/>
  <c r="Q786" i="1"/>
  <c r="O786" i="1"/>
  <c r="N786" i="1"/>
  <c r="M786" i="1"/>
  <c r="L786" i="1"/>
  <c r="G786" i="1"/>
  <c r="F786" i="1"/>
  <c r="E786" i="1"/>
  <c r="D786" i="1"/>
  <c r="C786" i="1"/>
  <c r="B786" i="1"/>
  <c r="AH785" i="1"/>
  <c r="AG785" i="1"/>
  <c r="AF785" i="1"/>
  <c r="AB785" i="1"/>
  <c r="AA785" i="1"/>
  <c r="Z785" i="1"/>
  <c r="Y785" i="1"/>
  <c r="X785" i="1"/>
  <c r="W785" i="1"/>
  <c r="V785" i="1"/>
  <c r="Q785" i="1"/>
  <c r="P785" i="1"/>
  <c r="O785" i="1"/>
  <c r="N785" i="1"/>
  <c r="M785" i="1"/>
  <c r="L785" i="1"/>
  <c r="G785" i="1"/>
  <c r="F785" i="1"/>
  <c r="E785" i="1"/>
  <c r="D785" i="1"/>
  <c r="C785" i="1"/>
  <c r="B785" i="1"/>
  <c r="AF784" i="1"/>
  <c r="W784" i="1"/>
  <c r="V784" i="1"/>
  <c r="R784" i="1"/>
  <c r="Q784" i="1"/>
  <c r="P784" i="1"/>
  <c r="O784" i="1"/>
  <c r="N784" i="1"/>
  <c r="M784" i="1"/>
  <c r="L784" i="1"/>
  <c r="H784" i="1"/>
  <c r="G784" i="1"/>
  <c r="F784" i="1"/>
  <c r="E784" i="1"/>
  <c r="D784" i="1"/>
  <c r="C784" i="1"/>
  <c r="B784" i="1"/>
  <c r="AH783" i="1"/>
  <c r="AG783" i="1"/>
  <c r="AF783" i="1"/>
  <c r="X783" i="1"/>
  <c r="W783" i="1"/>
  <c r="V783" i="1"/>
  <c r="T783" i="1"/>
  <c r="S783" i="1"/>
  <c r="R783" i="1"/>
  <c r="Q783" i="1"/>
  <c r="P783" i="1"/>
  <c r="O783" i="1"/>
  <c r="N783" i="1"/>
  <c r="M783" i="1"/>
  <c r="L783" i="1"/>
  <c r="G783" i="1"/>
  <c r="F783" i="1"/>
  <c r="E783" i="1"/>
  <c r="D783" i="1"/>
  <c r="C783" i="1"/>
  <c r="B783" i="1"/>
  <c r="AH782" i="1"/>
  <c r="AG782" i="1"/>
  <c r="AF782" i="1"/>
  <c r="Y782" i="1"/>
  <c r="X782" i="1"/>
  <c r="W782" i="1"/>
  <c r="V782" i="1"/>
  <c r="Q782" i="1"/>
  <c r="P782" i="1"/>
  <c r="O782" i="1"/>
  <c r="N782" i="1"/>
  <c r="M782" i="1"/>
  <c r="L782" i="1"/>
  <c r="H782" i="1"/>
  <c r="G782" i="1"/>
  <c r="F782" i="1"/>
  <c r="E782" i="1"/>
  <c r="D782" i="1"/>
  <c r="C782" i="1"/>
  <c r="B782" i="1"/>
  <c r="AH781" i="1"/>
  <c r="AG781" i="1"/>
  <c r="AF781" i="1"/>
  <c r="Z781" i="1"/>
  <c r="Y781" i="1"/>
  <c r="X781" i="1"/>
  <c r="W781" i="1"/>
  <c r="V781" i="1"/>
  <c r="P781" i="1"/>
  <c r="O781" i="1"/>
  <c r="N781" i="1"/>
  <c r="M781" i="1"/>
  <c r="L781" i="1"/>
  <c r="I781" i="1"/>
  <c r="H781" i="1"/>
  <c r="G781" i="1"/>
  <c r="F781" i="1"/>
  <c r="E781" i="1"/>
  <c r="D781" i="1"/>
  <c r="C781" i="1"/>
  <c r="B781" i="1"/>
  <c r="AG780" i="1"/>
  <c r="AF780" i="1"/>
  <c r="X780" i="1"/>
  <c r="V780" i="1"/>
  <c r="N780" i="1"/>
  <c r="M780" i="1"/>
  <c r="L780" i="1"/>
  <c r="G780" i="1"/>
  <c r="F780" i="1"/>
  <c r="E780" i="1"/>
  <c r="D780" i="1"/>
  <c r="C780" i="1"/>
  <c r="B780" i="1"/>
  <c r="AH779" i="1"/>
  <c r="AG779" i="1"/>
  <c r="AF779" i="1"/>
  <c r="AA779" i="1"/>
  <c r="Z779" i="1"/>
  <c r="Y779" i="1"/>
  <c r="X779" i="1"/>
  <c r="W779" i="1"/>
  <c r="V779" i="1"/>
  <c r="Q779" i="1"/>
  <c r="P779" i="1"/>
  <c r="O779" i="1"/>
  <c r="N779" i="1"/>
  <c r="M779" i="1"/>
  <c r="L779" i="1"/>
  <c r="C779" i="1"/>
  <c r="B779" i="1"/>
  <c r="AG778" i="1"/>
  <c r="AF778" i="1"/>
  <c r="X778" i="1"/>
  <c r="W778" i="1"/>
  <c r="V778" i="1"/>
  <c r="T778" i="1"/>
  <c r="S778" i="1"/>
  <c r="Q778" i="1"/>
  <c r="O778" i="1"/>
  <c r="N778" i="1"/>
  <c r="M778" i="1"/>
  <c r="L778" i="1"/>
  <c r="I778" i="1"/>
  <c r="H778" i="1"/>
  <c r="G778" i="1"/>
  <c r="F778" i="1"/>
  <c r="E778" i="1"/>
  <c r="D778" i="1"/>
  <c r="C778" i="1"/>
  <c r="B778" i="1"/>
  <c r="AH777" i="1"/>
  <c r="AG777" i="1"/>
  <c r="AF777" i="1"/>
  <c r="Z777" i="1"/>
  <c r="Y777" i="1"/>
  <c r="X777" i="1"/>
  <c r="W777" i="1"/>
  <c r="V777" i="1"/>
  <c r="O777" i="1"/>
  <c r="N777" i="1"/>
  <c r="M777" i="1"/>
  <c r="L777" i="1"/>
  <c r="H777" i="1"/>
  <c r="G777" i="1"/>
  <c r="F777" i="1"/>
  <c r="E777" i="1"/>
  <c r="D777" i="1"/>
  <c r="C777" i="1"/>
  <c r="B777" i="1"/>
  <c r="AH776" i="1"/>
  <c r="AG776" i="1"/>
  <c r="AF776" i="1"/>
  <c r="AD776" i="1"/>
  <c r="AC776" i="1"/>
  <c r="AB776" i="1"/>
  <c r="AA776" i="1"/>
  <c r="Z776" i="1"/>
  <c r="Y776" i="1"/>
  <c r="X776" i="1"/>
  <c r="W776" i="1"/>
  <c r="V776" i="1"/>
  <c r="L776" i="1"/>
  <c r="G776" i="1"/>
  <c r="F776" i="1"/>
  <c r="E776" i="1"/>
  <c r="D776" i="1"/>
  <c r="C776" i="1"/>
  <c r="B776" i="1"/>
  <c r="AH775" i="1"/>
  <c r="AG775" i="1"/>
  <c r="AF775" i="1"/>
  <c r="X775" i="1"/>
  <c r="W775" i="1"/>
  <c r="V775" i="1"/>
  <c r="P775" i="1"/>
  <c r="O775" i="1"/>
  <c r="N775" i="1"/>
  <c r="M775" i="1"/>
  <c r="L775" i="1"/>
  <c r="D775" i="1"/>
  <c r="C775" i="1"/>
  <c r="AH774" i="1"/>
  <c r="AG774" i="1"/>
  <c r="AF774" i="1"/>
  <c r="Z774" i="1"/>
  <c r="Y774" i="1"/>
  <c r="X774" i="1"/>
  <c r="W774" i="1"/>
  <c r="V774" i="1"/>
  <c r="O774" i="1"/>
  <c r="N774" i="1"/>
  <c r="M774" i="1"/>
  <c r="L774" i="1"/>
  <c r="H774" i="1"/>
  <c r="G774" i="1"/>
  <c r="F774" i="1"/>
  <c r="E774" i="1"/>
  <c r="D774" i="1"/>
  <c r="C774" i="1"/>
  <c r="B774" i="1"/>
  <c r="AH773" i="1"/>
  <c r="AG773" i="1"/>
  <c r="AF773" i="1"/>
  <c r="Y773" i="1"/>
  <c r="X773" i="1"/>
  <c r="W773" i="1"/>
  <c r="V773" i="1"/>
  <c r="Q773" i="1"/>
  <c r="P773" i="1"/>
  <c r="O773" i="1"/>
  <c r="N773" i="1"/>
  <c r="M773" i="1"/>
  <c r="L773" i="1"/>
  <c r="C773" i="1"/>
  <c r="B773" i="1"/>
  <c r="AH772" i="1"/>
  <c r="AG772" i="1"/>
  <c r="AF772" i="1"/>
  <c r="X772" i="1"/>
  <c r="W772" i="1"/>
  <c r="V772" i="1"/>
  <c r="O772" i="1"/>
  <c r="N772" i="1"/>
  <c r="M772" i="1"/>
  <c r="L772" i="1"/>
  <c r="G772" i="1"/>
  <c r="F772" i="1"/>
  <c r="E772" i="1"/>
  <c r="D772" i="1"/>
  <c r="C772" i="1"/>
  <c r="B772" i="1"/>
  <c r="AH771" i="1"/>
  <c r="AG771" i="1"/>
  <c r="AF771" i="1"/>
  <c r="Y771" i="1"/>
  <c r="X771" i="1"/>
  <c r="W771" i="1"/>
  <c r="V771" i="1"/>
  <c r="P771" i="1"/>
  <c r="O771" i="1"/>
  <c r="N771" i="1"/>
  <c r="M771" i="1"/>
  <c r="L771" i="1"/>
  <c r="D771" i="1"/>
  <c r="C771" i="1"/>
  <c r="B771" i="1"/>
  <c r="AG770" i="1"/>
  <c r="AF770" i="1"/>
  <c r="X770" i="1"/>
  <c r="W770" i="1"/>
  <c r="V770" i="1"/>
  <c r="M770" i="1"/>
  <c r="L770" i="1"/>
  <c r="G770" i="1"/>
  <c r="F770" i="1"/>
  <c r="E770" i="1"/>
  <c r="D770" i="1"/>
  <c r="C770" i="1"/>
  <c r="B770" i="1"/>
  <c r="AG769" i="1"/>
  <c r="AF769" i="1"/>
  <c r="Y769" i="1"/>
  <c r="X769" i="1"/>
  <c r="W769" i="1"/>
  <c r="V769" i="1"/>
  <c r="O769" i="1"/>
  <c r="N769" i="1"/>
  <c r="M769" i="1"/>
  <c r="L769" i="1"/>
  <c r="H769" i="1"/>
  <c r="G769" i="1"/>
  <c r="F769" i="1"/>
  <c r="E769" i="1"/>
  <c r="D769" i="1"/>
  <c r="C769" i="1"/>
  <c r="B769" i="1"/>
  <c r="AH768" i="1"/>
  <c r="AG768" i="1"/>
  <c r="AF768" i="1"/>
  <c r="W768" i="1"/>
  <c r="V768" i="1"/>
  <c r="O768" i="1"/>
  <c r="N768" i="1"/>
  <c r="M768" i="1"/>
  <c r="L768" i="1"/>
  <c r="C768" i="1"/>
  <c r="B768" i="1"/>
  <c r="AH767" i="1"/>
  <c r="AG767" i="1"/>
  <c r="AF767" i="1"/>
  <c r="Z767" i="1"/>
  <c r="Y767" i="1"/>
  <c r="X767" i="1"/>
  <c r="W767" i="1"/>
  <c r="V767" i="1"/>
  <c r="Q767" i="1"/>
  <c r="P767" i="1"/>
  <c r="O767" i="1"/>
  <c r="N767" i="1"/>
  <c r="M767" i="1"/>
  <c r="L767" i="1"/>
  <c r="G767" i="1"/>
  <c r="F767" i="1"/>
  <c r="E767" i="1"/>
  <c r="D767" i="1"/>
  <c r="C767" i="1"/>
  <c r="B767" i="1"/>
  <c r="AH766" i="1"/>
  <c r="AG766" i="1"/>
  <c r="AF766" i="1"/>
  <c r="Z766" i="1"/>
  <c r="Y766" i="1"/>
  <c r="X766" i="1"/>
  <c r="W766" i="1"/>
  <c r="V766" i="1"/>
  <c r="P766" i="1"/>
  <c r="O766" i="1"/>
  <c r="N766" i="1"/>
  <c r="M766" i="1"/>
  <c r="L766" i="1"/>
  <c r="F766" i="1"/>
  <c r="E766" i="1"/>
  <c r="D766" i="1"/>
  <c r="C766" i="1"/>
  <c r="B766" i="1"/>
  <c r="AH765" i="1"/>
  <c r="AG765" i="1"/>
  <c r="AF765" i="1"/>
  <c r="W765" i="1"/>
  <c r="V765" i="1"/>
  <c r="N765" i="1"/>
  <c r="M765" i="1"/>
  <c r="L765" i="1"/>
  <c r="F765" i="1"/>
  <c r="E765" i="1"/>
  <c r="D765" i="1"/>
  <c r="C765" i="1"/>
  <c r="B765" i="1"/>
  <c r="AH764" i="1"/>
  <c r="AG764" i="1"/>
  <c r="AF764" i="1"/>
  <c r="V764" i="1"/>
  <c r="M764" i="1"/>
  <c r="L764" i="1"/>
  <c r="D764" i="1"/>
  <c r="C764" i="1"/>
  <c r="B764" i="1"/>
  <c r="AH763" i="1"/>
  <c r="AG763" i="1"/>
  <c r="AF763" i="1"/>
  <c r="Y763" i="1"/>
  <c r="X763" i="1"/>
  <c r="W763" i="1"/>
  <c r="V763" i="1"/>
  <c r="N763" i="1"/>
  <c r="M763" i="1"/>
  <c r="L763" i="1"/>
  <c r="G763" i="1"/>
  <c r="F763" i="1"/>
  <c r="E763" i="1"/>
  <c r="D763" i="1"/>
  <c r="C763" i="1"/>
  <c r="B763" i="1"/>
  <c r="AH762" i="1"/>
  <c r="AG762" i="1"/>
  <c r="AF762" i="1"/>
  <c r="Y762" i="1"/>
  <c r="X762" i="1"/>
  <c r="W762" i="1"/>
  <c r="V762" i="1"/>
  <c r="P762" i="1"/>
  <c r="O762" i="1"/>
  <c r="N762" i="1"/>
  <c r="M762" i="1"/>
  <c r="L762" i="1"/>
  <c r="D762" i="1"/>
  <c r="C762" i="1"/>
  <c r="B762" i="1"/>
  <c r="AH761" i="1"/>
  <c r="AG761" i="1"/>
  <c r="AF761" i="1"/>
  <c r="AA761" i="1"/>
  <c r="Z761" i="1"/>
  <c r="Y761" i="1"/>
  <c r="X761" i="1"/>
  <c r="W761" i="1"/>
  <c r="V761" i="1"/>
  <c r="Q761" i="1"/>
  <c r="P761" i="1"/>
  <c r="O761" i="1"/>
  <c r="N761" i="1"/>
  <c r="M761" i="1"/>
  <c r="L761" i="1"/>
  <c r="B761" i="1"/>
  <c r="AH760" i="1"/>
  <c r="AG760" i="1"/>
  <c r="AF760" i="1"/>
  <c r="AD760" i="1"/>
  <c r="AC760" i="1"/>
  <c r="AB760" i="1"/>
  <c r="AA760" i="1"/>
  <c r="Z760" i="1"/>
  <c r="Y760" i="1"/>
  <c r="X760" i="1"/>
  <c r="W760" i="1"/>
  <c r="V760" i="1"/>
  <c r="T760" i="1"/>
  <c r="S760" i="1"/>
  <c r="R760" i="1"/>
  <c r="Q760" i="1"/>
  <c r="P760" i="1"/>
  <c r="O760" i="1"/>
  <c r="N760" i="1"/>
  <c r="M760" i="1"/>
  <c r="L760" i="1"/>
  <c r="J760" i="1"/>
  <c r="I760" i="1"/>
  <c r="H760" i="1"/>
  <c r="G760" i="1"/>
  <c r="F760" i="1"/>
  <c r="E760" i="1"/>
  <c r="D760" i="1"/>
  <c r="C760" i="1"/>
  <c r="B760" i="1"/>
  <c r="AG759" i="1"/>
  <c r="AF759" i="1"/>
  <c r="V759" i="1"/>
  <c r="M759" i="1"/>
  <c r="L759" i="1"/>
  <c r="F759" i="1"/>
  <c r="E759" i="1"/>
  <c r="D759" i="1"/>
  <c r="C759" i="1"/>
  <c r="B759" i="1"/>
  <c r="AH758" i="1"/>
  <c r="AG758" i="1"/>
  <c r="AF758" i="1"/>
  <c r="AC758" i="1"/>
  <c r="AB758" i="1"/>
  <c r="AA758" i="1"/>
  <c r="Z758" i="1"/>
  <c r="Y758" i="1"/>
  <c r="X758" i="1"/>
  <c r="W758" i="1"/>
  <c r="V758" i="1"/>
  <c r="O758" i="1"/>
  <c r="N758" i="1"/>
  <c r="M758" i="1"/>
  <c r="L758" i="1"/>
  <c r="H758" i="1"/>
  <c r="G758" i="1"/>
  <c r="C758" i="1"/>
  <c r="B758" i="1"/>
  <c r="AH757" i="1"/>
  <c r="AG757" i="1"/>
  <c r="AF757" i="1"/>
  <c r="X757" i="1"/>
  <c r="W757" i="1"/>
  <c r="V757" i="1"/>
  <c r="Q757" i="1"/>
  <c r="P757" i="1"/>
  <c r="O757" i="1"/>
  <c r="N757" i="1"/>
  <c r="M757" i="1"/>
  <c r="L757" i="1"/>
  <c r="I757" i="1"/>
  <c r="H757" i="1"/>
  <c r="G757" i="1"/>
  <c r="F757" i="1"/>
  <c r="E757" i="1"/>
  <c r="D757" i="1"/>
  <c r="C757" i="1"/>
  <c r="B757" i="1"/>
  <c r="AH756" i="1"/>
  <c r="AG756" i="1"/>
  <c r="AF756" i="1"/>
  <c r="Z756" i="1"/>
  <c r="Y756" i="1"/>
  <c r="X756" i="1"/>
  <c r="W756" i="1"/>
  <c r="V756" i="1"/>
  <c r="R756" i="1"/>
  <c r="Q756" i="1"/>
  <c r="P756" i="1"/>
  <c r="O756" i="1"/>
  <c r="N756" i="1"/>
  <c r="M756" i="1"/>
  <c r="L756" i="1"/>
  <c r="D756" i="1"/>
  <c r="C756" i="1"/>
  <c r="B756" i="1"/>
  <c r="AF755" i="1"/>
  <c r="X755" i="1"/>
  <c r="W755" i="1"/>
  <c r="V755" i="1"/>
  <c r="M755" i="1"/>
  <c r="L755" i="1"/>
  <c r="D755" i="1"/>
  <c r="C755" i="1"/>
  <c r="B755" i="1"/>
  <c r="AH754" i="1"/>
  <c r="AG754" i="1"/>
  <c r="AF754" i="1"/>
  <c r="V754" i="1"/>
  <c r="P754" i="1"/>
  <c r="O754" i="1"/>
  <c r="N754" i="1"/>
  <c r="M754" i="1"/>
  <c r="L754" i="1"/>
  <c r="D754" i="1"/>
  <c r="C754" i="1"/>
  <c r="B754" i="1"/>
  <c r="AH753" i="1"/>
  <c r="AG753" i="1"/>
  <c r="AF753" i="1"/>
  <c r="Z753" i="1"/>
  <c r="Y753" i="1"/>
  <c r="X753" i="1"/>
  <c r="V753" i="1"/>
  <c r="R753" i="1"/>
  <c r="Q753" i="1"/>
  <c r="P753" i="1"/>
  <c r="O753" i="1"/>
  <c r="N753" i="1"/>
  <c r="M753" i="1"/>
  <c r="L753" i="1"/>
  <c r="F753" i="1"/>
  <c r="E753" i="1"/>
  <c r="D753" i="1"/>
  <c r="C753" i="1"/>
  <c r="B753" i="1"/>
  <c r="AH752" i="1"/>
  <c r="AG752" i="1"/>
  <c r="AF752" i="1"/>
  <c r="X752" i="1"/>
  <c r="W752" i="1"/>
  <c r="V752" i="1"/>
  <c r="N752" i="1"/>
  <c r="M752" i="1"/>
  <c r="L752" i="1"/>
  <c r="F752" i="1"/>
  <c r="E752" i="1"/>
  <c r="D752" i="1"/>
  <c r="C752" i="1"/>
  <c r="B752" i="1"/>
  <c r="AH751" i="1"/>
  <c r="AG751" i="1"/>
  <c r="AF751" i="1"/>
  <c r="Y751" i="1"/>
  <c r="X751" i="1"/>
  <c r="W751" i="1"/>
  <c r="V751" i="1"/>
  <c r="R751" i="1"/>
  <c r="M751" i="1"/>
  <c r="L751" i="1"/>
  <c r="H751" i="1"/>
  <c r="G751" i="1"/>
  <c r="F751" i="1"/>
  <c r="E751" i="1"/>
  <c r="D751" i="1"/>
  <c r="C751" i="1"/>
  <c r="B751" i="1"/>
  <c r="AG750" i="1"/>
  <c r="AF750" i="1"/>
  <c r="X750" i="1"/>
  <c r="W750" i="1"/>
  <c r="V750" i="1"/>
  <c r="Q750" i="1"/>
  <c r="P750" i="1"/>
  <c r="O750" i="1"/>
  <c r="N750" i="1"/>
  <c r="M750" i="1"/>
  <c r="L750" i="1"/>
  <c r="H750" i="1"/>
  <c r="G750" i="1"/>
  <c r="F750" i="1"/>
  <c r="E750" i="1"/>
  <c r="D750" i="1"/>
  <c r="C750" i="1"/>
  <c r="B750" i="1"/>
  <c r="AH749" i="1"/>
  <c r="AG749" i="1"/>
  <c r="AF749" i="1"/>
  <c r="AA749" i="1"/>
  <c r="Z749" i="1"/>
  <c r="Y749" i="1"/>
  <c r="X749" i="1"/>
  <c r="W749" i="1"/>
  <c r="V749" i="1"/>
  <c r="T749" i="1"/>
  <c r="S749" i="1"/>
  <c r="R749" i="1"/>
  <c r="Q749" i="1"/>
  <c r="P749" i="1"/>
  <c r="O749" i="1"/>
  <c r="N749" i="1"/>
  <c r="M749" i="1"/>
  <c r="L749" i="1"/>
  <c r="H749" i="1"/>
  <c r="G749" i="1"/>
  <c r="F749" i="1"/>
  <c r="E749" i="1"/>
  <c r="D749" i="1"/>
  <c r="C749" i="1"/>
  <c r="B749" i="1"/>
  <c r="AH748" i="1"/>
  <c r="AG748" i="1"/>
  <c r="AF748" i="1"/>
  <c r="Z748" i="1"/>
  <c r="Y748" i="1"/>
  <c r="X748" i="1"/>
  <c r="W748" i="1"/>
  <c r="V748" i="1"/>
  <c r="M748" i="1"/>
  <c r="L748" i="1"/>
  <c r="D748" i="1"/>
  <c r="C748" i="1"/>
  <c r="B748" i="1"/>
  <c r="AG747" i="1"/>
  <c r="AF747" i="1"/>
  <c r="Y747" i="1"/>
  <c r="X747" i="1"/>
  <c r="W747" i="1"/>
  <c r="V747" i="1"/>
  <c r="R747" i="1"/>
  <c r="Q747" i="1"/>
  <c r="P747" i="1"/>
  <c r="O747" i="1"/>
  <c r="N747" i="1"/>
  <c r="M747" i="1"/>
  <c r="L747" i="1"/>
  <c r="D747" i="1"/>
  <c r="C747" i="1"/>
  <c r="B747" i="1"/>
  <c r="AH746" i="1"/>
  <c r="AG746" i="1"/>
  <c r="AF746" i="1"/>
  <c r="V746" i="1"/>
  <c r="P746" i="1"/>
  <c r="O746" i="1"/>
  <c r="N746" i="1"/>
  <c r="M746" i="1"/>
  <c r="L746" i="1"/>
  <c r="F746" i="1"/>
  <c r="E746" i="1"/>
  <c r="D746" i="1"/>
  <c r="C746" i="1"/>
  <c r="B746" i="1"/>
  <c r="AH745" i="1"/>
  <c r="AG745" i="1"/>
  <c r="AF745" i="1"/>
  <c r="W745" i="1"/>
  <c r="V745" i="1"/>
  <c r="P745" i="1"/>
  <c r="O745" i="1"/>
  <c r="N745" i="1"/>
  <c r="M745" i="1"/>
  <c r="L745" i="1"/>
  <c r="C745" i="1"/>
  <c r="B745" i="1"/>
  <c r="AH744" i="1"/>
  <c r="AG744" i="1"/>
  <c r="AF744" i="1"/>
  <c r="AA744" i="1"/>
  <c r="Z744" i="1"/>
  <c r="Y744" i="1"/>
  <c r="X744" i="1"/>
  <c r="W744" i="1"/>
  <c r="V744" i="1"/>
  <c r="P744" i="1"/>
  <c r="O744" i="1"/>
  <c r="N744" i="1"/>
  <c r="M744" i="1"/>
  <c r="L744" i="1"/>
  <c r="F744" i="1"/>
  <c r="E744" i="1"/>
  <c r="D744" i="1"/>
  <c r="C744" i="1"/>
  <c r="B744" i="1"/>
  <c r="AH743" i="1"/>
  <c r="AG743" i="1"/>
  <c r="AF743" i="1"/>
  <c r="W743" i="1"/>
  <c r="V743" i="1"/>
  <c r="P743" i="1"/>
  <c r="O743" i="1"/>
  <c r="N743" i="1"/>
  <c r="M743" i="1"/>
  <c r="L743" i="1"/>
  <c r="D743" i="1"/>
  <c r="C743" i="1"/>
  <c r="B743" i="1"/>
  <c r="AH742" i="1"/>
  <c r="AG742" i="1"/>
  <c r="AF742" i="1"/>
  <c r="V742" i="1"/>
  <c r="O742" i="1"/>
  <c r="N742" i="1"/>
  <c r="M742" i="1"/>
  <c r="L742" i="1"/>
  <c r="G742" i="1"/>
  <c r="F742" i="1"/>
  <c r="E742" i="1"/>
  <c r="D742" i="1"/>
  <c r="C742" i="1"/>
  <c r="B742" i="1"/>
  <c r="AH741" i="1"/>
  <c r="AG741" i="1"/>
  <c r="AF741" i="1"/>
  <c r="Y741" i="1"/>
  <c r="X741" i="1"/>
  <c r="W741" i="1"/>
  <c r="V741" i="1"/>
  <c r="P741" i="1"/>
  <c r="O741" i="1"/>
  <c r="N741" i="1"/>
  <c r="M741" i="1"/>
  <c r="L741" i="1"/>
  <c r="F741" i="1"/>
  <c r="E741" i="1"/>
  <c r="D741" i="1"/>
  <c r="C741" i="1"/>
  <c r="B741" i="1"/>
  <c r="AH740" i="1"/>
  <c r="AG740" i="1"/>
  <c r="AF740" i="1"/>
  <c r="AB740" i="1"/>
  <c r="Z740" i="1"/>
  <c r="Y740" i="1"/>
  <c r="X740" i="1"/>
  <c r="W740" i="1"/>
  <c r="V740" i="1"/>
  <c r="P740" i="1"/>
  <c r="O740" i="1"/>
  <c r="N740" i="1"/>
  <c r="M740" i="1"/>
  <c r="L740" i="1"/>
  <c r="G740" i="1"/>
  <c r="F740" i="1"/>
  <c r="B740" i="1"/>
  <c r="AH739" i="1"/>
  <c r="AG739" i="1"/>
  <c r="AF739" i="1"/>
  <c r="W739" i="1"/>
  <c r="V739" i="1"/>
  <c r="P739" i="1"/>
  <c r="O739" i="1"/>
  <c r="N739" i="1"/>
  <c r="M739" i="1"/>
  <c r="L739" i="1"/>
  <c r="D739" i="1"/>
  <c r="C739" i="1"/>
  <c r="B739" i="1"/>
  <c r="AH738" i="1"/>
  <c r="AG738" i="1"/>
  <c r="AF738" i="1"/>
  <c r="Y738" i="1"/>
  <c r="X738" i="1"/>
  <c r="W738" i="1"/>
  <c r="V738" i="1"/>
  <c r="Q738" i="1"/>
  <c r="P738" i="1"/>
  <c r="O738" i="1"/>
  <c r="N738" i="1"/>
  <c r="M738" i="1"/>
  <c r="L738" i="1"/>
  <c r="C738" i="1"/>
  <c r="B738" i="1"/>
  <c r="AG737" i="1"/>
  <c r="AF737" i="1"/>
  <c r="V737" i="1"/>
  <c r="N737" i="1"/>
  <c r="M737" i="1"/>
  <c r="L737" i="1"/>
  <c r="H737" i="1"/>
  <c r="G737" i="1"/>
  <c r="F737" i="1"/>
  <c r="E737" i="1"/>
  <c r="D737" i="1"/>
  <c r="C737" i="1"/>
  <c r="B737" i="1"/>
  <c r="AH736" i="1"/>
  <c r="AG736" i="1"/>
  <c r="AF736" i="1"/>
  <c r="X736" i="1"/>
  <c r="W736" i="1"/>
  <c r="V736" i="1"/>
  <c r="N736" i="1"/>
  <c r="M736" i="1"/>
  <c r="L736" i="1"/>
  <c r="H736" i="1"/>
  <c r="G736" i="1"/>
  <c r="F736" i="1"/>
  <c r="E736" i="1"/>
  <c r="D736" i="1"/>
  <c r="C736" i="1"/>
  <c r="B736" i="1"/>
  <c r="AH735" i="1"/>
  <c r="AG735" i="1"/>
  <c r="AF735" i="1"/>
  <c r="W735" i="1"/>
  <c r="V735" i="1"/>
  <c r="P735" i="1"/>
  <c r="O735" i="1"/>
  <c r="N735" i="1"/>
  <c r="M735" i="1"/>
  <c r="L735" i="1"/>
  <c r="H735" i="1"/>
  <c r="G735" i="1"/>
  <c r="F735" i="1"/>
  <c r="E735" i="1"/>
  <c r="D735" i="1"/>
  <c r="C735" i="1"/>
  <c r="B735" i="1"/>
  <c r="AH734" i="1"/>
  <c r="AG734" i="1"/>
  <c r="AF734" i="1"/>
  <c r="AD734" i="1"/>
  <c r="AC734" i="1"/>
  <c r="AB734" i="1"/>
  <c r="AA734" i="1"/>
  <c r="Z734" i="1"/>
  <c r="Y734" i="1"/>
  <c r="X734" i="1"/>
  <c r="W734" i="1"/>
  <c r="V734" i="1"/>
  <c r="M734" i="1"/>
  <c r="L734" i="1"/>
  <c r="H734" i="1"/>
  <c r="G734" i="1"/>
  <c r="F734" i="1"/>
  <c r="E734" i="1"/>
  <c r="D734" i="1"/>
  <c r="C734" i="1"/>
  <c r="B734" i="1"/>
  <c r="AH733" i="1"/>
  <c r="AG733" i="1"/>
  <c r="AF733" i="1"/>
  <c r="X733" i="1"/>
  <c r="W733" i="1"/>
  <c r="V733" i="1"/>
  <c r="P733" i="1"/>
  <c r="O733" i="1"/>
  <c r="N733" i="1"/>
  <c r="M733" i="1"/>
  <c r="L733" i="1"/>
  <c r="C733" i="1"/>
  <c r="B733" i="1"/>
  <c r="AH732" i="1"/>
  <c r="AG732" i="1"/>
  <c r="AF732" i="1"/>
  <c r="Y732" i="1"/>
  <c r="W732" i="1"/>
  <c r="V732" i="1"/>
  <c r="Q732" i="1"/>
  <c r="P732" i="1"/>
  <c r="O732" i="1"/>
  <c r="N732" i="1"/>
  <c r="M732" i="1"/>
  <c r="L732" i="1"/>
  <c r="C732" i="1"/>
  <c r="B732" i="1"/>
  <c r="AH731" i="1"/>
  <c r="AG731" i="1"/>
  <c r="AF731" i="1"/>
  <c r="W731" i="1"/>
  <c r="V731" i="1"/>
  <c r="O731" i="1"/>
  <c r="N731" i="1"/>
  <c r="M731" i="1"/>
  <c r="L731" i="1"/>
  <c r="D731" i="1"/>
  <c r="C731" i="1"/>
  <c r="B731" i="1"/>
  <c r="AH730" i="1"/>
  <c r="AG730" i="1"/>
  <c r="AF730" i="1"/>
  <c r="X730" i="1"/>
  <c r="W730" i="1"/>
  <c r="V730" i="1"/>
  <c r="Q730" i="1"/>
  <c r="P730" i="1"/>
  <c r="O730" i="1"/>
  <c r="N730" i="1"/>
  <c r="M730" i="1"/>
  <c r="L730" i="1"/>
  <c r="F730" i="1"/>
  <c r="E730" i="1"/>
  <c r="D730" i="1"/>
  <c r="C730" i="1"/>
  <c r="B730" i="1"/>
  <c r="AH729" i="1"/>
  <c r="AG729" i="1"/>
  <c r="AF729" i="1"/>
  <c r="AA729" i="1"/>
  <c r="Z729" i="1"/>
  <c r="Y729" i="1"/>
  <c r="X729" i="1"/>
  <c r="W729" i="1"/>
  <c r="V729" i="1"/>
  <c r="N729" i="1"/>
  <c r="M729" i="1"/>
  <c r="L729" i="1"/>
  <c r="G729" i="1"/>
  <c r="F729" i="1"/>
  <c r="E729" i="1"/>
  <c r="D729" i="1"/>
  <c r="C729" i="1"/>
  <c r="B729" i="1"/>
  <c r="AH728" i="1"/>
  <c r="AG728" i="1"/>
  <c r="AF728" i="1"/>
  <c r="W728" i="1"/>
  <c r="V728" i="1"/>
  <c r="R728" i="1"/>
  <c r="Q728" i="1"/>
  <c r="P728" i="1"/>
  <c r="O728" i="1"/>
  <c r="N728" i="1"/>
  <c r="M728" i="1"/>
  <c r="L728" i="1"/>
  <c r="H728" i="1"/>
  <c r="G728" i="1"/>
  <c r="F728" i="1"/>
  <c r="E728" i="1"/>
  <c r="D728" i="1"/>
  <c r="C728" i="1"/>
  <c r="B728" i="1"/>
  <c r="AH727" i="1"/>
  <c r="AG727" i="1"/>
  <c r="AF727" i="1"/>
  <c r="Y727" i="1"/>
  <c r="X727" i="1"/>
  <c r="W727" i="1"/>
  <c r="V727" i="1"/>
  <c r="O727" i="1"/>
  <c r="N727" i="1"/>
  <c r="M727" i="1"/>
  <c r="L727" i="1"/>
  <c r="H727" i="1"/>
  <c r="G727" i="1"/>
  <c r="F727" i="1"/>
  <c r="E727" i="1"/>
  <c r="D727" i="1"/>
  <c r="C727" i="1"/>
  <c r="B727" i="1"/>
  <c r="AH726" i="1"/>
  <c r="AG726" i="1"/>
  <c r="AF726" i="1"/>
  <c r="W726" i="1"/>
  <c r="V726" i="1"/>
  <c r="Q726" i="1"/>
  <c r="P726" i="1"/>
  <c r="O726" i="1"/>
  <c r="N726" i="1"/>
  <c r="M726" i="1"/>
  <c r="L726" i="1"/>
  <c r="H726" i="1"/>
  <c r="G726" i="1"/>
  <c r="F726" i="1"/>
  <c r="E726" i="1"/>
  <c r="D726" i="1"/>
  <c r="C726" i="1"/>
  <c r="B726" i="1"/>
  <c r="AH725" i="1"/>
  <c r="AG725" i="1"/>
  <c r="AF725" i="1"/>
  <c r="X725" i="1"/>
  <c r="W725" i="1"/>
  <c r="V725" i="1"/>
  <c r="N725" i="1"/>
  <c r="M725" i="1"/>
  <c r="L725" i="1"/>
  <c r="F725" i="1"/>
  <c r="E725" i="1"/>
  <c r="D725" i="1"/>
  <c r="C725" i="1"/>
  <c r="B725" i="1"/>
  <c r="AH724" i="1"/>
  <c r="AG724" i="1"/>
  <c r="AF724" i="1"/>
  <c r="W724" i="1"/>
  <c r="V724" i="1"/>
  <c r="N724" i="1"/>
  <c r="M724" i="1"/>
  <c r="L724" i="1"/>
  <c r="H724" i="1"/>
  <c r="G724" i="1"/>
  <c r="F724" i="1"/>
  <c r="E724" i="1"/>
  <c r="D724" i="1"/>
  <c r="C724" i="1"/>
  <c r="B724" i="1"/>
  <c r="AG723" i="1"/>
  <c r="AF723" i="1"/>
  <c r="Z723" i="1"/>
  <c r="Y723" i="1"/>
  <c r="X723" i="1"/>
  <c r="W723" i="1"/>
  <c r="V723" i="1"/>
  <c r="R723" i="1"/>
  <c r="Q723" i="1"/>
  <c r="P723" i="1"/>
  <c r="O723" i="1"/>
  <c r="N723" i="1"/>
  <c r="M723" i="1"/>
  <c r="L723" i="1"/>
  <c r="H723" i="1"/>
  <c r="G723" i="1"/>
  <c r="F723" i="1"/>
  <c r="E723" i="1"/>
  <c r="D723" i="1"/>
  <c r="C723" i="1"/>
  <c r="B723" i="1"/>
  <c r="AH722" i="1"/>
  <c r="AG722" i="1"/>
  <c r="AF722" i="1"/>
  <c r="AB722" i="1"/>
  <c r="AA722" i="1"/>
  <c r="Z722" i="1"/>
  <c r="Y722" i="1"/>
  <c r="X722" i="1"/>
  <c r="W722" i="1"/>
  <c r="V722" i="1"/>
  <c r="R722" i="1"/>
  <c r="Q722" i="1"/>
  <c r="P722" i="1"/>
  <c r="O722" i="1"/>
  <c r="N722" i="1"/>
  <c r="M722" i="1"/>
  <c r="L722" i="1"/>
  <c r="I722" i="1"/>
  <c r="H722" i="1"/>
  <c r="G722" i="1"/>
  <c r="F722" i="1"/>
  <c r="E722" i="1"/>
  <c r="D722" i="1"/>
  <c r="C722" i="1"/>
  <c r="B722" i="1"/>
  <c r="AH721" i="1"/>
  <c r="AG721" i="1"/>
  <c r="AF721" i="1"/>
  <c r="Z721" i="1"/>
  <c r="Y721" i="1"/>
  <c r="X721" i="1"/>
  <c r="W721" i="1"/>
  <c r="V721" i="1"/>
  <c r="P721" i="1"/>
  <c r="O721" i="1"/>
  <c r="N721" i="1"/>
  <c r="M721" i="1"/>
  <c r="L721" i="1"/>
  <c r="F721" i="1"/>
  <c r="E721" i="1"/>
  <c r="D721" i="1"/>
  <c r="C721" i="1"/>
  <c r="B721" i="1"/>
  <c r="AH720" i="1"/>
  <c r="AG720" i="1"/>
  <c r="AF720" i="1"/>
  <c r="Z720" i="1"/>
  <c r="Y720" i="1"/>
  <c r="X720" i="1"/>
  <c r="W720" i="1"/>
  <c r="V720" i="1"/>
  <c r="P720" i="1"/>
  <c r="O720" i="1"/>
  <c r="N720" i="1"/>
  <c r="M720" i="1"/>
  <c r="L720" i="1"/>
  <c r="G720" i="1"/>
  <c r="F720" i="1"/>
  <c r="E720" i="1"/>
  <c r="D720" i="1"/>
  <c r="C720" i="1"/>
  <c r="B720" i="1"/>
  <c r="AH719" i="1"/>
  <c r="AG719" i="1"/>
  <c r="AF719" i="1"/>
  <c r="AA719" i="1"/>
  <c r="Z719" i="1"/>
  <c r="Y719" i="1"/>
  <c r="X719" i="1"/>
  <c r="W719" i="1"/>
  <c r="V719" i="1"/>
  <c r="P719" i="1"/>
  <c r="O719" i="1"/>
  <c r="N719" i="1"/>
  <c r="M719" i="1"/>
  <c r="L719" i="1"/>
  <c r="G719" i="1"/>
  <c r="F719" i="1"/>
  <c r="E719" i="1"/>
  <c r="D719" i="1"/>
  <c r="C719" i="1"/>
  <c r="B719" i="1"/>
  <c r="AH718" i="1"/>
  <c r="AG718" i="1"/>
  <c r="AF718" i="1"/>
  <c r="W718" i="1"/>
  <c r="V718" i="1"/>
  <c r="N718" i="1"/>
  <c r="M718" i="1"/>
  <c r="L718" i="1"/>
  <c r="I718" i="1"/>
  <c r="H718" i="1"/>
  <c r="G718" i="1"/>
  <c r="F718" i="1"/>
  <c r="E718" i="1"/>
  <c r="D718" i="1"/>
  <c r="C718" i="1"/>
  <c r="B718" i="1"/>
  <c r="AH717" i="1"/>
  <c r="AG717" i="1"/>
  <c r="AF717" i="1"/>
  <c r="Y717" i="1"/>
  <c r="X717" i="1"/>
  <c r="W717" i="1"/>
  <c r="V717" i="1"/>
  <c r="P717" i="1"/>
  <c r="O717" i="1"/>
  <c r="N717" i="1"/>
  <c r="M717" i="1"/>
  <c r="L717" i="1"/>
  <c r="G717" i="1"/>
  <c r="F717" i="1"/>
  <c r="E717" i="1"/>
  <c r="D717" i="1"/>
  <c r="C717" i="1"/>
  <c r="B717" i="1"/>
  <c r="AH716" i="1"/>
  <c r="AG716" i="1"/>
  <c r="AF716" i="1"/>
  <c r="X716" i="1"/>
  <c r="W716" i="1"/>
  <c r="V716" i="1"/>
  <c r="Q716" i="1"/>
  <c r="P716" i="1"/>
  <c r="O716" i="1"/>
  <c r="N716" i="1"/>
  <c r="M716" i="1"/>
  <c r="L716" i="1"/>
  <c r="J716" i="1"/>
  <c r="I716" i="1"/>
  <c r="H716" i="1"/>
  <c r="G716" i="1"/>
  <c r="F716" i="1"/>
  <c r="E716" i="1"/>
  <c r="D716" i="1"/>
  <c r="C716" i="1"/>
  <c r="B716" i="1"/>
  <c r="AH715" i="1"/>
  <c r="AG715" i="1"/>
  <c r="AF715" i="1"/>
  <c r="AB715" i="1"/>
  <c r="AA715" i="1"/>
  <c r="Z715" i="1"/>
  <c r="Y715" i="1"/>
  <c r="X715" i="1"/>
  <c r="W715" i="1"/>
  <c r="V715" i="1"/>
  <c r="S715" i="1"/>
  <c r="R715" i="1"/>
  <c r="Q715" i="1"/>
  <c r="P715" i="1"/>
  <c r="O715" i="1"/>
  <c r="N715" i="1"/>
  <c r="M715" i="1"/>
  <c r="L715" i="1"/>
  <c r="F715" i="1"/>
  <c r="E715" i="1"/>
  <c r="D715" i="1"/>
  <c r="C715" i="1"/>
  <c r="B715" i="1"/>
  <c r="AF714" i="1"/>
  <c r="AA714" i="1"/>
  <c r="Z714" i="1"/>
  <c r="Y714" i="1"/>
  <c r="X714" i="1"/>
  <c r="W714" i="1"/>
  <c r="V714" i="1"/>
  <c r="P714" i="1"/>
  <c r="O714" i="1"/>
  <c r="N714" i="1"/>
  <c r="M714" i="1"/>
  <c r="L714" i="1"/>
  <c r="H714" i="1"/>
  <c r="G714" i="1"/>
  <c r="F714" i="1"/>
  <c r="E714" i="1"/>
  <c r="D714" i="1"/>
  <c r="C714" i="1"/>
  <c r="B714" i="1"/>
  <c r="AH713" i="1"/>
  <c r="AG713" i="1"/>
  <c r="AF713" i="1"/>
  <c r="X713" i="1"/>
  <c r="W713" i="1"/>
  <c r="V713" i="1"/>
  <c r="P713" i="1"/>
  <c r="O713" i="1"/>
  <c r="N713" i="1"/>
  <c r="M713" i="1"/>
  <c r="L713" i="1"/>
  <c r="F713" i="1"/>
  <c r="C713" i="1"/>
  <c r="B713" i="1"/>
  <c r="AH712" i="1"/>
  <c r="AG712" i="1"/>
  <c r="AF712" i="1"/>
  <c r="AB712" i="1"/>
  <c r="AA712" i="1"/>
  <c r="Z712" i="1"/>
  <c r="Y712" i="1"/>
  <c r="X712" i="1"/>
  <c r="W712" i="1"/>
  <c r="V712" i="1"/>
  <c r="N712" i="1"/>
  <c r="M712" i="1"/>
  <c r="L712" i="1"/>
  <c r="F712" i="1"/>
  <c r="E712" i="1"/>
  <c r="D712" i="1"/>
  <c r="C712" i="1"/>
  <c r="B712" i="1"/>
  <c r="AH711" i="1"/>
  <c r="AG711" i="1"/>
  <c r="AF711" i="1"/>
  <c r="AA711" i="1"/>
  <c r="Z711" i="1"/>
  <c r="W711" i="1"/>
  <c r="V711" i="1"/>
  <c r="M711" i="1"/>
  <c r="L711" i="1"/>
  <c r="C711" i="1"/>
  <c r="B711" i="1"/>
  <c r="AH710" i="1"/>
  <c r="AG710" i="1"/>
  <c r="AF710" i="1"/>
  <c r="AA710" i="1"/>
  <c r="W710" i="1"/>
  <c r="V710" i="1"/>
  <c r="T710" i="1"/>
  <c r="S710" i="1"/>
  <c r="R710" i="1"/>
  <c r="Q710" i="1"/>
  <c r="P710" i="1"/>
  <c r="O710" i="1"/>
  <c r="N710" i="1"/>
  <c r="M710" i="1"/>
  <c r="L710" i="1"/>
  <c r="I710" i="1"/>
  <c r="C710" i="1"/>
  <c r="B710" i="1"/>
  <c r="AH709" i="1"/>
  <c r="AG709" i="1"/>
  <c r="AF709" i="1"/>
  <c r="W709" i="1"/>
  <c r="V709" i="1"/>
  <c r="M709" i="1"/>
  <c r="L709" i="1"/>
  <c r="C709" i="1"/>
  <c r="B709" i="1"/>
  <c r="AG708" i="1"/>
  <c r="AF708" i="1"/>
  <c r="Z708" i="1"/>
  <c r="Y708" i="1"/>
  <c r="X708" i="1"/>
  <c r="W708" i="1"/>
  <c r="V708" i="1"/>
  <c r="N708" i="1"/>
  <c r="M708" i="1"/>
  <c r="L708" i="1"/>
  <c r="D708" i="1"/>
  <c r="C708" i="1"/>
  <c r="B708" i="1"/>
  <c r="AH707" i="1"/>
  <c r="AG707" i="1"/>
  <c r="AF707" i="1"/>
  <c r="Z707" i="1"/>
  <c r="Y707" i="1"/>
  <c r="X707" i="1"/>
  <c r="W707" i="1"/>
  <c r="V707" i="1"/>
  <c r="P707" i="1"/>
  <c r="O707" i="1"/>
  <c r="N707" i="1"/>
  <c r="M707" i="1"/>
  <c r="L707" i="1"/>
  <c r="C707" i="1"/>
  <c r="B707" i="1"/>
  <c r="AH706" i="1"/>
  <c r="AG706" i="1"/>
  <c r="AF706" i="1"/>
  <c r="AC706" i="1"/>
  <c r="AB706" i="1"/>
  <c r="AA706" i="1"/>
  <c r="Z706" i="1"/>
  <c r="Y706" i="1"/>
  <c r="X706" i="1"/>
  <c r="W706" i="1"/>
  <c r="V706" i="1"/>
  <c r="M706" i="1"/>
  <c r="L706" i="1"/>
  <c r="F706" i="1"/>
  <c r="E706" i="1"/>
  <c r="D706" i="1"/>
  <c r="C706" i="1"/>
  <c r="B706" i="1"/>
  <c r="AF705" i="1"/>
  <c r="Y705" i="1"/>
  <c r="X705" i="1"/>
  <c r="W705" i="1"/>
  <c r="V705" i="1"/>
  <c r="P705" i="1"/>
  <c r="O705" i="1"/>
  <c r="N705" i="1"/>
  <c r="M705" i="1"/>
  <c r="L705" i="1"/>
  <c r="I705" i="1"/>
  <c r="H705" i="1"/>
  <c r="G705" i="1"/>
  <c r="F705" i="1"/>
  <c r="E705" i="1"/>
  <c r="D705" i="1"/>
  <c r="C705" i="1"/>
  <c r="B705" i="1"/>
  <c r="AH704" i="1"/>
  <c r="AG704" i="1"/>
  <c r="AF704" i="1"/>
  <c r="AB704" i="1"/>
  <c r="AA704" i="1"/>
  <c r="Z704" i="1"/>
  <c r="Y704" i="1"/>
  <c r="X704" i="1"/>
  <c r="W704" i="1"/>
  <c r="V704" i="1"/>
  <c r="N704" i="1"/>
  <c r="M704" i="1"/>
  <c r="L704" i="1"/>
  <c r="D704" i="1"/>
  <c r="C704" i="1"/>
  <c r="B704" i="1"/>
  <c r="AH703" i="1"/>
  <c r="AG703" i="1"/>
  <c r="AF703" i="1"/>
  <c r="Y703" i="1"/>
  <c r="X703" i="1"/>
  <c r="W703" i="1"/>
  <c r="V703" i="1"/>
  <c r="Q703" i="1"/>
  <c r="P703" i="1"/>
  <c r="O703" i="1"/>
  <c r="N703" i="1"/>
  <c r="M703" i="1"/>
  <c r="L703" i="1"/>
  <c r="J703" i="1"/>
  <c r="I703" i="1"/>
  <c r="H703" i="1"/>
  <c r="G703" i="1"/>
  <c r="F703" i="1"/>
  <c r="E703" i="1"/>
  <c r="D703" i="1"/>
  <c r="C703" i="1"/>
  <c r="B703" i="1"/>
  <c r="AG702" i="1"/>
  <c r="AF702" i="1"/>
  <c r="W702" i="1"/>
  <c r="V702" i="1"/>
  <c r="P702" i="1"/>
  <c r="O702" i="1"/>
  <c r="N702" i="1"/>
  <c r="M702" i="1"/>
  <c r="L702" i="1"/>
  <c r="J702" i="1"/>
  <c r="H702" i="1"/>
  <c r="F702" i="1"/>
  <c r="E702" i="1"/>
  <c r="D702" i="1"/>
  <c r="C702" i="1"/>
  <c r="B702" i="1"/>
  <c r="AH701" i="1"/>
  <c r="AG701" i="1"/>
  <c r="AF701" i="1"/>
  <c r="Y701" i="1"/>
  <c r="X701" i="1"/>
  <c r="W701" i="1"/>
  <c r="V701" i="1"/>
  <c r="N701" i="1"/>
  <c r="M701" i="1"/>
  <c r="L701" i="1"/>
  <c r="G701" i="1"/>
  <c r="F701" i="1"/>
  <c r="E701" i="1"/>
  <c r="D701" i="1"/>
  <c r="C701" i="1"/>
  <c r="B701" i="1"/>
  <c r="AH700" i="1"/>
  <c r="AG700" i="1"/>
  <c r="AF700" i="1"/>
  <c r="AB700" i="1"/>
  <c r="AA700" i="1"/>
  <c r="Z700" i="1"/>
  <c r="Y700" i="1"/>
  <c r="X700" i="1"/>
  <c r="W700" i="1"/>
  <c r="V700" i="1"/>
  <c r="N700" i="1"/>
  <c r="M700" i="1"/>
  <c r="L700" i="1"/>
  <c r="G700" i="1"/>
  <c r="F700" i="1"/>
  <c r="E700" i="1"/>
  <c r="D700" i="1"/>
  <c r="C700" i="1"/>
  <c r="B700" i="1"/>
  <c r="AH699" i="1"/>
  <c r="AG699" i="1"/>
  <c r="AF699" i="1"/>
  <c r="Z699" i="1"/>
  <c r="Y699" i="1"/>
  <c r="X699" i="1"/>
  <c r="W699" i="1"/>
  <c r="V699" i="1"/>
  <c r="M699" i="1"/>
  <c r="L699" i="1"/>
  <c r="G699" i="1"/>
  <c r="F699" i="1"/>
  <c r="E699" i="1"/>
  <c r="D699" i="1"/>
  <c r="C699" i="1"/>
  <c r="B699" i="1"/>
  <c r="AG698" i="1"/>
  <c r="AF698" i="1"/>
  <c r="W698" i="1"/>
  <c r="V698" i="1"/>
  <c r="P698" i="1"/>
  <c r="O698" i="1"/>
  <c r="N698" i="1"/>
  <c r="M698" i="1"/>
  <c r="L698" i="1"/>
  <c r="G698" i="1"/>
  <c r="F698" i="1"/>
  <c r="E698" i="1"/>
  <c r="D698" i="1"/>
  <c r="C698" i="1"/>
  <c r="B698" i="1"/>
  <c r="AH697" i="1"/>
  <c r="AG697" i="1"/>
  <c r="AF697" i="1"/>
  <c r="X697" i="1"/>
  <c r="W697" i="1"/>
  <c r="V697" i="1"/>
  <c r="N697" i="1"/>
  <c r="M697" i="1"/>
  <c r="L697" i="1"/>
  <c r="G697" i="1"/>
  <c r="F697" i="1"/>
  <c r="E697" i="1"/>
  <c r="D697" i="1"/>
  <c r="C697" i="1"/>
  <c r="B697" i="1"/>
  <c r="AG696" i="1"/>
  <c r="AF696" i="1"/>
  <c r="Z696" i="1"/>
  <c r="Y696" i="1"/>
  <c r="X696" i="1"/>
  <c r="W696" i="1"/>
  <c r="V696" i="1"/>
  <c r="Q696" i="1"/>
  <c r="P696" i="1"/>
  <c r="O696" i="1"/>
  <c r="N696" i="1"/>
  <c r="M696" i="1"/>
  <c r="L696" i="1"/>
  <c r="D696" i="1"/>
  <c r="C696" i="1"/>
  <c r="B696" i="1"/>
  <c r="AH695" i="1"/>
  <c r="AG695" i="1"/>
  <c r="AF695" i="1"/>
  <c r="Z695" i="1"/>
  <c r="Y695" i="1"/>
  <c r="X695" i="1"/>
  <c r="W695" i="1"/>
  <c r="V695" i="1"/>
  <c r="R695" i="1"/>
  <c r="Q695" i="1"/>
  <c r="P695" i="1"/>
  <c r="O695" i="1"/>
  <c r="N695" i="1"/>
  <c r="M695" i="1"/>
  <c r="L695" i="1"/>
  <c r="D695" i="1"/>
  <c r="C695" i="1"/>
  <c r="B695" i="1"/>
  <c r="AH694" i="1"/>
  <c r="AG694" i="1"/>
  <c r="AF694" i="1"/>
  <c r="X694" i="1"/>
  <c r="W694" i="1"/>
  <c r="V694" i="1"/>
  <c r="P694" i="1"/>
  <c r="O694" i="1"/>
  <c r="N694" i="1"/>
  <c r="M694" i="1"/>
  <c r="L694" i="1"/>
  <c r="H694" i="1"/>
  <c r="G694" i="1"/>
  <c r="F694" i="1"/>
  <c r="E694" i="1"/>
  <c r="D694" i="1"/>
  <c r="C694" i="1"/>
  <c r="B694" i="1"/>
  <c r="AH693" i="1"/>
  <c r="AG693" i="1"/>
  <c r="AF693" i="1"/>
  <c r="W693" i="1"/>
  <c r="V693" i="1"/>
  <c r="N693" i="1"/>
  <c r="M693" i="1"/>
  <c r="L693" i="1"/>
  <c r="D693" i="1"/>
  <c r="C693" i="1"/>
  <c r="B693" i="1"/>
  <c r="AH692" i="1"/>
  <c r="AG692" i="1"/>
  <c r="AF692" i="1"/>
  <c r="X692" i="1"/>
  <c r="W692" i="1"/>
  <c r="V692" i="1"/>
  <c r="Q692" i="1"/>
  <c r="P692" i="1"/>
  <c r="O692" i="1"/>
  <c r="N692" i="1"/>
  <c r="M692" i="1"/>
  <c r="L692" i="1"/>
  <c r="F692" i="1"/>
  <c r="E692" i="1"/>
  <c r="D692" i="1"/>
  <c r="C692" i="1"/>
  <c r="B692" i="1"/>
  <c r="AG691" i="1"/>
  <c r="AF691" i="1"/>
  <c r="AB691" i="1"/>
  <c r="AA691" i="1"/>
  <c r="Z691" i="1"/>
  <c r="Y691" i="1"/>
  <c r="X691" i="1"/>
  <c r="W691" i="1"/>
  <c r="V691" i="1"/>
  <c r="N691" i="1"/>
  <c r="M691" i="1"/>
  <c r="L691" i="1"/>
  <c r="D691" i="1"/>
  <c r="C691" i="1"/>
  <c r="B691" i="1"/>
  <c r="AH690" i="1"/>
  <c r="AG690" i="1"/>
  <c r="AF690" i="1"/>
  <c r="Y690" i="1"/>
  <c r="X690" i="1"/>
  <c r="W690" i="1"/>
  <c r="V690" i="1"/>
  <c r="N690" i="1"/>
  <c r="M690" i="1"/>
  <c r="L690" i="1"/>
  <c r="D690" i="1"/>
  <c r="C690" i="1"/>
  <c r="B690" i="1"/>
  <c r="AH689" i="1"/>
  <c r="AG689" i="1"/>
  <c r="AF689" i="1"/>
  <c r="X689" i="1"/>
  <c r="W689" i="1"/>
  <c r="V689" i="1"/>
  <c r="P689" i="1"/>
  <c r="O689" i="1"/>
  <c r="N689" i="1"/>
  <c r="M689" i="1"/>
  <c r="L689" i="1"/>
  <c r="G689" i="1"/>
  <c r="F689" i="1"/>
  <c r="E689" i="1"/>
  <c r="D689" i="1"/>
  <c r="C689" i="1"/>
  <c r="B689" i="1"/>
  <c r="AH688" i="1"/>
  <c r="AG688" i="1"/>
  <c r="AF688" i="1"/>
  <c r="X688" i="1"/>
  <c r="W688" i="1"/>
  <c r="V688" i="1"/>
  <c r="N688" i="1"/>
  <c r="M688" i="1"/>
  <c r="L688" i="1"/>
  <c r="D688" i="1"/>
  <c r="C688" i="1"/>
  <c r="B688" i="1"/>
  <c r="AH687" i="1"/>
  <c r="AG687" i="1"/>
  <c r="AF687" i="1"/>
  <c r="X687" i="1"/>
  <c r="W687" i="1"/>
  <c r="V687" i="1"/>
  <c r="N687" i="1"/>
  <c r="M687" i="1"/>
  <c r="L687" i="1"/>
  <c r="H687" i="1"/>
  <c r="G687" i="1"/>
  <c r="F687" i="1"/>
  <c r="E687" i="1"/>
  <c r="D687" i="1"/>
  <c r="C687" i="1"/>
  <c r="B687" i="1"/>
  <c r="AH686" i="1"/>
  <c r="AG686" i="1"/>
  <c r="AF686" i="1"/>
  <c r="W686" i="1"/>
  <c r="V686" i="1"/>
  <c r="N686" i="1"/>
  <c r="M686" i="1"/>
  <c r="L686" i="1"/>
  <c r="J686" i="1"/>
  <c r="I686" i="1"/>
  <c r="H686" i="1"/>
  <c r="G686" i="1"/>
  <c r="F686" i="1"/>
  <c r="E686" i="1"/>
  <c r="D686" i="1"/>
  <c r="C686" i="1"/>
  <c r="B686" i="1"/>
  <c r="AH685" i="1"/>
  <c r="AG685" i="1"/>
  <c r="AF685" i="1"/>
  <c r="AA685" i="1"/>
  <c r="Z685" i="1"/>
  <c r="Y685" i="1"/>
  <c r="W685" i="1"/>
  <c r="V685" i="1"/>
  <c r="P685" i="1"/>
  <c r="O685" i="1"/>
  <c r="N685" i="1"/>
  <c r="M685" i="1"/>
  <c r="L685" i="1"/>
  <c r="D685" i="1"/>
  <c r="C685" i="1"/>
  <c r="B685" i="1"/>
  <c r="AH684" i="1"/>
  <c r="AG684" i="1"/>
  <c r="AF684" i="1"/>
  <c r="Z684" i="1"/>
  <c r="Y684" i="1"/>
  <c r="X684" i="1"/>
  <c r="W684" i="1"/>
  <c r="V684" i="1"/>
  <c r="N684" i="1"/>
  <c r="M684" i="1"/>
  <c r="L684" i="1"/>
  <c r="D684" i="1"/>
  <c r="C684" i="1"/>
  <c r="B684" i="1"/>
  <c r="AH683" i="1"/>
  <c r="AG683" i="1"/>
  <c r="AF683" i="1"/>
  <c r="X683" i="1"/>
  <c r="W683" i="1"/>
  <c r="V683" i="1"/>
  <c r="N683" i="1"/>
  <c r="M683" i="1"/>
  <c r="L683" i="1"/>
  <c r="D683" i="1"/>
  <c r="C683" i="1"/>
  <c r="B683" i="1"/>
  <c r="AH682" i="1"/>
  <c r="AG682" i="1"/>
  <c r="AF682" i="1"/>
  <c r="X682" i="1"/>
  <c r="W682" i="1"/>
  <c r="V682" i="1"/>
  <c r="N682" i="1"/>
  <c r="M682" i="1"/>
  <c r="L682" i="1"/>
  <c r="D682" i="1"/>
  <c r="C682" i="1"/>
  <c r="B682" i="1"/>
  <c r="AG681" i="1"/>
  <c r="AF681" i="1"/>
  <c r="W681" i="1"/>
  <c r="V681" i="1"/>
  <c r="N681" i="1"/>
  <c r="M681" i="1"/>
  <c r="L681" i="1"/>
  <c r="G681" i="1"/>
  <c r="F681" i="1"/>
  <c r="E681" i="1"/>
  <c r="D681" i="1"/>
  <c r="C681" i="1"/>
  <c r="B681" i="1"/>
  <c r="AH680" i="1"/>
  <c r="AG680" i="1"/>
  <c r="AF680" i="1"/>
  <c r="Y680" i="1"/>
  <c r="X680" i="1"/>
  <c r="W680" i="1"/>
  <c r="V680" i="1"/>
  <c r="N680" i="1"/>
  <c r="M680" i="1"/>
  <c r="L680" i="1"/>
  <c r="C680" i="1"/>
  <c r="B680" i="1"/>
  <c r="AH679" i="1"/>
  <c r="AG679" i="1"/>
  <c r="AF679" i="1"/>
  <c r="X679" i="1"/>
  <c r="W679" i="1"/>
  <c r="V679" i="1"/>
  <c r="N679" i="1"/>
  <c r="M679" i="1"/>
  <c r="L679" i="1"/>
  <c r="J679" i="1"/>
  <c r="I679" i="1"/>
  <c r="G679" i="1"/>
  <c r="F679" i="1"/>
  <c r="E679" i="1"/>
  <c r="D679" i="1"/>
  <c r="C679" i="1"/>
  <c r="B679" i="1"/>
  <c r="AH678" i="1"/>
  <c r="AG678" i="1"/>
  <c r="AF678" i="1"/>
  <c r="W678" i="1"/>
  <c r="V678" i="1"/>
  <c r="Q678" i="1"/>
  <c r="P678" i="1"/>
  <c r="O678" i="1"/>
  <c r="N678" i="1"/>
  <c r="M678" i="1"/>
  <c r="L678" i="1"/>
  <c r="H678" i="1"/>
  <c r="G678" i="1"/>
  <c r="F678" i="1"/>
  <c r="E678" i="1"/>
  <c r="D678" i="1"/>
  <c r="C678" i="1"/>
  <c r="B678" i="1"/>
  <c r="AH677" i="1"/>
  <c r="AG677" i="1"/>
  <c r="AF677" i="1"/>
  <c r="AD677" i="1"/>
  <c r="AC677" i="1"/>
  <c r="AB677" i="1"/>
  <c r="AA677" i="1"/>
  <c r="Z677" i="1"/>
  <c r="Y677" i="1"/>
  <c r="X677" i="1"/>
  <c r="W677" i="1"/>
  <c r="V677" i="1"/>
  <c r="Q677" i="1"/>
  <c r="P677" i="1"/>
  <c r="O677" i="1"/>
  <c r="N677" i="1"/>
  <c r="M677" i="1"/>
  <c r="L677" i="1"/>
  <c r="D677" i="1"/>
  <c r="C677" i="1"/>
  <c r="B677" i="1"/>
  <c r="AH676" i="1"/>
  <c r="AG676" i="1"/>
  <c r="AF676" i="1"/>
  <c r="Z676" i="1"/>
  <c r="Y676" i="1"/>
  <c r="X676" i="1"/>
  <c r="W676" i="1"/>
  <c r="V676" i="1"/>
  <c r="Q676" i="1"/>
  <c r="P676" i="1"/>
  <c r="O676" i="1"/>
  <c r="N676" i="1"/>
  <c r="M676" i="1"/>
  <c r="L676" i="1"/>
  <c r="D676" i="1"/>
  <c r="C676" i="1"/>
  <c r="B676" i="1"/>
  <c r="AH675" i="1"/>
  <c r="AG675" i="1"/>
  <c r="AF675" i="1"/>
  <c r="AD675" i="1"/>
  <c r="AC675" i="1"/>
  <c r="AB675" i="1"/>
  <c r="AA675" i="1"/>
  <c r="Z675" i="1"/>
  <c r="Y675" i="1"/>
  <c r="X675" i="1"/>
  <c r="W675" i="1"/>
  <c r="V675" i="1"/>
  <c r="Q675" i="1"/>
  <c r="P675" i="1"/>
  <c r="O675" i="1"/>
  <c r="N675" i="1"/>
  <c r="M675" i="1"/>
  <c r="L675" i="1"/>
  <c r="H675" i="1"/>
  <c r="G675" i="1"/>
  <c r="F675" i="1"/>
  <c r="E675" i="1"/>
  <c r="D675" i="1"/>
  <c r="C675" i="1"/>
  <c r="B675" i="1"/>
  <c r="AH674" i="1"/>
  <c r="AG674" i="1"/>
  <c r="AF674" i="1"/>
  <c r="AC674" i="1"/>
  <c r="AB674" i="1"/>
  <c r="AA674" i="1"/>
  <c r="Z674" i="1"/>
  <c r="Y674" i="1"/>
  <c r="X674" i="1"/>
  <c r="W674" i="1"/>
  <c r="V674" i="1"/>
  <c r="O674" i="1"/>
  <c r="M674" i="1"/>
  <c r="L674" i="1"/>
  <c r="F674" i="1"/>
  <c r="E674" i="1"/>
  <c r="D674" i="1"/>
  <c r="C674" i="1"/>
  <c r="B674" i="1"/>
  <c r="AH673" i="1"/>
  <c r="AG673" i="1"/>
  <c r="AF673" i="1"/>
  <c r="W673" i="1"/>
  <c r="V673" i="1"/>
  <c r="N673" i="1"/>
  <c r="M673" i="1"/>
  <c r="L673" i="1"/>
  <c r="H673" i="1"/>
  <c r="G673" i="1"/>
  <c r="F673" i="1"/>
  <c r="E673" i="1"/>
  <c r="D673" i="1"/>
  <c r="C673" i="1"/>
  <c r="B673" i="1"/>
  <c r="AH672" i="1"/>
  <c r="AG672" i="1"/>
  <c r="AF672" i="1"/>
  <c r="W672" i="1"/>
  <c r="V672" i="1"/>
  <c r="M672" i="1"/>
  <c r="L672" i="1"/>
  <c r="F672" i="1"/>
  <c r="E672" i="1"/>
  <c r="D672" i="1"/>
  <c r="C672" i="1"/>
  <c r="B672" i="1"/>
  <c r="AH671" i="1"/>
  <c r="AG671" i="1"/>
  <c r="AF671" i="1"/>
  <c r="Y671" i="1"/>
  <c r="X671" i="1"/>
  <c r="W671" i="1"/>
  <c r="V671" i="1"/>
  <c r="P671" i="1"/>
  <c r="O671" i="1"/>
  <c r="N671" i="1"/>
  <c r="M671" i="1"/>
  <c r="L671" i="1"/>
  <c r="G671" i="1"/>
  <c r="F671" i="1"/>
  <c r="E671" i="1"/>
  <c r="D671" i="1"/>
  <c r="C671" i="1"/>
  <c r="B671" i="1"/>
  <c r="AG670" i="1"/>
  <c r="AF670" i="1"/>
  <c r="X670" i="1"/>
  <c r="W670" i="1"/>
  <c r="V670" i="1"/>
  <c r="O670" i="1"/>
  <c r="N670" i="1"/>
  <c r="M670" i="1"/>
  <c r="L670" i="1"/>
  <c r="F670" i="1"/>
  <c r="E670" i="1"/>
  <c r="D670" i="1"/>
  <c r="C670" i="1"/>
  <c r="B670" i="1"/>
  <c r="AG669" i="1"/>
  <c r="AF669" i="1"/>
  <c r="Y669" i="1"/>
  <c r="X669" i="1"/>
  <c r="W669" i="1"/>
  <c r="V669" i="1"/>
  <c r="R669" i="1"/>
  <c r="P669" i="1"/>
  <c r="O669" i="1"/>
  <c r="N669" i="1"/>
  <c r="M669" i="1"/>
  <c r="L669" i="1"/>
  <c r="I669" i="1"/>
  <c r="H669" i="1"/>
  <c r="G669" i="1"/>
  <c r="F669" i="1"/>
  <c r="E669" i="1"/>
  <c r="D669" i="1"/>
  <c r="C669" i="1"/>
  <c r="B669" i="1"/>
  <c r="AH668" i="1"/>
  <c r="AG668" i="1"/>
  <c r="AF668" i="1"/>
  <c r="X668" i="1"/>
  <c r="W668" i="1"/>
  <c r="V668" i="1"/>
  <c r="P668" i="1"/>
  <c r="O668" i="1"/>
  <c r="N668" i="1"/>
  <c r="M668" i="1"/>
  <c r="L668" i="1"/>
  <c r="D668" i="1"/>
  <c r="C668" i="1"/>
  <c r="B668" i="1"/>
  <c r="AH667" i="1"/>
  <c r="AG667" i="1"/>
  <c r="AF667" i="1"/>
  <c r="X667" i="1"/>
  <c r="W667" i="1"/>
  <c r="V667" i="1"/>
  <c r="M667" i="1"/>
  <c r="L667" i="1"/>
  <c r="H667" i="1"/>
  <c r="G667" i="1"/>
  <c r="F667" i="1"/>
  <c r="E667" i="1"/>
  <c r="D667" i="1"/>
  <c r="C667" i="1"/>
  <c r="B667" i="1"/>
  <c r="AH666" i="1"/>
  <c r="AF666" i="1"/>
  <c r="V666" i="1"/>
  <c r="Q666" i="1"/>
  <c r="P666" i="1"/>
  <c r="O666" i="1"/>
  <c r="N666" i="1"/>
  <c r="M666" i="1"/>
  <c r="L666" i="1"/>
  <c r="H666" i="1"/>
  <c r="G666" i="1"/>
  <c r="F666" i="1"/>
  <c r="E666" i="1"/>
  <c r="D666" i="1"/>
  <c r="C666" i="1"/>
  <c r="B666" i="1"/>
  <c r="AG665" i="1"/>
  <c r="AF665" i="1"/>
  <c r="Z665" i="1"/>
  <c r="Y665" i="1"/>
  <c r="X665" i="1"/>
  <c r="W665" i="1"/>
  <c r="V665" i="1"/>
  <c r="T665" i="1"/>
  <c r="S665" i="1"/>
  <c r="R665" i="1"/>
  <c r="Q665" i="1"/>
  <c r="P665" i="1"/>
  <c r="O665" i="1"/>
  <c r="N665" i="1"/>
  <c r="M665" i="1"/>
  <c r="L665" i="1"/>
  <c r="D665" i="1"/>
  <c r="C665" i="1"/>
  <c r="B665" i="1"/>
  <c r="AH664" i="1"/>
  <c r="AG664" i="1"/>
  <c r="AF664" i="1"/>
  <c r="W664" i="1"/>
  <c r="V664" i="1"/>
  <c r="M664" i="1"/>
  <c r="L664" i="1"/>
  <c r="H664" i="1"/>
  <c r="G664" i="1"/>
  <c r="F664" i="1"/>
  <c r="E664" i="1"/>
  <c r="D664" i="1"/>
  <c r="C664" i="1"/>
  <c r="B664" i="1"/>
  <c r="AH663" i="1"/>
  <c r="AG663" i="1"/>
  <c r="AF663" i="1"/>
  <c r="W663" i="1"/>
  <c r="V663" i="1"/>
  <c r="N663" i="1"/>
  <c r="M663" i="1"/>
  <c r="L663" i="1"/>
  <c r="D663" i="1"/>
  <c r="C663" i="1"/>
  <c r="B663" i="1"/>
  <c r="AH662" i="1"/>
  <c r="AG662" i="1"/>
  <c r="AF662" i="1"/>
  <c r="W662" i="1"/>
  <c r="V662" i="1"/>
  <c r="Q662" i="1"/>
  <c r="P662" i="1"/>
  <c r="O662" i="1"/>
  <c r="N662" i="1"/>
  <c r="M662" i="1"/>
  <c r="L662" i="1"/>
  <c r="E662" i="1"/>
  <c r="C662" i="1"/>
  <c r="AH661" i="1"/>
  <c r="AG661" i="1"/>
  <c r="AF661" i="1"/>
  <c r="W661" i="1"/>
  <c r="V661" i="1"/>
  <c r="Q661" i="1"/>
  <c r="P661" i="1"/>
  <c r="O661" i="1"/>
  <c r="N661" i="1"/>
  <c r="M661" i="1"/>
  <c r="L661" i="1"/>
  <c r="D661" i="1"/>
  <c r="C661" i="1"/>
  <c r="B661" i="1"/>
  <c r="AH660" i="1"/>
  <c r="AG660" i="1"/>
  <c r="AF660" i="1"/>
  <c r="Z660" i="1"/>
  <c r="Y660" i="1"/>
  <c r="X660" i="1"/>
  <c r="W660" i="1"/>
  <c r="V660" i="1"/>
  <c r="R660" i="1"/>
  <c r="Q660" i="1"/>
  <c r="P660" i="1"/>
  <c r="O660" i="1"/>
  <c r="N660" i="1"/>
  <c r="M660" i="1"/>
  <c r="L660" i="1"/>
  <c r="I660" i="1"/>
  <c r="H660" i="1"/>
  <c r="D660" i="1"/>
  <c r="C660" i="1"/>
  <c r="B660" i="1"/>
  <c r="AF659" i="1"/>
  <c r="W659" i="1"/>
  <c r="V659" i="1"/>
  <c r="Q659" i="1"/>
  <c r="P659" i="1"/>
  <c r="O659" i="1"/>
  <c r="N659" i="1"/>
  <c r="M659" i="1"/>
  <c r="L659" i="1"/>
  <c r="F659" i="1"/>
  <c r="E659" i="1"/>
  <c r="D659" i="1"/>
  <c r="C659" i="1"/>
  <c r="B659" i="1"/>
  <c r="AH658" i="1"/>
  <c r="AG658" i="1"/>
  <c r="AF658" i="1"/>
  <c r="W658" i="1"/>
  <c r="V658" i="1"/>
  <c r="O658" i="1"/>
  <c r="N658" i="1"/>
  <c r="M658" i="1"/>
  <c r="L658" i="1"/>
  <c r="D658" i="1"/>
  <c r="C658" i="1"/>
  <c r="B658" i="1"/>
  <c r="AH657" i="1"/>
  <c r="AG657" i="1"/>
  <c r="AF657" i="1"/>
  <c r="V657" i="1"/>
  <c r="M657" i="1"/>
  <c r="L657" i="1"/>
  <c r="G657" i="1"/>
  <c r="F657" i="1"/>
  <c r="E657" i="1"/>
  <c r="D657" i="1"/>
  <c r="C657" i="1"/>
  <c r="B657" i="1"/>
  <c r="AH656" i="1"/>
  <c r="AG656" i="1"/>
  <c r="AF656" i="1"/>
  <c r="W656" i="1"/>
  <c r="V656" i="1"/>
  <c r="O656" i="1"/>
  <c r="N656" i="1"/>
  <c r="M656" i="1"/>
  <c r="L656" i="1"/>
  <c r="F656" i="1"/>
  <c r="E656" i="1"/>
  <c r="D656" i="1"/>
  <c r="C656" i="1"/>
  <c r="B656" i="1"/>
  <c r="AH655" i="1"/>
  <c r="AG655" i="1"/>
  <c r="AF655" i="1"/>
  <c r="W655" i="1"/>
  <c r="V655" i="1"/>
  <c r="M655" i="1"/>
  <c r="L655" i="1"/>
  <c r="F655" i="1"/>
  <c r="E655" i="1"/>
  <c r="D655" i="1"/>
  <c r="C655" i="1"/>
  <c r="B655" i="1"/>
  <c r="AH654" i="1"/>
  <c r="AG654" i="1"/>
  <c r="AF654" i="1"/>
  <c r="Z654" i="1"/>
  <c r="Y654" i="1"/>
  <c r="X654" i="1"/>
  <c r="W654" i="1"/>
  <c r="V654" i="1"/>
  <c r="N654" i="1"/>
  <c r="M654" i="1"/>
  <c r="L654" i="1"/>
  <c r="J654" i="1"/>
  <c r="I654" i="1"/>
  <c r="H654" i="1"/>
  <c r="G654" i="1"/>
  <c r="F654" i="1"/>
  <c r="E654" i="1"/>
  <c r="D654" i="1"/>
  <c r="C654" i="1"/>
  <c r="B654" i="1"/>
  <c r="AH653" i="1"/>
  <c r="AG653" i="1"/>
  <c r="AF653" i="1"/>
  <c r="X653" i="1"/>
  <c r="W653" i="1"/>
  <c r="V653" i="1"/>
  <c r="N653" i="1"/>
  <c r="M653" i="1"/>
  <c r="L653" i="1"/>
  <c r="D653" i="1"/>
  <c r="C653" i="1"/>
  <c r="B653" i="1"/>
  <c r="AG652" i="1"/>
  <c r="AF652" i="1"/>
  <c r="W652" i="1"/>
  <c r="V652" i="1"/>
  <c r="S652" i="1"/>
  <c r="Q652" i="1"/>
  <c r="P652" i="1"/>
  <c r="O652" i="1"/>
  <c r="N652" i="1"/>
  <c r="M652" i="1"/>
  <c r="L652" i="1"/>
  <c r="C652" i="1"/>
  <c r="B652" i="1"/>
  <c r="AG651" i="1"/>
  <c r="AF651" i="1"/>
  <c r="AB651" i="1"/>
  <c r="AA651" i="1"/>
  <c r="Z651" i="1"/>
  <c r="Y651" i="1"/>
  <c r="X651" i="1"/>
  <c r="W651" i="1"/>
  <c r="V651" i="1"/>
  <c r="R651" i="1"/>
  <c r="Q651" i="1"/>
  <c r="P651" i="1"/>
  <c r="O651" i="1"/>
  <c r="N651" i="1"/>
  <c r="M651" i="1"/>
  <c r="L651" i="1"/>
  <c r="F651" i="1"/>
  <c r="E651" i="1"/>
  <c r="D651" i="1"/>
  <c r="C651" i="1"/>
  <c r="B651" i="1"/>
  <c r="AH650" i="1"/>
  <c r="AG650" i="1"/>
  <c r="AF650" i="1"/>
  <c r="Z650" i="1"/>
  <c r="Y650" i="1"/>
  <c r="X650" i="1"/>
  <c r="W650" i="1"/>
  <c r="V650" i="1"/>
  <c r="P650" i="1"/>
  <c r="O650" i="1"/>
  <c r="N650" i="1"/>
  <c r="M650" i="1"/>
  <c r="L650" i="1"/>
  <c r="G650" i="1"/>
  <c r="F650" i="1"/>
  <c r="E650" i="1"/>
  <c r="D650" i="1"/>
  <c r="C650" i="1"/>
  <c r="B650" i="1"/>
  <c r="AH649" i="1"/>
  <c r="AG649" i="1"/>
  <c r="AF649" i="1"/>
  <c r="AB649" i="1"/>
  <c r="AA649" i="1"/>
  <c r="Z649" i="1"/>
  <c r="Y649" i="1"/>
  <c r="X649" i="1"/>
  <c r="W649" i="1"/>
  <c r="V649" i="1"/>
  <c r="O649" i="1"/>
  <c r="N649" i="1"/>
  <c r="M649" i="1"/>
  <c r="L649" i="1"/>
  <c r="G649" i="1"/>
  <c r="F649" i="1"/>
  <c r="E649" i="1"/>
  <c r="D649" i="1"/>
  <c r="C649" i="1"/>
  <c r="B649" i="1"/>
  <c r="AH648" i="1"/>
  <c r="AG648" i="1"/>
  <c r="AF648" i="1"/>
  <c r="W648" i="1"/>
  <c r="V648" i="1"/>
  <c r="P648" i="1"/>
  <c r="O648" i="1"/>
  <c r="N648" i="1"/>
  <c r="M648" i="1"/>
  <c r="L648" i="1"/>
  <c r="G648" i="1"/>
  <c r="F648" i="1"/>
  <c r="E648" i="1"/>
  <c r="D648" i="1"/>
  <c r="C648" i="1"/>
  <c r="B648" i="1"/>
  <c r="AH647" i="1"/>
  <c r="AG647" i="1"/>
  <c r="AF647" i="1"/>
  <c r="W647" i="1"/>
  <c r="V647" i="1"/>
  <c r="Q647" i="1"/>
  <c r="P647" i="1"/>
  <c r="O647" i="1"/>
  <c r="N647" i="1"/>
  <c r="M647" i="1"/>
  <c r="L647" i="1"/>
  <c r="G647" i="1"/>
  <c r="F647" i="1"/>
  <c r="E647" i="1"/>
  <c r="D647" i="1"/>
  <c r="C647" i="1"/>
  <c r="B647" i="1"/>
  <c r="AG646" i="1"/>
  <c r="AF646" i="1"/>
  <c r="X646" i="1"/>
  <c r="W646" i="1"/>
  <c r="V646" i="1"/>
  <c r="M646" i="1"/>
  <c r="L646" i="1"/>
  <c r="J646" i="1"/>
  <c r="I646" i="1"/>
  <c r="H646" i="1"/>
  <c r="E646" i="1"/>
  <c r="D646" i="1"/>
  <c r="C646" i="1"/>
  <c r="B646" i="1"/>
  <c r="AH645" i="1"/>
  <c r="AG645" i="1"/>
  <c r="AF645" i="1"/>
  <c r="AD645" i="1"/>
  <c r="AC645" i="1"/>
  <c r="AB645" i="1"/>
  <c r="AA645" i="1"/>
  <c r="Z645" i="1"/>
  <c r="Y645" i="1"/>
  <c r="X645" i="1"/>
  <c r="W645" i="1"/>
  <c r="V645" i="1"/>
  <c r="Q645" i="1"/>
  <c r="P645" i="1"/>
  <c r="O645" i="1"/>
  <c r="N645" i="1"/>
  <c r="M645" i="1"/>
  <c r="L645" i="1"/>
  <c r="E645" i="1"/>
  <c r="D645" i="1"/>
  <c r="C645" i="1"/>
  <c r="B645" i="1"/>
  <c r="AH644" i="1"/>
  <c r="AG644" i="1"/>
  <c r="AF644" i="1"/>
  <c r="X644" i="1"/>
  <c r="W644" i="1"/>
  <c r="V644" i="1"/>
  <c r="N644" i="1"/>
  <c r="M644" i="1"/>
  <c r="L644" i="1"/>
  <c r="F644" i="1"/>
  <c r="E644" i="1"/>
  <c r="D644" i="1"/>
  <c r="C644" i="1"/>
  <c r="B644" i="1"/>
  <c r="AH643" i="1"/>
  <c r="AG643" i="1"/>
  <c r="AF643" i="1"/>
  <c r="Z643" i="1"/>
  <c r="Y643" i="1"/>
  <c r="X643" i="1"/>
  <c r="W643" i="1"/>
  <c r="V643" i="1"/>
  <c r="O643" i="1"/>
  <c r="N643" i="1"/>
  <c r="M643" i="1"/>
  <c r="L643" i="1"/>
  <c r="D643" i="1"/>
  <c r="C643" i="1"/>
  <c r="B643" i="1"/>
  <c r="AH642" i="1"/>
  <c r="AG642" i="1"/>
  <c r="AF642" i="1"/>
  <c r="Y642" i="1"/>
  <c r="X642" i="1"/>
  <c r="W642" i="1"/>
  <c r="V642" i="1"/>
  <c r="N642" i="1"/>
  <c r="M642" i="1"/>
  <c r="L642" i="1"/>
  <c r="F642" i="1"/>
  <c r="E642" i="1"/>
  <c r="D642" i="1"/>
  <c r="C642" i="1"/>
  <c r="B642" i="1"/>
  <c r="AH641" i="1"/>
  <c r="AG641" i="1"/>
  <c r="AF641" i="1"/>
  <c r="Y641" i="1"/>
  <c r="N641" i="1"/>
  <c r="M641" i="1"/>
  <c r="L641" i="1"/>
  <c r="G641" i="1"/>
  <c r="F641" i="1"/>
  <c r="E641" i="1"/>
  <c r="D641" i="1"/>
  <c r="C641" i="1"/>
  <c r="B641" i="1"/>
  <c r="AG640" i="1"/>
  <c r="AF640" i="1"/>
  <c r="AA640" i="1"/>
  <c r="Z640" i="1"/>
  <c r="Y640" i="1"/>
  <c r="X640" i="1"/>
  <c r="W640" i="1"/>
  <c r="V640" i="1"/>
  <c r="P640" i="1"/>
  <c r="O640" i="1"/>
  <c r="N640" i="1"/>
  <c r="M640" i="1"/>
  <c r="L640" i="1"/>
  <c r="G640" i="1"/>
  <c r="F640" i="1"/>
  <c r="E640" i="1"/>
  <c r="D640" i="1"/>
  <c r="C640" i="1"/>
  <c r="B640" i="1"/>
  <c r="AH639" i="1"/>
  <c r="AG639" i="1"/>
  <c r="AF639" i="1"/>
  <c r="W639" i="1"/>
  <c r="V639" i="1"/>
  <c r="S639" i="1"/>
  <c r="R639" i="1"/>
  <c r="Q639" i="1"/>
  <c r="P639" i="1"/>
  <c r="O639" i="1"/>
  <c r="N639" i="1"/>
  <c r="M639" i="1"/>
  <c r="L639" i="1"/>
  <c r="G639" i="1"/>
  <c r="F639" i="1"/>
  <c r="E639" i="1"/>
  <c r="D639" i="1"/>
  <c r="C639" i="1"/>
  <c r="B639" i="1"/>
  <c r="AG638" i="1"/>
  <c r="AF638" i="1"/>
  <c r="X638" i="1"/>
  <c r="W638" i="1"/>
  <c r="V638" i="1"/>
  <c r="Q638" i="1"/>
  <c r="P638" i="1"/>
  <c r="O638" i="1"/>
  <c r="N638" i="1"/>
  <c r="M638" i="1"/>
  <c r="L638" i="1"/>
  <c r="G638" i="1"/>
  <c r="B638" i="1"/>
  <c r="AH637" i="1"/>
  <c r="AG637" i="1"/>
  <c r="AF637" i="1"/>
  <c r="AC637" i="1"/>
  <c r="AB637" i="1"/>
  <c r="AA637" i="1"/>
  <c r="Z637" i="1"/>
  <c r="Y637" i="1"/>
  <c r="X637" i="1"/>
  <c r="W637" i="1"/>
  <c r="V637" i="1"/>
  <c r="N637" i="1"/>
  <c r="M637" i="1"/>
  <c r="L637" i="1"/>
  <c r="G637" i="1"/>
  <c r="F637" i="1"/>
  <c r="E637" i="1"/>
  <c r="D637" i="1"/>
  <c r="C637" i="1"/>
  <c r="B637" i="1"/>
  <c r="AH636" i="1"/>
  <c r="AG636" i="1"/>
  <c r="AF636" i="1"/>
  <c r="AD636" i="1"/>
  <c r="AC636" i="1"/>
  <c r="AB636" i="1"/>
  <c r="AA636" i="1"/>
  <c r="Z636" i="1"/>
  <c r="Y636" i="1"/>
  <c r="X636" i="1"/>
  <c r="W636" i="1"/>
  <c r="V636" i="1"/>
  <c r="R636" i="1"/>
  <c r="Q636" i="1"/>
  <c r="P636" i="1"/>
  <c r="O636" i="1"/>
  <c r="N636" i="1"/>
  <c r="M636" i="1"/>
  <c r="L636" i="1"/>
  <c r="D636" i="1"/>
  <c r="C636" i="1"/>
  <c r="B636" i="1"/>
  <c r="AH635" i="1"/>
  <c r="AG635" i="1"/>
  <c r="AF635" i="1"/>
  <c r="X635" i="1"/>
  <c r="W635" i="1"/>
  <c r="V635" i="1"/>
  <c r="Q635" i="1"/>
  <c r="P635" i="1"/>
  <c r="O635" i="1"/>
  <c r="N635" i="1"/>
  <c r="M635" i="1"/>
  <c r="L635" i="1"/>
  <c r="D635" i="1"/>
  <c r="C635" i="1"/>
  <c r="B635" i="1"/>
  <c r="AH634" i="1"/>
  <c r="AG634" i="1"/>
  <c r="AF634" i="1"/>
  <c r="W634" i="1"/>
  <c r="V634" i="1"/>
  <c r="P634" i="1"/>
  <c r="O634" i="1"/>
  <c r="N634" i="1"/>
  <c r="M634" i="1"/>
  <c r="L634" i="1"/>
  <c r="F634" i="1"/>
  <c r="E634" i="1"/>
  <c r="D634" i="1"/>
  <c r="C634" i="1"/>
  <c r="B634" i="1"/>
  <c r="AH633" i="1"/>
  <c r="AG633" i="1"/>
  <c r="AF633" i="1"/>
  <c r="Y633" i="1"/>
  <c r="X633" i="1"/>
  <c r="W633" i="1"/>
  <c r="O633" i="1"/>
  <c r="N633" i="1"/>
  <c r="M633" i="1"/>
  <c r="L633" i="1"/>
  <c r="D633" i="1"/>
  <c r="C633" i="1"/>
  <c r="B633" i="1"/>
  <c r="AH632" i="1"/>
  <c r="AG632" i="1"/>
  <c r="AF632" i="1"/>
  <c r="AA632" i="1"/>
  <c r="Z632" i="1"/>
  <c r="Y632" i="1"/>
  <c r="X632" i="1"/>
  <c r="W632" i="1"/>
  <c r="V632" i="1"/>
  <c r="Q632" i="1"/>
  <c r="P632" i="1"/>
  <c r="O632" i="1"/>
  <c r="N632" i="1"/>
  <c r="M632" i="1"/>
  <c r="L632" i="1"/>
  <c r="F632" i="1"/>
  <c r="E632" i="1"/>
  <c r="D632" i="1"/>
  <c r="C632" i="1"/>
  <c r="B632" i="1"/>
  <c r="AH631" i="1"/>
  <c r="AG631" i="1"/>
  <c r="AF631" i="1"/>
  <c r="Z631" i="1"/>
  <c r="Y631" i="1"/>
  <c r="X631" i="1"/>
  <c r="W631" i="1"/>
  <c r="V631" i="1"/>
  <c r="O631" i="1"/>
  <c r="N631" i="1"/>
  <c r="M631" i="1"/>
  <c r="L631" i="1"/>
  <c r="D631" i="1"/>
  <c r="C631" i="1"/>
  <c r="B631" i="1"/>
  <c r="AH630" i="1"/>
  <c r="AG630" i="1"/>
  <c r="AF630" i="1"/>
  <c r="W630" i="1"/>
  <c r="V630" i="1"/>
  <c r="O630" i="1"/>
  <c r="N630" i="1"/>
  <c r="M630" i="1"/>
  <c r="L630" i="1"/>
  <c r="D630" i="1"/>
  <c r="C630" i="1"/>
  <c r="B630" i="1"/>
  <c r="AH629" i="1"/>
  <c r="AG629" i="1"/>
  <c r="AF629" i="1"/>
  <c r="W629" i="1"/>
  <c r="V629" i="1"/>
  <c r="M629" i="1"/>
  <c r="L629" i="1"/>
  <c r="H629" i="1"/>
  <c r="F629" i="1"/>
  <c r="E629" i="1"/>
  <c r="D629" i="1"/>
  <c r="C629" i="1"/>
  <c r="B629" i="1"/>
  <c r="AH628" i="1"/>
  <c r="AG628" i="1"/>
  <c r="AF628" i="1"/>
  <c r="W628" i="1"/>
  <c r="V628" i="1"/>
  <c r="Q628" i="1"/>
  <c r="O628" i="1"/>
  <c r="N628" i="1"/>
  <c r="M628" i="1"/>
  <c r="L628" i="1"/>
  <c r="F628" i="1"/>
  <c r="C628" i="1"/>
  <c r="B628" i="1"/>
  <c r="AH627" i="1"/>
  <c r="AG627" i="1"/>
  <c r="AF627" i="1"/>
  <c r="X627" i="1"/>
  <c r="W627" i="1"/>
  <c r="V627" i="1"/>
  <c r="N627" i="1"/>
  <c r="M627" i="1"/>
  <c r="L627" i="1"/>
  <c r="G627" i="1"/>
  <c r="F627" i="1"/>
  <c r="E627" i="1"/>
  <c r="D627" i="1"/>
  <c r="C627" i="1"/>
  <c r="B627" i="1"/>
  <c r="AH626" i="1"/>
  <c r="AG626" i="1"/>
  <c r="AF626" i="1"/>
  <c r="W626" i="1"/>
  <c r="V626" i="1"/>
  <c r="R626" i="1"/>
  <c r="M626" i="1"/>
  <c r="L626" i="1"/>
  <c r="E626" i="1"/>
  <c r="D626" i="1"/>
  <c r="C626" i="1"/>
  <c r="B626" i="1"/>
  <c r="AH625" i="1"/>
  <c r="AG625" i="1"/>
  <c r="AF625" i="1"/>
  <c r="Z625" i="1"/>
  <c r="Y625" i="1"/>
  <c r="X625" i="1"/>
  <c r="W625" i="1"/>
  <c r="V625" i="1"/>
  <c r="L625" i="1"/>
  <c r="D625" i="1"/>
  <c r="C625" i="1"/>
  <c r="B625" i="1"/>
  <c r="AH624" i="1"/>
  <c r="AG624" i="1"/>
  <c r="AF624" i="1"/>
  <c r="AB624" i="1"/>
  <c r="AA624" i="1"/>
  <c r="Z624" i="1"/>
  <c r="Y624" i="1"/>
  <c r="X624" i="1"/>
  <c r="W624" i="1"/>
  <c r="V624" i="1"/>
  <c r="Q624" i="1"/>
  <c r="P624" i="1"/>
  <c r="O624" i="1"/>
  <c r="N624" i="1"/>
  <c r="M624" i="1"/>
  <c r="L624" i="1"/>
  <c r="D624" i="1"/>
  <c r="C624" i="1"/>
  <c r="B624" i="1"/>
  <c r="AH623" i="1"/>
  <c r="AG623" i="1"/>
  <c r="AF623" i="1"/>
  <c r="AB623" i="1"/>
  <c r="AA623" i="1"/>
  <c r="Z623" i="1"/>
  <c r="Y623" i="1"/>
  <c r="X623" i="1"/>
  <c r="W623" i="1"/>
  <c r="V623" i="1"/>
  <c r="P623" i="1"/>
  <c r="O623" i="1"/>
  <c r="N623" i="1"/>
  <c r="M623" i="1"/>
  <c r="L623" i="1"/>
  <c r="C623" i="1"/>
  <c r="B623" i="1"/>
  <c r="AH622" i="1"/>
  <c r="AG622" i="1"/>
  <c r="AF622" i="1"/>
  <c r="AA622" i="1"/>
  <c r="Z622" i="1"/>
  <c r="Y622" i="1"/>
  <c r="X622" i="1"/>
  <c r="W622" i="1"/>
  <c r="V622" i="1"/>
  <c r="P622" i="1"/>
  <c r="O622" i="1"/>
  <c r="N622" i="1"/>
  <c r="M622" i="1"/>
  <c r="L622" i="1"/>
  <c r="D622" i="1"/>
  <c r="C622" i="1"/>
  <c r="B622" i="1"/>
  <c r="AH621" i="1"/>
  <c r="AG621" i="1"/>
  <c r="AF621" i="1"/>
  <c r="Z621" i="1"/>
  <c r="Y621" i="1"/>
  <c r="X621" i="1"/>
  <c r="W621" i="1"/>
  <c r="V621" i="1"/>
  <c r="N621" i="1"/>
  <c r="M621" i="1"/>
  <c r="L621" i="1"/>
  <c r="F621" i="1"/>
  <c r="E621" i="1"/>
  <c r="D621" i="1"/>
  <c r="C621" i="1"/>
  <c r="B621" i="1"/>
  <c r="AG620" i="1"/>
  <c r="AF620" i="1"/>
  <c r="W620" i="1"/>
  <c r="V620" i="1"/>
  <c r="M620" i="1"/>
  <c r="L620" i="1"/>
  <c r="G620" i="1"/>
  <c r="F620" i="1"/>
  <c r="E620" i="1"/>
  <c r="D620" i="1"/>
  <c r="C620" i="1"/>
  <c r="B620" i="1"/>
  <c r="AG619" i="1"/>
  <c r="AF619" i="1"/>
  <c r="W619" i="1"/>
  <c r="V619" i="1"/>
  <c r="O619" i="1"/>
  <c r="N619" i="1"/>
  <c r="M619" i="1"/>
  <c r="L619" i="1"/>
  <c r="D619" i="1"/>
  <c r="C619" i="1"/>
  <c r="B619" i="1"/>
  <c r="AH618" i="1"/>
  <c r="AG618" i="1"/>
  <c r="AF618" i="1"/>
  <c r="O618" i="1"/>
  <c r="N618" i="1"/>
  <c r="M618" i="1"/>
  <c r="L618" i="1"/>
  <c r="D618" i="1"/>
  <c r="C618" i="1"/>
  <c r="B618" i="1"/>
  <c r="AH617" i="1"/>
  <c r="AG617" i="1"/>
  <c r="AF617" i="1"/>
  <c r="V617" i="1"/>
  <c r="M617" i="1"/>
  <c r="L617" i="1"/>
  <c r="D617" i="1"/>
  <c r="C617" i="1"/>
  <c r="B617" i="1"/>
  <c r="AG616" i="1"/>
  <c r="AF616" i="1"/>
  <c r="AD616" i="1"/>
  <c r="AC616" i="1"/>
  <c r="AB616" i="1"/>
  <c r="AA616" i="1"/>
  <c r="Z616" i="1"/>
  <c r="Y616" i="1"/>
  <c r="X616" i="1"/>
  <c r="W616" i="1"/>
  <c r="V616" i="1"/>
  <c r="M616" i="1"/>
  <c r="L616" i="1"/>
  <c r="F616" i="1"/>
  <c r="E616" i="1"/>
  <c r="D616" i="1"/>
  <c r="C616" i="1"/>
  <c r="B616" i="1"/>
  <c r="AH615" i="1"/>
  <c r="AG615" i="1"/>
  <c r="AF615" i="1"/>
  <c r="Z615" i="1"/>
  <c r="Y615" i="1"/>
  <c r="X615" i="1"/>
  <c r="W615" i="1"/>
  <c r="V615" i="1"/>
  <c r="Q615" i="1"/>
  <c r="P615" i="1"/>
  <c r="O615" i="1"/>
  <c r="N615" i="1"/>
  <c r="M615" i="1"/>
  <c r="L615" i="1"/>
  <c r="D615" i="1"/>
  <c r="C615" i="1"/>
  <c r="B615" i="1"/>
  <c r="AH614" i="1"/>
  <c r="AG614" i="1"/>
  <c r="AF614" i="1"/>
  <c r="V614" i="1"/>
  <c r="N614" i="1"/>
  <c r="M614" i="1"/>
  <c r="L614" i="1"/>
  <c r="G614" i="1"/>
  <c r="F614" i="1"/>
  <c r="E614" i="1"/>
  <c r="D614" i="1"/>
  <c r="C614" i="1"/>
  <c r="B614" i="1"/>
  <c r="AH613" i="1"/>
  <c r="AG613" i="1"/>
  <c r="AF613" i="1"/>
  <c r="Z613" i="1"/>
  <c r="Y613" i="1"/>
  <c r="X613" i="1"/>
  <c r="W613" i="1"/>
  <c r="V613" i="1"/>
  <c r="T613" i="1"/>
  <c r="R613" i="1"/>
  <c r="Q613" i="1"/>
  <c r="P613" i="1"/>
  <c r="O613" i="1"/>
  <c r="N613" i="1"/>
  <c r="M613" i="1"/>
  <c r="L613" i="1"/>
  <c r="C613" i="1"/>
  <c r="B613" i="1"/>
  <c r="AH612" i="1"/>
  <c r="AG612" i="1"/>
  <c r="AF612" i="1"/>
  <c r="AB612" i="1"/>
  <c r="AA612" i="1"/>
  <c r="Z612" i="1"/>
  <c r="Y612" i="1"/>
  <c r="X612" i="1"/>
  <c r="W612" i="1"/>
  <c r="V612" i="1"/>
  <c r="R612" i="1"/>
  <c r="P612" i="1"/>
  <c r="O612" i="1"/>
  <c r="N612" i="1"/>
  <c r="M612" i="1"/>
  <c r="L612" i="1"/>
  <c r="F612" i="1"/>
  <c r="D612" i="1"/>
  <c r="C612" i="1"/>
  <c r="B612" i="1"/>
  <c r="AG611" i="1"/>
  <c r="AF611" i="1"/>
  <c r="AC611" i="1"/>
  <c r="AA611" i="1"/>
  <c r="Z611" i="1"/>
  <c r="Y611" i="1"/>
  <c r="X611" i="1"/>
  <c r="W611" i="1"/>
  <c r="V611" i="1"/>
  <c r="R611" i="1"/>
  <c r="Q611" i="1"/>
  <c r="P611" i="1"/>
  <c r="O611" i="1"/>
  <c r="N611" i="1"/>
  <c r="M611" i="1"/>
  <c r="L611" i="1"/>
  <c r="C611" i="1"/>
  <c r="B611" i="1"/>
  <c r="AH610" i="1"/>
  <c r="AG610" i="1"/>
  <c r="AF610" i="1"/>
  <c r="W610" i="1"/>
  <c r="V610" i="1"/>
  <c r="M610" i="1"/>
  <c r="L610" i="1"/>
  <c r="G610" i="1"/>
  <c r="F610" i="1"/>
  <c r="E610" i="1"/>
  <c r="D610" i="1"/>
  <c r="C610" i="1"/>
  <c r="B610" i="1"/>
  <c r="AH609" i="1"/>
  <c r="AG609" i="1"/>
  <c r="AF609" i="1"/>
  <c r="Z609" i="1"/>
  <c r="Y609" i="1"/>
  <c r="X609" i="1"/>
  <c r="W609" i="1"/>
  <c r="V609" i="1"/>
  <c r="M609" i="1"/>
  <c r="L609" i="1"/>
  <c r="H609" i="1"/>
  <c r="G609" i="1"/>
  <c r="F609" i="1"/>
  <c r="E609" i="1"/>
  <c r="D609" i="1"/>
  <c r="C609" i="1"/>
  <c r="B609" i="1"/>
  <c r="AG608" i="1"/>
  <c r="AF608" i="1"/>
  <c r="Y608" i="1"/>
  <c r="X608" i="1"/>
  <c r="W608" i="1"/>
  <c r="V608" i="1"/>
  <c r="O608" i="1"/>
  <c r="N608" i="1"/>
  <c r="M608" i="1"/>
  <c r="L608" i="1"/>
  <c r="G608" i="1"/>
  <c r="F608" i="1"/>
  <c r="E608" i="1"/>
  <c r="D608" i="1"/>
  <c r="C608" i="1"/>
  <c r="B608" i="1"/>
  <c r="AH607" i="1"/>
  <c r="AG607" i="1"/>
  <c r="AF607" i="1"/>
  <c r="X607" i="1"/>
  <c r="W607" i="1"/>
  <c r="V607" i="1"/>
  <c r="O607" i="1"/>
  <c r="N607" i="1"/>
  <c r="M607" i="1"/>
  <c r="L607" i="1"/>
  <c r="D607" i="1"/>
  <c r="C607" i="1"/>
  <c r="B607" i="1"/>
  <c r="AH606" i="1"/>
  <c r="AG606" i="1"/>
  <c r="AF606" i="1"/>
  <c r="W606" i="1"/>
  <c r="V606" i="1"/>
  <c r="P606" i="1"/>
  <c r="O606" i="1"/>
  <c r="N606" i="1"/>
  <c r="M606" i="1"/>
  <c r="L606" i="1"/>
  <c r="D606" i="1"/>
  <c r="C606" i="1"/>
  <c r="B606" i="1"/>
  <c r="AH605" i="1"/>
  <c r="AG605" i="1"/>
  <c r="AF605" i="1"/>
  <c r="V605" i="1"/>
  <c r="N605" i="1"/>
  <c r="M605" i="1"/>
  <c r="L605" i="1"/>
  <c r="C605" i="1"/>
  <c r="B605" i="1"/>
  <c r="AH604" i="1"/>
  <c r="AG604" i="1"/>
  <c r="AF604" i="1"/>
  <c r="Y604" i="1"/>
  <c r="X604" i="1"/>
  <c r="W604" i="1"/>
  <c r="V604" i="1"/>
  <c r="P604" i="1"/>
  <c r="O604" i="1"/>
  <c r="N604" i="1"/>
  <c r="M604" i="1"/>
  <c r="L604" i="1"/>
  <c r="D604" i="1"/>
  <c r="C604" i="1"/>
  <c r="B604" i="1"/>
  <c r="AH603" i="1"/>
  <c r="AG603" i="1"/>
  <c r="AF603" i="1"/>
  <c r="W603" i="1"/>
  <c r="V603" i="1"/>
  <c r="N603" i="1"/>
  <c r="M603" i="1"/>
  <c r="L603" i="1"/>
  <c r="F603" i="1"/>
  <c r="E603" i="1"/>
  <c r="D603" i="1"/>
  <c r="C603" i="1"/>
  <c r="B603" i="1"/>
  <c r="AH602" i="1"/>
  <c r="AG602" i="1"/>
  <c r="AF602" i="1"/>
  <c r="Z602" i="1"/>
  <c r="Y602" i="1"/>
  <c r="X602" i="1"/>
  <c r="W602" i="1"/>
  <c r="V602" i="1"/>
  <c r="O602" i="1"/>
  <c r="M602" i="1"/>
  <c r="L602" i="1"/>
  <c r="D602" i="1"/>
  <c r="C602" i="1"/>
  <c r="B602" i="1"/>
  <c r="AH601" i="1"/>
  <c r="AG601" i="1"/>
  <c r="AF601" i="1"/>
  <c r="AC601" i="1"/>
  <c r="AB601" i="1"/>
  <c r="AA601" i="1"/>
  <c r="Z601" i="1"/>
  <c r="Y601" i="1"/>
  <c r="X601" i="1"/>
  <c r="W601" i="1"/>
  <c r="V601" i="1"/>
  <c r="M601" i="1"/>
  <c r="L601" i="1"/>
  <c r="D601" i="1"/>
  <c r="C601" i="1"/>
  <c r="B601" i="1"/>
  <c r="AH600" i="1"/>
  <c r="AG600" i="1"/>
  <c r="AF600" i="1"/>
  <c r="AB600" i="1"/>
  <c r="AA600" i="1"/>
  <c r="Z600" i="1"/>
  <c r="Y600" i="1"/>
  <c r="X600" i="1"/>
  <c r="W600" i="1"/>
  <c r="V600" i="1"/>
  <c r="M600" i="1"/>
  <c r="L600" i="1"/>
  <c r="F600" i="1"/>
  <c r="E600" i="1"/>
  <c r="D600" i="1"/>
  <c r="C600" i="1"/>
  <c r="B600" i="1"/>
  <c r="AH599" i="1"/>
  <c r="AG599" i="1"/>
  <c r="AF599" i="1"/>
  <c r="X599" i="1"/>
  <c r="W599" i="1"/>
  <c r="V599" i="1"/>
  <c r="P599" i="1"/>
  <c r="O599" i="1"/>
  <c r="N599" i="1"/>
  <c r="M599" i="1"/>
  <c r="L599" i="1"/>
  <c r="J599" i="1"/>
  <c r="I599" i="1"/>
  <c r="H599" i="1"/>
  <c r="G599" i="1"/>
  <c r="F599" i="1"/>
  <c r="E599" i="1"/>
  <c r="D599" i="1"/>
  <c r="C599" i="1"/>
  <c r="B599" i="1"/>
  <c r="AH598" i="1"/>
  <c r="AG598" i="1"/>
  <c r="AF598" i="1"/>
  <c r="W598" i="1"/>
  <c r="V598" i="1"/>
  <c r="N598" i="1"/>
  <c r="M598" i="1"/>
  <c r="L598" i="1"/>
  <c r="G598" i="1"/>
  <c r="F598" i="1"/>
  <c r="E598" i="1"/>
  <c r="D598" i="1"/>
  <c r="C598" i="1"/>
  <c r="B598" i="1"/>
  <c r="AF597" i="1"/>
  <c r="X597" i="1"/>
  <c r="W597" i="1"/>
  <c r="V597" i="1"/>
  <c r="P597" i="1"/>
  <c r="O597" i="1"/>
  <c r="N597" i="1"/>
  <c r="M597" i="1"/>
  <c r="L597" i="1"/>
  <c r="G597" i="1"/>
  <c r="F597" i="1"/>
  <c r="E597" i="1"/>
  <c r="D597" i="1"/>
  <c r="C597" i="1"/>
  <c r="B597" i="1"/>
  <c r="AH596" i="1"/>
  <c r="AG596" i="1"/>
  <c r="AF596" i="1"/>
  <c r="AB596" i="1"/>
  <c r="AA596" i="1"/>
  <c r="Z596" i="1"/>
  <c r="Y596" i="1"/>
  <c r="X596" i="1"/>
  <c r="W596" i="1"/>
  <c r="V596" i="1"/>
  <c r="Q596" i="1"/>
  <c r="P596" i="1"/>
  <c r="O596" i="1"/>
  <c r="N596" i="1"/>
  <c r="M596" i="1"/>
  <c r="L596" i="1"/>
  <c r="D596" i="1"/>
  <c r="C596" i="1"/>
  <c r="B596" i="1"/>
  <c r="AH595" i="1"/>
  <c r="AG595" i="1"/>
  <c r="AF595" i="1"/>
  <c r="W595" i="1"/>
  <c r="V595" i="1"/>
  <c r="N595" i="1"/>
  <c r="M595" i="1"/>
  <c r="L595" i="1"/>
  <c r="D595" i="1"/>
  <c r="B595" i="1"/>
  <c r="AG594" i="1"/>
  <c r="AF594" i="1"/>
  <c r="V594" i="1"/>
  <c r="M594" i="1"/>
  <c r="L594" i="1"/>
  <c r="D594" i="1"/>
  <c r="C594" i="1"/>
  <c r="B594" i="1"/>
  <c r="AH593" i="1"/>
  <c r="AG593" i="1"/>
  <c r="AF593" i="1"/>
  <c r="X593" i="1"/>
  <c r="W593" i="1"/>
  <c r="V593" i="1"/>
  <c r="N593" i="1"/>
  <c r="M593" i="1"/>
  <c r="L593" i="1"/>
  <c r="F593" i="1"/>
  <c r="E593" i="1"/>
  <c r="D593" i="1"/>
  <c r="C593" i="1"/>
  <c r="B593" i="1"/>
  <c r="AH592" i="1"/>
  <c r="AG592" i="1"/>
  <c r="AF592" i="1"/>
  <c r="Y592" i="1"/>
  <c r="X592" i="1"/>
  <c r="W592" i="1"/>
  <c r="V592" i="1"/>
  <c r="O592" i="1"/>
  <c r="N592" i="1"/>
  <c r="M592" i="1"/>
  <c r="L592" i="1"/>
  <c r="H592" i="1"/>
  <c r="G592" i="1"/>
  <c r="F592" i="1"/>
  <c r="E592" i="1"/>
  <c r="D592" i="1"/>
  <c r="C592" i="1"/>
  <c r="B592" i="1"/>
  <c r="AH591" i="1"/>
  <c r="AG591" i="1"/>
  <c r="AF591" i="1"/>
  <c r="X591" i="1"/>
  <c r="W591" i="1"/>
  <c r="V591" i="1"/>
  <c r="S591" i="1"/>
  <c r="R591" i="1"/>
  <c r="Q591" i="1"/>
  <c r="P591" i="1"/>
  <c r="O591" i="1"/>
  <c r="N591" i="1"/>
  <c r="M591" i="1"/>
  <c r="L591" i="1"/>
  <c r="D591" i="1"/>
  <c r="C591" i="1"/>
  <c r="B591" i="1"/>
  <c r="AH590" i="1"/>
  <c r="AG590" i="1"/>
  <c r="AF590" i="1"/>
  <c r="X590" i="1"/>
  <c r="W590" i="1"/>
  <c r="V590" i="1"/>
  <c r="N590" i="1"/>
  <c r="M590" i="1"/>
  <c r="L590" i="1"/>
  <c r="F590" i="1"/>
  <c r="E590" i="1"/>
  <c r="D590" i="1"/>
  <c r="C590" i="1"/>
  <c r="B590" i="1"/>
  <c r="AH589" i="1"/>
  <c r="AG589" i="1"/>
  <c r="AF589" i="1"/>
  <c r="X589" i="1"/>
  <c r="W589" i="1"/>
  <c r="V589" i="1"/>
  <c r="M589" i="1"/>
  <c r="L589" i="1"/>
  <c r="H589" i="1"/>
  <c r="G589" i="1"/>
  <c r="F589" i="1"/>
  <c r="E589" i="1"/>
  <c r="D589" i="1"/>
  <c r="C589" i="1"/>
  <c r="B589" i="1"/>
  <c r="AH588" i="1"/>
  <c r="AG588" i="1"/>
  <c r="AF588" i="1"/>
  <c r="AB588" i="1"/>
  <c r="AA588" i="1"/>
  <c r="Z588" i="1"/>
  <c r="Y588" i="1"/>
  <c r="X588" i="1"/>
  <c r="W588" i="1"/>
  <c r="V588" i="1"/>
  <c r="N588" i="1"/>
  <c r="M588" i="1"/>
  <c r="L588" i="1"/>
  <c r="D588" i="1"/>
  <c r="C588" i="1"/>
  <c r="B588" i="1"/>
  <c r="W587" i="1"/>
  <c r="V587" i="1"/>
  <c r="Q587" i="1"/>
  <c r="P587" i="1"/>
  <c r="O587" i="1"/>
  <c r="N587" i="1"/>
  <c r="M587" i="1"/>
  <c r="L587" i="1"/>
  <c r="C587" i="1"/>
  <c r="B587" i="1"/>
  <c r="AH586" i="1"/>
  <c r="AG586" i="1"/>
  <c r="AF586" i="1"/>
  <c r="Y586" i="1"/>
  <c r="X586" i="1"/>
  <c r="W586" i="1"/>
  <c r="V586" i="1"/>
  <c r="N586" i="1"/>
  <c r="M586" i="1"/>
  <c r="L586" i="1"/>
  <c r="D586" i="1"/>
  <c r="C586" i="1"/>
  <c r="B586" i="1"/>
  <c r="AH585" i="1"/>
  <c r="AG585" i="1"/>
  <c r="AF585" i="1"/>
  <c r="AB585" i="1"/>
  <c r="AA585" i="1"/>
  <c r="Z585" i="1"/>
  <c r="Y585" i="1"/>
  <c r="X585" i="1"/>
  <c r="W585" i="1"/>
  <c r="V585" i="1"/>
  <c r="P585" i="1"/>
  <c r="O585" i="1"/>
  <c r="N585" i="1"/>
  <c r="M585" i="1"/>
  <c r="L585" i="1"/>
  <c r="H585" i="1"/>
  <c r="G585" i="1"/>
  <c r="F585" i="1"/>
  <c r="E585" i="1"/>
  <c r="D585" i="1"/>
  <c r="C585" i="1"/>
  <c r="B585" i="1"/>
  <c r="AH584" i="1"/>
  <c r="AG584" i="1"/>
  <c r="AF584" i="1"/>
  <c r="Y584" i="1"/>
  <c r="X584" i="1"/>
  <c r="W584" i="1"/>
  <c r="V584" i="1"/>
  <c r="M584" i="1"/>
  <c r="L584" i="1"/>
  <c r="G584" i="1"/>
  <c r="F584" i="1"/>
  <c r="E584" i="1"/>
  <c r="D584" i="1"/>
  <c r="C584" i="1"/>
  <c r="B584" i="1"/>
  <c r="AH583" i="1"/>
  <c r="AG583" i="1"/>
  <c r="AF583" i="1"/>
  <c r="X583" i="1"/>
  <c r="W583" i="1"/>
  <c r="V583" i="1"/>
  <c r="R583" i="1"/>
  <c r="O583" i="1"/>
  <c r="N583" i="1"/>
  <c r="M583" i="1"/>
  <c r="L583" i="1"/>
  <c r="J583" i="1"/>
  <c r="I583" i="1"/>
  <c r="H583" i="1"/>
  <c r="G583" i="1"/>
  <c r="F583" i="1"/>
  <c r="E583" i="1"/>
  <c r="D583" i="1"/>
  <c r="C583" i="1"/>
  <c r="B583" i="1"/>
  <c r="AH582" i="1"/>
  <c r="AG582" i="1"/>
  <c r="AF582" i="1"/>
  <c r="AD582" i="1"/>
  <c r="AB582" i="1"/>
  <c r="AA582" i="1"/>
  <c r="Z582" i="1"/>
  <c r="Y582" i="1"/>
  <c r="X582" i="1"/>
  <c r="W582" i="1"/>
  <c r="V582" i="1"/>
  <c r="N582" i="1"/>
  <c r="M582" i="1"/>
  <c r="L582" i="1"/>
  <c r="I582" i="1"/>
  <c r="H582" i="1"/>
  <c r="G582" i="1"/>
  <c r="F582" i="1"/>
  <c r="E582" i="1"/>
  <c r="D582" i="1"/>
  <c r="C582" i="1"/>
  <c r="B582" i="1"/>
  <c r="AG581" i="1"/>
  <c r="AF581" i="1"/>
  <c r="AA581" i="1"/>
  <c r="Z581" i="1"/>
  <c r="Y581" i="1"/>
  <c r="X581" i="1"/>
  <c r="W581" i="1"/>
  <c r="V581" i="1"/>
  <c r="P581" i="1"/>
  <c r="O581" i="1"/>
  <c r="N581" i="1"/>
  <c r="M581" i="1"/>
  <c r="L581" i="1"/>
  <c r="D581" i="1"/>
  <c r="C581" i="1"/>
  <c r="B581" i="1"/>
  <c r="AH580" i="1"/>
  <c r="AG580" i="1"/>
  <c r="AF580" i="1"/>
  <c r="W580" i="1"/>
  <c r="V580" i="1"/>
  <c r="P580" i="1"/>
  <c r="O580" i="1"/>
  <c r="N580" i="1"/>
  <c r="M580" i="1"/>
  <c r="L580" i="1"/>
  <c r="F580" i="1"/>
  <c r="E580" i="1"/>
  <c r="D580" i="1"/>
  <c r="C580" i="1"/>
  <c r="B580" i="1"/>
  <c r="AH579" i="1"/>
  <c r="AG579" i="1"/>
  <c r="AF579" i="1"/>
  <c r="AC579" i="1"/>
  <c r="AB579" i="1"/>
  <c r="AA579" i="1"/>
  <c r="Z579" i="1"/>
  <c r="Y579" i="1"/>
  <c r="X579" i="1"/>
  <c r="W579" i="1"/>
  <c r="V579" i="1"/>
  <c r="P579" i="1"/>
  <c r="O579" i="1"/>
  <c r="N579" i="1"/>
  <c r="M579" i="1"/>
  <c r="L579" i="1"/>
  <c r="I579" i="1"/>
  <c r="H579" i="1"/>
  <c r="G579" i="1"/>
  <c r="F579" i="1"/>
  <c r="E579" i="1"/>
  <c r="D579" i="1"/>
  <c r="C579" i="1"/>
  <c r="B579" i="1"/>
  <c r="AG578" i="1"/>
  <c r="AF578" i="1"/>
  <c r="X578" i="1"/>
  <c r="W578" i="1"/>
  <c r="V578" i="1"/>
  <c r="N578" i="1"/>
  <c r="M578" i="1"/>
  <c r="L578" i="1"/>
  <c r="D578" i="1"/>
  <c r="C578" i="1"/>
  <c r="B578" i="1"/>
  <c r="AH577" i="1"/>
  <c r="AG577" i="1"/>
  <c r="AF577" i="1"/>
  <c r="X577" i="1"/>
  <c r="W577" i="1"/>
  <c r="V577" i="1"/>
  <c r="P577" i="1"/>
  <c r="O577" i="1"/>
  <c r="N577" i="1"/>
  <c r="M577" i="1"/>
  <c r="L577" i="1"/>
  <c r="D577" i="1"/>
  <c r="C577" i="1"/>
  <c r="B577" i="1"/>
  <c r="AH576" i="1"/>
  <c r="AG576" i="1"/>
  <c r="AF576" i="1"/>
  <c r="W576" i="1"/>
  <c r="V576" i="1"/>
  <c r="S576" i="1"/>
  <c r="R576" i="1"/>
  <c r="Q576" i="1"/>
  <c r="P576" i="1"/>
  <c r="O576" i="1"/>
  <c r="N576" i="1"/>
  <c r="M576" i="1"/>
  <c r="L576" i="1"/>
  <c r="D576" i="1"/>
  <c r="C576" i="1"/>
  <c r="B576" i="1"/>
  <c r="AH575" i="1"/>
  <c r="AG575" i="1"/>
  <c r="AF575" i="1"/>
  <c r="Y575" i="1"/>
  <c r="X575" i="1"/>
  <c r="W575" i="1"/>
  <c r="V575" i="1"/>
  <c r="P575" i="1"/>
  <c r="O575" i="1"/>
  <c r="N575" i="1"/>
  <c r="M575" i="1"/>
  <c r="L575" i="1"/>
  <c r="H575" i="1"/>
  <c r="G575" i="1"/>
  <c r="F575" i="1"/>
  <c r="E575" i="1"/>
  <c r="D575" i="1"/>
  <c r="C575" i="1"/>
  <c r="B575" i="1"/>
  <c r="AH574" i="1"/>
  <c r="AG574" i="1"/>
  <c r="AF574" i="1"/>
  <c r="AA574" i="1"/>
  <c r="Y574" i="1"/>
  <c r="X574" i="1"/>
  <c r="W574" i="1"/>
  <c r="P574" i="1"/>
  <c r="O574" i="1"/>
  <c r="N574" i="1"/>
  <c r="M574" i="1"/>
  <c r="L574" i="1"/>
  <c r="F574" i="1"/>
  <c r="E574" i="1"/>
  <c r="D574" i="1"/>
  <c r="C574" i="1"/>
  <c r="B574" i="1"/>
  <c r="AH573" i="1"/>
  <c r="AG573" i="1"/>
  <c r="AF573" i="1"/>
  <c r="AB573" i="1"/>
  <c r="AA573" i="1"/>
  <c r="Z573" i="1"/>
  <c r="Y573" i="1"/>
  <c r="X573" i="1"/>
  <c r="W573" i="1"/>
  <c r="T573" i="1"/>
  <c r="S573" i="1"/>
  <c r="R573" i="1"/>
  <c r="Q573" i="1"/>
  <c r="P573" i="1"/>
  <c r="O573" i="1"/>
  <c r="N573" i="1"/>
  <c r="M573" i="1"/>
  <c r="L573" i="1"/>
  <c r="G573" i="1"/>
  <c r="F573" i="1"/>
  <c r="E573" i="1"/>
  <c r="D573" i="1"/>
  <c r="C573" i="1"/>
  <c r="B573" i="1"/>
  <c r="AH572" i="1"/>
  <c r="AG572" i="1"/>
  <c r="AF572" i="1"/>
  <c r="V572" i="1"/>
  <c r="R572" i="1"/>
  <c r="Q572" i="1"/>
  <c r="P572" i="1"/>
  <c r="O572" i="1"/>
  <c r="N572" i="1"/>
  <c r="M572" i="1"/>
  <c r="L572" i="1"/>
  <c r="D572" i="1"/>
  <c r="C572" i="1"/>
  <c r="B572" i="1"/>
  <c r="AH571" i="1"/>
  <c r="AG571" i="1"/>
  <c r="AF571" i="1"/>
  <c r="Z571" i="1"/>
  <c r="Y571" i="1"/>
  <c r="X571" i="1"/>
  <c r="W571" i="1"/>
  <c r="V571" i="1"/>
  <c r="S571" i="1"/>
  <c r="Q571" i="1"/>
  <c r="P571" i="1"/>
  <c r="O571" i="1"/>
  <c r="N571" i="1"/>
  <c r="M571" i="1"/>
  <c r="L571" i="1"/>
  <c r="F571" i="1"/>
  <c r="E571" i="1"/>
  <c r="D571" i="1"/>
  <c r="C571" i="1"/>
  <c r="B571" i="1"/>
  <c r="AH570" i="1"/>
  <c r="AG570" i="1"/>
  <c r="AF570" i="1"/>
  <c r="W570" i="1"/>
  <c r="V570" i="1"/>
  <c r="R570" i="1"/>
  <c r="Q570" i="1"/>
  <c r="P570" i="1"/>
  <c r="O570" i="1"/>
  <c r="N570" i="1"/>
  <c r="M570" i="1"/>
  <c r="L570" i="1"/>
  <c r="F570" i="1"/>
  <c r="E570" i="1"/>
  <c r="D570" i="1"/>
  <c r="C570" i="1"/>
  <c r="B570" i="1"/>
  <c r="AH569" i="1"/>
  <c r="AG569" i="1"/>
  <c r="AF569" i="1"/>
  <c r="X569" i="1"/>
  <c r="W569" i="1"/>
  <c r="V569" i="1"/>
  <c r="R569" i="1"/>
  <c r="Q569" i="1"/>
  <c r="P569" i="1"/>
  <c r="O569" i="1"/>
  <c r="N569" i="1"/>
  <c r="M569" i="1"/>
  <c r="L569" i="1"/>
  <c r="E569" i="1"/>
  <c r="D569" i="1"/>
  <c r="C569" i="1"/>
  <c r="B569" i="1"/>
  <c r="AH568" i="1"/>
  <c r="AG568" i="1"/>
  <c r="AF568" i="1"/>
  <c r="Y568" i="1"/>
  <c r="X568" i="1"/>
  <c r="W568" i="1"/>
  <c r="V568" i="1"/>
  <c r="N568" i="1"/>
  <c r="M568" i="1"/>
  <c r="L568" i="1"/>
  <c r="G568" i="1"/>
  <c r="F568" i="1"/>
  <c r="E568" i="1"/>
  <c r="D568" i="1"/>
  <c r="C568" i="1"/>
  <c r="B568" i="1"/>
  <c r="AH567" i="1"/>
  <c r="AG567" i="1"/>
  <c r="AF567" i="1"/>
  <c r="AD567" i="1"/>
  <c r="AC567" i="1"/>
  <c r="AB567" i="1"/>
  <c r="AA567" i="1"/>
  <c r="Z567" i="1"/>
  <c r="Y567" i="1"/>
  <c r="X567" i="1"/>
  <c r="W567" i="1"/>
  <c r="V567" i="1"/>
  <c r="P567" i="1"/>
  <c r="O567" i="1"/>
  <c r="N567" i="1"/>
  <c r="M567" i="1"/>
  <c r="L567" i="1"/>
  <c r="H567" i="1"/>
  <c r="G567" i="1"/>
  <c r="F567" i="1"/>
  <c r="E567" i="1"/>
  <c r="D567" i="1"/>
  <c r="C567" i="1"/>
  <c r="B567" i="1"/>
  <c r="AH566" i="1"/>
  <c r="AG566" i="1"/>
  <c r="AF566" i="1"/>
  <c r="Z566" i="1"/>
  <c r="Y566" i="1"/>
  <c r="X566" i="1"/>
  <c r="W566" i="1"/>
  <c r="V566" i="1"/>
  <c r="R566" i="1"/>
  <c r="Q566" i="1"/>
  <c r="P566" i="1"/>
  <c r="O566" i="1"/>
  <c r="N566" i="1"/>
  <c r="M566" i="1"/>
  <c r="L566" i="1"/>
  <c r="D566" i="1"/>
  <c r="C566" i="1"/>
  <c r="B566" i="1"/>
  <c r="AH565" i="1"/>
  <c r="AG565" i="1"/>
  <c r="AF565" i="1"/>
  <c r="X565" i="1"/>
  <c r="W565" i="1"/>
  <c r="V565" i="1"/>
  <c r="P565" i="1"/>
  <c r="O565" i="1"/>
  <c r="N565" i="1"/>
  <c r="M565" i="1"/>
  <c r="L565" i="1"/>
  <c r="H565" i="1"/>
  <c r="G565" i="1"/>
  <c r="F565" i="1"/>
  <c r="E565" i="1"/>
  <c r="D565" i="1"/>
  <c r="C565" i="1"/>
  <c r="B565" i="1"/>
  <c r="AH564" i="1"/>
  <c r="AG564" i="1"/>
  <c r="AF564" i="1"/>
  <c r="W564" i="1"/>
  <c r="V564" i="1"/>
  <c r="R564" i="1"/>
  <c r="Q564" i="1"/>
  <c r="P564" i="1"/>
  <c r="O564" i="1"/>
  <c r="N564" i="1"/>
  <c r="M564" i="1"/>
  <c r="L564" i="1"/>
  <c r="C564" i="1"/>
  <c r="B564" i="1"/>
  <c r="AH563" i="1"/>
  <c r="AG563" i="1"/>
  <c r="AF563" i="1"/>
  <c r="W563" i="1"/>
  <c r="V563" i="1"/>
  <c r="M563" i="1"/>
  <c r="L563" i="1"/>
  <c r="F563" i="1"/>
  <c r="E563" i="1"/>
  <c r="D563" i="1"/>
  <c r="C563" i="1"/>
  <c r="B563" i="1"/>
  <c r="AH562" i="1"/>
  <c r="AG562" i="1"/>
  <c r="AF562" i="1"/>
  <c r="W562" i="1"/>
  <c r="V562" i="1"/>
  <c r="N562" i="1"/>
  <c r="M562" i="1"/>
  <c r="L562" i="1"/>
  <c r="H562" i="1"/>
  <c r="G562" i="1"/>
  <c r="F562" i="1"/>
  <c r="E562" i="1"/>
  <c r="D562" i="1"/>
  <c r="C562" i="1"/>
  <c r="B562" i="1"/>
  <c r="AH561" i="1"/>
  <c r="AG561" i="1"/>
  <c r="AF561" i="1"/>
  <c r="Z561" i="1"/>
  <c r="Y561" i="1"/>
  <c r="X561" i="1"/>
  <c r="W561" i="1"/>
  <c r="V561" i="1"/>
  <c r="P561" i="1"/>
  <c r="O561" i="1"/>
  <c r="N561" i="1"/>
  <c r="M561" i="1"/>
  <c r="L561" i="1"/>
  <c r="D561" i="1"/>
  <c r="C561" i="1"/>
  <c r="B561" i="1"/>
  <c r="AF560" i="1"/>
  <c r="AA560" i="1"/>
  <c r="W560" i="1"/>
  <c r="V560" i="1"/>
  <c r="Q560" i="1"/>
  <c r="P560" i="1"/>
  <c r="O560" i="1"/>
  <c r="N560" i="1"/>
  <c r="M560" i="1"/>
  <c r="L560" i="1"/>
  <c r="D560" i="1"/>
  <c r="C560" i="1"/>
  <c r="B560" i="1"/>
  <c r="AH559" i="1"/>
  <c r="AG559" i="1"/>
  <c r="AF559" i="1"/>
  <c r="AA559" i="1"/>
  <c r="Z559" i="1"/>
  <c r="Y559" i="1"/>
  <c r="X559" i="1"/>
  <c r="W559" i="1"/>
  <c r="V559" i="1"/>
  <c r="R559" i="1"/>
  <c r="Q559" i="1"/>
  <c r="P559" i="1"/>
  <c r="O559" i="1"/>
  <c r="N559" i="1"/>
  <c r="M559" i="1"/>
  <c r="L559" i="1"/>
  <c r="D559" i="1"/>
  <c r="C559" i="1"/>
  <c r="B559" i="1"/>
  <c r="AH558" i="1"/>
  <c r="AG558" i="1"/>
  <c r="AF558" i="1"/>
  <c r="X558" i="1"/>
  <c r="W558" i="1"/>
  <c r="V558" i="1"/>
  <c r="R558" i="1"/>
  <c r="Q558" i="1"/>
  <c r="P558" i="1"/>
  <c r="O558" i="1"/>
  <c r="N558" i="1"/>
  <c r="M558" i="1"/>
  <c r="L558" i="1"/>
  <c r="G558" i="1"/>
  <c r="F558" i="1"/>
  <c r="E558" i="1"/>
  <c r="D558" i="1"/>
  <c r="C558" i="1"/>
  <c r="AF557" i="1"/>
  <c r="Z557" i="1"/>
  <c r="Y557" i="1"/>
  <c r="X557" i="1"/>
  <c r="W557" i="1"/>
  <c r="V557" i="1"/>
  <c r="M557" i="1"/>
  <c r="L557" i="1"/>
  <c r="H557" i="1"/>
  <c r="F557" i="1"/>
  <c r="E557" i="1"/>
  <c r="D557" i="1"/>
  <c r="C557" i="1"/>
  <c r="B557" i="1"/>
  <c r="AH556" i="1"/>
  <c r="AG556" i="1"/>
  <c r="AF556" i="1"/>
  <c r="AA556" i="1"/>
  <c r="Z556" i="1"/>
  <c r="Y556" i="1"/>
  <c r="X556" i="1"/>
  <c r="W556" i="1"/>
  <c r="V556" i="1"/>
  <c r="R556" i="1"/>
  <c r="Q556" i="1"/>
  <c r="P556" i="1"/>
  <c r="O556" i="1"/>
  <c r="N556" i="1"/>
  <c r="M556" i="1"/>
  <c r="L556" i="1"/>
  <c r="C556" i="1"/>
  <c r="B556" i="1"/>
  <c r="AH555" i="1"/>
  <c r="AG555" i="1"/>
  <c r="AF555" i="1"/>
  <c r="X555" i="1"/>
  <c r="W555" i="1"/>
  <c r="V555" i="1"/>
  <c r="N555" i="1"/>
  <c r="M555" i="1"/>
  <c r="L555" i="1"/>
  <c r="I555" i="1"/>
  <c r="H555" i="1"/>
  <c r="G555" i="1"/>
  <c r="F555" i="1"/>
  <c r="E555" i="1"/>
  <c r="D555" i="1"/>
  <c r="C555" i="1"/>
  <c r="B555" i="1"/>
  <c r="AH554" i="1"/>
  <c r="AG554" i="1"/>
  <c r="AF554" i="1"/>
  <c r="W554" i="1"/>
  <c r="V554" i="1"/>
  <c r="Q554" i="1"/>
  <c r="P554" i="1"/>
  <c r="O554" i="1"/>
  <c r="N554" i="1"/>
  <c r="M554" i="1"/>
  <c r="L554" i="1"/>
  <c r="G554" i="1"/>
  <c r="F554" i="1"/>
  <c r="E554" i="1"/>
  <c r="D554" i="1"/>
  <c r="C554" i="1"/>
  <c r="B554" i="1"/>
  <c r="AH553" i="1"/>
  <c r="AG553" i="1"/>
  <c r="AF553" i="1"/>
  <c r="Z553" i="1"/>
  <c r="Y553" i="1"/>
  <c r="X553" i="1"/>
  <c r="W553" i="1"/>
  <c r="V553" i="1"/>
  <c r="T553" i="1"/>
  <c r="Q553" i="1"/>
  <c r="P553" i="1"/>
  <c r="O553" i="1"/>
  <c r="N553" i="1"/>
  <c r="M553" i="1"/>
  <c r="L553" i="1"/>
  <c r="C553" i="1"/>
  <c r="B553" i="1"/>
  <c r="AH552" i="1"/>
  <c r="AG552" i="1"/>
  <c r="AF552" i="1"/>
  <c r="W552" i="1"/>
  <c r="V552" i="1"/>
  <c r="O552" i="1"/>
  <c r="N552" i="1"/>
  <c r="M552" i="1"/>
  <c r="L552" i="1"/>
  <c r="J552" i="1"/>
  <c r="I552" i="1"/>
  <c r="H552" i="1"/>
  <c r="G552" i="1"/>
  <c r="F552" i="1"/>
  <c r="E552" i="1"/>
  <c r="D552" i="1"/>
  <c r="C552" i="1"/>
  <c r="B552" i="1"/>
  <c r="AH551" i="1"/>
  <c r="AG551" i="1"/>
  <c r="AF551" i="1"/>
  <c r="Y551" i="1"/>
  <c r="X551" i="1"/>
  <c r="W551" i="1"/>
  <c r="V551" i="1"/>
  <c r="O551" i="1"/>
  <c r="N551" i="1"/>
  <c r="M551" i="1"/>
  <c r="L551" i="1"/>
  <c r="F551" i="1"/>
  <c r="E551" i="1"/>
  <c r="D551" i="1"/>
  <c r="C551" i="1"/>
  <c r="B551" i="1"/>
  <c r="AH550" i="1"/>
  <c r="AG550" i="1"/>
  <c r="AF550" i="1"/>
  <c r="AB550" i="1"/>
  <c r="AA550" i="1"/>
  <c r="Z550" i="1"/>
  <c r="Y550" i="1"/>
  <c r="X550" i="1"/>
  <c r="W550" i="1"/>
  <c r="V550" i="1"/>
  <c r="P550" i="1"/>
  <c r="O550" i="1"/>
  <c r="N550" i="1"/>
  <c r="M550" i="1"/>
  <c r="L550" i="1"/>
  <c r="H550" i="1"/>
  <c r="G550" i="1"/>
  <c r="F550" i="1"/>
  <c r="E550" i="1"/>
  <c r="D550" i="1"/>
  <c r="C550" i="1"/>
  <c r="B550" i="1"/>
  <c r="AH549" i="1"/>
  <c r="AG549" i="1"/>
  <c r="AF549" i="1"/>
  <c r="Z549" i="1"/>
  <c r="Y549" i="1"/>
  <c r="X549" i="1"/>
  <c r="W549" i="1"/>
  <c r="V549" i="1"/>
  <c r="Q549" i="1"/>
  <c r="P549" i="1"/>
  <c r="O549" i="1"/>
  <c r="N549" i="1"/>
  <c r="M549" i="1"/>
  <c r="L549" i="1"/>
  <c r="C549" i="1"/>
  <c r="B549" i="1"/>
  <c r="AH548" i="1"/>
  <c r="AG548" i="1"/>
  <c r="AF548" i="1"/>
  <c r="Z548" i="1"/>
  <c r="Y548" i="1"/>
  <c r="X548" i="1"/>
  <c r="W548" i="1"/>
  <c r="V548" i="1"/>
  <c r="O548" i="1"/>
  <c r="N548" i="1"/>
  <c r="M548" i="1"/>
  <c r="L548" i="1"/>
  <c r="F548" i="1"/>
  <c r="B548" i="1"/>
  <c r="AH547" i="1"/>
  <c r="AG547" i="1"/>
  <c r="AF547" i="1"/>
  <c r="Z547" i="1"/>
  <c r="Y547" i="1"/>
  <c r="X547" i="1"/>
  <c r="W547" i="1"/>
  <c r="V547" i="1"/>
  <c r="N547" i="1"/>
  <c r="M547" i="1"/>
  <c r="L547" i="1"/>
  <c r="F547" i="1"/>
  <c r="E547" i="1"/>
  <c r="D547" i="1"/>
  <c r="C547" i="1"/>
  <c r="B547" i="1"/>
  <c r="AH546" i="1"/>
  <c r="AG546" i="1"/>
  <c r="AF546" i="1"/>
  <c r="Z546" i="1"/>
  <c r="Y546" i="1"/>
  <c r="X546" i="1"/>
  <c r="W546" i="1"/>
  <c r="V546" i="1"/>
  <c r="Q546" i="1"/>
  <c r="P546" i="1"/>
  <c r="O546" i="1"/>
  <c r="N546" i="1"/>
  <c r="M546" i="1"/>
  <c r="L546" i="1"/>
  <c r="C546" i="1"/>
  <c r="B546" i="1"/>
  <c r="AH545" i="1"/>
  <c r="AG545" i="1"/>
  <c r="AF545" i="1"/>
  <c r="AA545" i="1"/>
  <c r="Z545" i="1"/>
  <c r="Y545" i="1"/>
  <c r="X545" i="1"/>
  <c r="W545" i="1"/>
  <c r="V545" i="1"/>
  <c r="S545" i="1"/>
  <c r="R545" i="1"/>
  <c r="Q545" i="1"/>
  <c r="P545" i="1"/>
  <c r="O545" i="1"/>
  <c r="N545" i="1"/>
  <c r="M545" i="1"/>
  <c r="L545" i="1"/>
  <c r="H545" i="1"/>
  <c r="G545" i="1"/>
  <c r="F545" i="1"/>
  <c r="E545" i="1"/>
  <c r="D545" i="1"/>
  <c r="C545" i="1"/>
  <c r="B545" i="1"/>
  <c r="AG544" i="1"/>
  <c r="Z544" i="1"/>
  <c r="Y544" i="1"/>
  <c r="X544" i="1"/>
  <c r="W544" i="1"/>
  <c r="V544" i="1"/>
  <c r="Q544" i="1"/>
  <c r="P544" i="1"/>
  <c r="O544" i="1"/>
  <c r="N544" i="1"/>
  <c r="M544" i="1"/>
  <c r="L544" i="1"/>
  <c r="I544" i="1"/>
  <c r="H544" i="1"/>
  <c r="G544" i="1"/>
  <c r="F544" i="1"/>
  <c r="E544" i="1"/>
  <c r="D544" i="1"/>
  <c r="C544" i="1"/>
  <c r="B544" i="1"/>
  <c r="AH543" i="1"/>
  <c r="AG543" i="1"/>
  <c r="AF543" i="1"/>
  <c r="Z543" i="1"/>
  <c r="Y543" i="1"/>
  <c r="X543" i="1"/>
  <c r="W543" i="1"/>
  <c r="V543" i="1"/>
  <c r="N543" i="1"/>
  <c r="M543" i="1"/>
  <c r="L543" i="1"/>
  <c r="H543" i="1"/>
  <c r="G543" i="1"/>
  <c r="F543" i="1"/>
  <c r="E543" i="1"/>
  <c r="D543" i="1"/>
  <c r="C543" i="1"/>
  <c r="B543" i="1"/>
  <c r="AH542" i="1"/>
  <c r="AG542" i="1"/>
  <c r="AF542" i="1"/>
  <c r="W542" i="1"/>
  <c r="V542" i="1"/>
  <c r="Q542" i="1"/>
  <c r="P542" i="1"/>
  <c r="O542" i="1"/>
  <c r="N542" i="1"/>
  <c r="M542" i="1"/>
  <c r="L542" i="1"/>
  <c r="B542" i="1"/>
  <c r="AH541" i="1"/>
  <c r="AG541" i="1"/>
  <c r="AF541" i="1"/>
  <c r="Z541" i="1"/>
  <c r="Y541" i="1"/>
  <c r="X541" i="1"/>
  <c r="W541" i="1"/>
  <c r="V541" i="1"/>
  <c r="Q541" i="1"/>
  <c r="P541" i="1"/>
  <c r="O541" i="1"/>
  <c r="N541" i="1"/>
  <c r="M541" i="1"/>
  <c r="L541" i="1"/>
  <c r="F541" i="1"/>
  <c r="E541" i="1"/>
  <c r="D541" i="1"/>
  <c r="C541" i="1"/>
  <c r="B541" i="1"/>
  <c r="AH540" i="1"/>
  <c r="AG540" i="1"/>
  <c r="AF540" i="1"/>
  <c r="AA540" i="1"/>
  <c r="Z540" i="1"/>
  <c r="Y540" i="1"/>
  <c r="X540" i="1"/>
  <c r="W540" i="1"/>
  <c r="V540" i="1"/>
  <c r="O540" i="1"/>
  <c r="N540" i="1"/>
  <c r="M540" i="1"/>
  <c r="L540" i="1"/>
  <c r="F540" i="1"/>
  <c r="E540" i="1"/>
  <c r="D540" i="1"/>
  <c r="B540" i="1"/>
  <c r="AH539" i="1"/>
  <c r="AG539" i="1"/>
  <c r="AF539" i="1"/>
  <c r="W539" i="1"/>
  <c r="V539" i="1"/>
  <c r="R539" i="1"/>
  <c r="Q539" i="1"/>
  <c r="P539" i="1"/>
  <c r="O539" i="1"/>
  <c r="N539" i="1"/>
  <c r="M539" i="1"/>
  <c r="L539" i="1"/>
  <c r="J539" i="1"/>
  <c r="I539" i="1"/>
  <c r="H539" i="1"/>
  <c r="G539" i="1"/>
  <c r="F539" i="1"/>
  <c r="E539" i="1"/>
  <c r="D539" i="1"/>
  <c r="C539" i="1"/>
  <c r="B539" i="1"/>
  <c r="AG538" i="1"/>
  <c r="AF538" i="1"/>
  <c r="Y538" i="1"/>
  <c r="X538" i="1"/>
  <c r="W538" i="1"/>
  <c r="V538" i="1"/>
  <c r="N538" i="1"/>
  <c r="M538" i="1"/>
  <c r="L538" i="1"/>
  <c r="I538" i="1"/>
  <c r="H538" i="1"/>
  <c r="G538" i="1"/>
  <c r="F538" i="1"/>
  <c r="E538" i="1"/>
  <c r="D538" i="1"/>
  <c r="C538" i="1"/>
  <c r="B538" i="1"/>
  <c r="AH537" i="1"/>
  <c r="AG537" i="1"/>
  <c r="AF537" i="1"/>
  <c r="Z537" i="1"/>
  <c r="Y537" i="1"/>
  <c r="X537" i="1"/>
  <c r="W537" i="1"/>
  <c r="V537" i="1"/>
  <c r="S537" i="1"/>
  <c r="R537" i="1"/>
  <c r="Q537" i="1"/>
  <c r="P537" i="1"/>
  <c r="O537" i="1"/>
  <c r="N537" i="1"/>
  <c r="M537" i="1"/>
  <c r="L537" i="1"/>
  <c r="H537" i="1"/>
  <c r="G537" i="1"/>
  <c r="F537" i="1"/>
  <c r="E537" i="1"/>
  <c r="D537" i="1"/>
  <c r="C537" i="1"/>
  <c r="B537" i="1"/>
  <c r="AH536" i="1"/>
  <c r="AG536" i="1"/>
  <c r="AF536" i="1"/>
  <c r="X536" i="1"/>
  <c r="W536" i="1"/>
  <c r="V536" i="1"/>
  <c r="M536" i="1"/>
  <c r="L536" i="1"/>
  <c r="H536" i="1"/>
  <c r="G536" i="1"/>
  <c r="F536" i="1"/>
  <c r="E536" i="1"/>
  <c r="D536" i="1"/>
  <c r="C536" i="1"/>
  <c r="B536" i="1"/>
  <c r="AH535" i="1"/>
  <c r="AG535" i="1"/>
  <c r="AF535" i="1"/>
  <c r="Y535" i="1"/>
  <c r="X535" i="1"/>
  <c r="W535" i="1"/>
  <c r="V535" i="1"/>
  <c r="Q535" i="1"/>
  <c r="P535" i="1"/>
  <c r="O535" i="1"/>
  <c r="N535" i="1"/>
  <c r="M535" i="1"/>
  <c r="L535" i="1"/>
  <c r="H535" i="1"/>
  <c r="G535" i="1"/>
  <c r="F535" i="1"/>
  <c r="E535" i="1"/>
  <c r="D535" i="1"/>
  <c r="C535" i="1"/>
  <c r="B535" i="1"/>
  <c r="AH534" i="1"/>
  <c r="AG534" i="1"/>
  <c r="AF534" i="1"/>
  <c r="W534" i="1"/>
  <c r="V534" i="1"/>
  <c r="T534" i="1"/>
  <c r="S534" i="1"/>
  <c r="R534" i="1"/>
  <c r="Q534" i="1"/>
  <c r="P534" i="1"/>
  <c r="O534" i="1"/>
  <c r="N534" i="1"/>
  <c r="M534" i="1"/>
  <c r="L534" i="1"/>
  <c r="H534" i="1"/>
  <c r="G534" i="1"/>
  <c r="F534" i="1"/>
  <c r="E534" i="1"/>
  <c r="D534" i="1"/>
  <c r="C534" i="1"/>
  <c r="B534" i="1"/>
  <c r="AH533" i="1"/>
  <c r="AG533" i="1"/>
  <c r="AF533" i="1"/>
  <c r="V533" i="1"/>
  <c r="R533" i="1"/>
  <c r="Q533" i="1"/>
  <c r="P533" i="1"/>
  <c r="O533" i="1"/>
  <c r="N533" i="1"/>
  <c r="M533" i="1"/>
  <c r="L533" i="1"/>
  <c r="H533" i="1"/>
  <c r="G533" i="1"/>
  <c r="F533" i="1"/>
  <c r="E533" i="1"/>
  <c r="D533" i="1"/>
  <c r="C533" i="1"/>
  <c r="B533" i="1"/>
  <c r="AH532" i="1"/>
  <c r="AG532" i="1"/>
  <c r="AF532" i="1"/>
  <c r="AC532" i="1"/>
  <c r="Z532" i="1"/>
  <c r="Y532" i="1"/>
  <c r="X532" i="1"/>
  <c r="W532" i="1"/>
  <c r="V532" i="1"/>
  <c r="Q532" i="1"/>
  <c r="P532" i="1"/>
  <c r="O532" i="1"/>
  <c r="N532" i="1"/>
  <c r="M532" i="1"/>
  <c r="L532" i="1"/>
  <c r="H532" i="1"/>
  <c r="G532" i="1"/>
  <c r="F532" i="1"/>
  <c r="E532" i="1"/>
  <c r="D532" i="1"/>
  <c r="C532" i="1"/>
  <c r="B532" i="1"/>
  <c r="AH531" i="1"/>
  <c r="AG531" i="1"/>
  <c r="AF531" i="1"/>
  <c r="AA531" i="1"/>
  <c r="Z531" i="1"/>
  <c r="Y531" i="1"/>
  <c r="X531" i="1"/>
  <c r="W531" i="1"/>
  <c r="V531" i="1"/>
  <c r="N531" i="1"/>
  <c r="M531" i="1"/>
  <c r="L531" i="1"/>
  <c r="C531" i="1"/>
  <c r="B531" i="1"/>
  <c r="AH530" i="1"/>
  <c r="AG530" i="1"/>
  <c r="AF530" i="1"/>
  <c r="W530" i="1"/>
  <c r="V530" i="1"/>
  <c r="N530" i="1"/>
  <c r="M530" i="1"/>
  <c r="L530" i="1"/>
  <c r="H530" i="1"/>
  <c r="G530" i="1"/>
  <c r="F530" i="1"/>
  <c r="E530" i="1"/>
  <c r="D530" i="1"/>
  <c r="C530" i="1"/>
  <c r="B530" i="1"/>
  <c r="AH529" i="1"/>
  <c r="AG529" i="1"/>
  <c r="AF529" i="1"/>
  <c r="V529" i="1"/>
  <c r="O529" i="1"/>
  <c r="N529" i="1"/>
  <c r="M529" i="1"/>
  <c r="L529" i="1"/>
  <c r="F529" i="1"/>
  <c r="C529" i="1"/>
  <c r="B529" i="1"/>
  <c r="AH528" i="1"/>
  <c r="AG528" i="1"/>
  <c r="AF528" i="1"/>
  <c r="X528" i="1"/>
  <c r="W528" i="1"/>
  <c r="V528" i="1"/>
  <c r="P528" i="1"/>
  <c r="O528" i="1"/>
  <c r="N528" i="1"/>
  <c r="M528" i="1"/>
  <c r="L528" i="1"/>
  <c r="G528" i="1"/>
  <c r="F528" i="1"/>
  <c r="E528" i="1"/>
  <c r="D528" i="1"/>
  <c r="C528" i="1"/>
  <c r="B528" i="1"/>
  <c r="AH527" i="1"/>
  <c r="AG527" i="1"/>
  <c r="AF527" i="1"/>
  <c r="X527" i="1"/>
  <c r="W527" i="1"/>
  <c r="V527" i="1"/>
  <c r="P527" i="1"/>
  <c r="O527" i="1"/>
  <c r="N527" i="1"/>
  <c r="M527" i="1"/>
  <c r="L527" i="1"/>
  <c r="G527" i="1"/>
  <c r="F527" i="1"/>
  <c r="E527" i="1"/>
  <c r="D527" i="1"/>
  <c r="C527" i="1"/>
  <c r="B527" i="1"/>
  <c r="AG526" i="1"/>
  <c r="AF526" i="1"/>
  <c r="W526" i="1"/>
  <c r="V526" i="1"/>
  <c r="Q526" i="1"/>
  <c r="P526" i="1"/>
  <c r="O526" i="1"/>
  <c r="N526" i="1"/>
  <c r="M526" i="1"/>
  <c r="L526" i="1"/>
  <c r="C526" i="1"/>
  <c r="B526" i="1"/>
  <c r="AH525" i="1"/>
  <c r="AG525" i="1"/>
  <c r="AF525" i="1"/>
  <c r="Y525" i="1"/>
  <c r="X525" i="1"/>
  <c r="W525" i="1"/>
  <c r="V525" i="1"/>
  <c r="O525" i="1"/>
  <c r="N525" i="1"/>
  <c r="M525" i="1"/>
  <c r="L525" i="1"/>
  <c r="G525" i="1"/>
  <c r="F525" i="1"/>
  <c r="E525" i="1"/>
  <c r="D525" i="1"/>
  <c r="C525" i="1"/>
  <c r="B525" i="1"/>
  <c r="AH524" i="1"/>
  <c r="AG524" i="1"/>
  <c r="AF524" i="1"/>
  <c r="W524" i="1"/>
  <c r="V524" i="1"/>
  <c r="T524" i="1"/>
  <c r="R524" i="1"/>
  <c r="Q524" i="1"/>
  <c r="P524" i="1"/>
  <c r="O524" i="1"/>
  <c r="N524" i="1"/>
  <c r="M524" i="1"/>
  <c r="L524" i="1"/>
  <c r="G524" i="1"/>
  <c r="F524" i="1"/>
  <c r="E524" i="1"/>
  <c r="D524" i="1"/>
  <c r="C524" i="1"/>
  <c r="B524" i="1"/>
  <c r="AH523" i="1"/>
  <c r="AG523" i="1"/>
  <c r="AF523" i="1"/>
  <c r="AB523" i="1"/>
  <c r="AA523" i="1"/>
  <c r="Z523" i="1"/>
  <c r="Y523" i="1"/>
  <c r="X523" i="1"/>
  <c r="W523" i="1"/>
  <c r="V523" i="1"/>
  <c r="R523" i="1"/>
  <c r="Q523" i="1"/>
  <c r="P523" i="1"/>
  <c r="O523" i="1"/>
  <c r="N523" i="1"/>
  <c r="M523" i="1"/>
  <c r="L523" i="1"/>
  <c r="I523" i="1"/>
  <c r="H523" i="1"/>
  <c r="G523" i="1"/>
  <c r="F523" i="1"/>
  <c r="E523" i="1"/>
  <c r="D523" i="1"/>
  <c r="C523" i="1"/>
  <c r="B523" i="1"/>
  <c r="AH522" i="1"/>
  <c r="AG522" i="1"/>
  <c r="AF522" i="1"/>
  <c r="X522" i="1"/>
  <c r="W522" i="1"/>
  <c r="V522" i="1"/>
  <c r="S522" i="1"/>
  <c r="Q522" i="1"/>
  <c r="P522" i="1"/>
  <c r="O522" i="1"/>
  <c r="N522" i="1"/>
  <c r="M522" i="1"/>
  <c r="L522" i="1"/>
  <c r="H522" i="1"/>
  <c r="G522" i="1"/>
  <c r="F522" i="1"/>
  <c r="E522" i="1"/>
  <c r="D522" i="1"/>
  <c r="C522" i="1"/>
  <c r="B522" i="1"/>
  <c r="AH521" i="1"/>
  <c r="AG521" i="1"/>
  <c r="AF521" i="1"/>
  <c r="AA521" i="1"/>
  <c r="Z521" i="1"/>
  <c r="Y521" i="1"/>
  <c r="X521" i="1"/>
  <c r="W521" i="1"/>
  <c r="V521" i="1"/>
  <c r="N521" i="1"/>
  <c r="M521" i="1"/>
  <c r="L521" i="1"/>
  <c r="H521" i="1"/>
  <c r="G521" i="1"/>
  <c r="F521" i="1"/>
  <c r="E521" i="1"/>
  <c r="D521" i="1"/>
  <c r="C521" i="1"/>
  <c r="B521" i="1"/>
  <c r="AF520" i="1"/>
  <c r="AA520" i="1"/>
  <c r="Z520" i="1"/>
  <c r="Y520" i="1"/>
  <c r="X520" i="1"/>
  <c r="W520" i="1"/>
  <c r="V520" i="1"/>
  <c r="Q520" i="1"/>
  <c r="P520" i="1"/>
  <c r="O520" i="1"/>
  <c r="N520" i="1"/>
  <c r="M520" i="1"/>
  <c r="L520" i="1"/>
  <c r="E520" i="1"/>
  <c r="D520" i="1"/>
  <c r="C520" i="1"/>
  <c r="B520" i="1"/>
  <c r="AH519" i="1"/>
  <c r="AG519" i="1"/>
  <c r="AF519" i="1"/>
  <c r="W519" i="1"/>
  <c r="V519" i="1"/>
  <c r="N519" i="1"/>
  <c r="M519" i="1"/>
  <c r="L519" i="1"/>
  <c r="G519" i="1"/>
  <c r="F519" i="1"/>
  <c r="E519" i="1"/>
  <c r="D519" i="1"/>
  <c r="C519" i="1"/>
  <c r="B519" i="1"/>
  <c r="AH518" i="1"/>
  <c r="AG518" i="1"/>
  <c r="AF518" i="1"/>
  <c r="Y518" i="1"/>
  <c r="X518" i="1"/>
  <c r="W518" i="1"/>
  <c r="V518" i="1"/>
  <c r="O518" i="1"/>
  <c r="N518" i="1"/>
  <c r="M518" i="1"/>
  <c r="L518" i="1"/>
  <c r="C518" i="1"/>
  <c r="B518" i="1"/>
  <c r="AH517" i="1"/>
  <c r="AG517" i="1"/>
  <c r="AF517" i="1"/>
  <c r="V517" i="1"/>
  <c r="S517" i="1"/>
  <c r="R517" i="1"/>
  <c r="Q517" i="1"/>
  <c r="P517" i="1"/>
  <c r="O517" i="1"/>
  <c r="N517" i="1"/>
  <c r="M517" i="1"/>
  <c r="L517" i="1"/>
  <c r="E517" i="1"/>
  <c r="D517" i="1"/>
  <c r="C517" i="1"/>
  <c r="B517" i="1"/>
  <c r="AH516" i="1"/>
  <c r="AG516" i="1"/>
  <c r="AF516" i="1"/>
  <c r="X516" i="1"/>
  <c r="W516" i="1"/>
  <c r="V516" i="1"/>
  <c r="M516" i="1"/>
  <c r="L516" i="1"/>
  <c r="G516" i="1"/>
  <c r="F516" i="1"/>
  <c r="E516" i="1"/>
  <c r="D516" i="1"/>
  <c r="C516" i="1"/>
  <c r="B516" i="1"/>
  <c r="AH515" i="1"/>
  <c r="AG515" i="1"/>
  <c r="AF515" i="1"/>
  <c r="Z515" i="1"/>
  <c r="Y515" i="1"/>
  <c r="X515" i="1"/>
  <c r="W515" i="1"/>
  <c r="V515" i="1"/>
  <c r="O515" i="1"/>
  <c r="N515" i="1"/>
  <c r="M515" i="1"/>
  <c r="L515" i="1"/>
  <c r="F515" i="1"/>
  <c r="E515" i="1"/>
  <c r="D515" i="1"/>
  <c r="C515" i="1"/>
  <c r="B515" i="1"/>
  <c r="AH514" i="1"/>
  <c r="AG514" i="1"/>
  <c r="AF514" i="1"/>
  <c r="AA514" i="1"/>
  <c r="Z514" i="1"/>
  <c r="Y514" i="1"/>
  <c r="X514" i="1"/>
  <c r="W514" i="1"/>
  <c r="V514" i="1"/>
  <c r="N514" i="1"/>
  <c r="M514" i="1"/>
  <c r="L514" i="1"/>
  <c r="D514" i="1"/>
  <c r="C514" i="1"/>
  <c r="B514" i="1"/>
  <c r="AH513" i="1"/>
  <c r="AG513" i="1"/>
  <c r="AF513" i="1"/>
  <c r="Z513" i="1"/>
  <c r="Y513" i="1"/>
  <c r="X513" i="1"/>
  <c r="W513" i="1"/>
  <c r="V513" i="1"/>
  <c r="Q513" i="1"/>
  <c r="P513" i="1"/>
  <c r="O513" i="1"/>
  <c r="N513" i="1"/>
  <c r="M513" i="1"/>
  <c r="L513" i="1"/>
  <c r="G513" i="1"/>
  <c r="F513" i="1"/>
  <c r="E513" i="1"/>
  <c r="D513" i="1"/>
  <c r="C513" i="1"/>
  <c r="B513" i="1"/>
  <c r="AH512" i="1"/>
  <c r="AG512" i="1"/>
  <c r="AF512" i="1"/>
  <c r="X512" i="1"/>
  <c r="W512" i="1"/>
  <c r="V512" i="1"/>
  <c r="N512" i="1"/>
  <c r="M512" i="1"/>
  <c r="L512" i="1"/>
  <c r="H512" i="1"/>
  <c r="G512" i="1"/>
  <c r="F512" i="1"/>
  <c r="E512" i="1"/>
  <c r="D512" i="1"/>
  <c r="C512" i="1"/>
  <c r="B512" i="1"/>
  <c r="AG511" i="1"/>
  <c r="AF511" i="1"/>
  <c r="Z511" i="1"/>
  <c r="Y511" i="1"/>
  <c r="X511" i="1"/>
  <c r="W511" i="1"/>
  <c r="V511" i="1"/>
  <c r="S511" i="1"/>
  <c r="R511" i="1"/>
  <c r="Q511" i="1"/>
  <c r="P511" i="1"/>
  <c r="O511" i="1"/>
  <c r="N511" i="1"/>
  <c r="M511" i="1"/>
  <c r="L511" i="1"/>
  <c r="G511" i="1"/>
  <c r="F511" i="1"/>
  <c r="E511" i="1"/>
  <c r="D511" i="1"/>
  <c r="C511" i="1"/>
  <c r="B511" i="1"/>
  <c r="AG510" i="1"/>
  <c r="AF510" i="1"/>
  <c r="Z510" i="1"/>
  <c r="Y510" i="1"/>
  <c r="X510" i="1"/>
  <c r="W510" i="1"/>
  <c r="V510" i="1"/>
  <c r="N510" i="1"/>
  <c r="M510" i="1"/>
  <c r="L510" i="1"/>
  <c r="H510" i="1"/>
  <c r="G510" i="1"/>
  <c r="F510" i="1"/>
  <c r="E510" i="1"/>
  <c r="D510" i="1"/>
  <c r="C510" i="1"/>
  <c r="B510" i="1"/>
  <c r="AH509" i="1"/>
  <c r="AG509" i="1"/>
  <c r="AF509" i="1"/>
  <c r="Z509" i="1"/>
  <c r="Y509" i="1"/>
  <c r="X509" i="1"/>
  <c r="W509" i="1"/>
  <c r="V509" i="1"/>
  <c r="N509" i="1"/>
  <c r="M509" i="1"/>
  <c r="L509" i="1"/>
  <c r="H509" i="1"/>
  <c r="G509" i="1"/>
  <c r="F509" i="1"/>
  <c r="E509" i="1"/>
  <c r="D509" i="1"/>
  <c r="C509" i="1"/>
  <c r="B509" i="1"/>
  <c r="AH508" i="1"/>
  <c r="AG508" i="1"/>
  <c r="AF508" i="1"/>
  <c r="Z508" i="1"/>
  <c r="Y508" i="1"/>
  <c r="X508" i="1"/>
  <c r="W508" i="1"/>
  <c r="V508" i="1"/>
  <c r="P508" i="1"/>
  <c r="O508" i="1"/>
  <c r="N508" i="1"/>
  <c r="M508" i="1"/>
  <c r="L508" i="1"/>
  <c r="G508" i="1"/>
  <c r="F508" i="1"/>
  <c r="E508" i="1"/>
  <c r="D508" i="1"/>
  <c r="C508" i="1"/>
  <c r="B508" i="1"/>
  <c r="AH507" i="1"/>
  <c r="AG507" i="1"/>
  <c r="AF507" i="1"/>
  <c r="AD507" i="1"/>
  <c r="AC507" i="1"/>
  <c r="AB507" i="1"/>
  <c r="AA507" i="1"/>
  <c r="Z507" i="1"/>
  <c r="Y507" i="1"/>
  <c r="X507" i="1"/>
  <c r="W507" i="1"/>
  <c r="V507" i="1"/>
  <c r="P507" i="1"/>
  <c r="O507" i="1"/>
  <c r="N507" i="1"/>
  <c r="M507" i="1"/>
  <c r="L507" i="1"/>
  <c r="G507" i="1"/>
  <c r="F507" i="1"/>
  <c r="E507" i="1"/>
  <c r="D507" i="1"/>
  <c r="C507" i="1"/>
  <c r="B507" i="1"/>
  <c r="AH506" i="1"/>
  <c r="AG506" i="1"/>
  <c r="AF506" i="1"/>
  <c r="AB506" i="1"/>
  <c r="Z506" i="1"/>
  <c r="Y506" i="1"/>
  <c r="X506" i="1"/>
  <c r="W506" i="1"/>
  <c r="V506" i="1"/>
  <c r="P506" i="1"/>
  <c r="O506" i="1"/>
  <c r="N506" i="1"/>
  <c r="M506" i="1"/>
  <c r="L506" i="1"/>
  <c r="C506" i="1"/>
  <c r="B506" i="1"/>
  <c r="AH505" i="1"/>
  <c r="AG505" i="1"/>
  <c r="AF505" i="1"/>
  <c r="X505" i="1"/>
  <c r="W505" i="1"/>
  <c r="V505" i="1"/>
  <c r="O505" i="1"/>
  <c r="N505" i="1"/>
  <c r="M505" i="1"/>
  <c r="L505" i="1"/>
  <c r="E505" i="1"/>
  <c r="D505" i="1"/>
  <c r="C505" i="1"/>
  <c r="B505" i="1"/>
  <c r="AH504" i="1"/>
  <c r="AG504" i="1"/>
  <c r="AF504" i="1"/>
  <c r="Z504" i="1"/>
  <c r="Y504" i="1"/>
  <c r="X504" i="1"/>
  <c r="W504" i="1"/>
  <c r="V504" i="1"/>
  <c r="P504" i="1"/>
  <c r="O504" i="1"/>
  <c r="N504" i="1"/>
  <c r="M504" i="1"/>
  <c r="L504" i="1"/>
  <c r="F504" i="1"/>
  <c r="E504" i="1"/>
  <c r="D504" i="1"/>
  <c r="C504" i="1"/>
  <c r="B504" i="1"/>
  <c r="AH503" i="1"/>
  <c r="AG503" i="1"/>
  <c r="AF503" i="1"/>
  <c r="X503" i="1"/>
  <c r="W503" i="1"/>
  <c r="V503" i="1"/>
  <c r="O503" i="1"/>
  <c r="N503" i="1"/>
  <c r="M503" i="1"/>
  <c r="L503" i="1"/>
  <c r="D503" i="1"/>
  <c r="C503" i="1"/>
  <c r="B503" i="1"/>
  <c r="AG502" i="1"/>
  <c r="AF502" i="1"/>
  <c r="W502" i="1"/>
  <c r="V502" i="1"/>
  <c r="P502" i="1"/>
  <c r="O502" i="1"/>
  <c r="N502" i="1"/>
  <c r="M502" i="1"/>
  <c r="L502" i="1"/>
  <c r="C502" i="1"/>
  <c r="B502" i="1"/>
  <c r="AH501" i="1"/>
  <c r="AG501" i="1"/>
  <c r="AF501" i="1"/>
  <c r="AA501" i="1"/>
  <c r="Z501" i="1"/>
  <c r="Y501" i="1"/>
  <c r="X501" i="1"/>
  <c r="W501" i="1"/>
  <c r="V501" i="1"/>
  <c r="R501" i="1"/>
  <c r="Q501" i="1"/>
  <c r="P501" i="1"/>
  <c r="O501" i="1"/>
  <c r="N501" i="1"/>
  <c r="M501" i="1"/>
  <c r="L501" i="1"/>
  <c r="F501" i="1"/>
  <c r="E501" i="1"/>
  <c r="D501" i="1"/>
  <c r="C501" i="1"/>
  <c r="B501" i="1"/>
  <c r="AH500" i="1"/>
  <c r="AG500" i="1"/>
  <c r="AF500" i="1"/>
  <c r="AB500" i="1"/>
  <c r="Z500" i="1"/>
  <c r="Y500" i="1"/>
  <c r="X500" i="1"/>
  <c r="W500" i="1"/>
  <c r="V500" i="1"/>
  <c r="O500" i="1"/>
  <c r="N500" i="1"/>
  <c r="M500" i="1"/>
  <c r="L500" i="1"/>
  <c r="F500" i="1"/>
  <c r="E500" i="1"/>
  <c r="D500" i="1"/>
  <c r="C500" i="1"/>
  <c r="B500" i="1"/>
  <c r="AH499" i="1"/>
  <c r="AG499" i="1"/>
  <c r="AF499" i="1"/>
  <c r="V499" i="1"/>
  <c r="Q499" i="1"/>
  <c r="P499" i="1"/>
  <c r="O499" i="1"/>
  <c r="N499" i="1"/>
  <c r="M499" i="1"/>
  <c r="L499" i="1"/>
  <c r="F499" i="1"/>
  <c r="E499" i="1"/>
  <c r="D499" i="1"/>
  <c r="C499" i="1"/>
  <c r="B499" i="1"/>
  <c r="AH498" i="1"/>
  <c r="AG498" i="1"/>
  <c r="AF498" i="1"/>
  <c r="W498" i="1"/>
  <c r="V498" i="1"/>
  <c r="M498" i="1"/>
  <c r="L498" i="1"/>
  <c r="G498" i="1"/>
  <c r="F498" i="1"/>
  <c r="E498" i="1"/>
  <c r="D498" i="1"/>
  <c r="C498" i="1"/>
  <c r="B498" i="1"/>
  <c r="AH497" i="1"/>
  <c r="AG497" i="1"/>
  <c r="AF497" i="1"/>
  <c r="W497" i="1"/>
  <c r="V497" i="1"/>
  <c r="Q497" i="1"/>
  <c r="P497" i="1"/>
  <c r="O497" i="1"/>
  <c r="N497" i="1"/>
  <c r="M497" i="1"/>
  <c r="L497" i="1"/>
  <c r="F497" i="1"/>
  <c r="E497" i="1"/>
  <c r="D497" i="1"/>
  <c r="C497" i="1"/>
  <c r="B497" i="1"/>
  <c r="AH496" i="1"/>
  <c r="AG496" i="1"/>
  <c r="AF496" i="1"/>
  <c r="W496" i="1"/>
  <c r="V496" i="1"/>
  <c r="R496" i="1"/>
  <c r="Q496" i="1"/>
  <c r="P496" i="1"/>
  <c r="O496" i="1"/>
  <c r="N496" i="1"/>
  <c r="M496" i="1"/>
  <c r="L496" i="1"/>
  <c r="J496" i="1"/>
  <c r="I496" i="1"/>
  <c r="H496" i="1"/>
  <c r="G496" i="1"/>
  <c r="F496" i="1"/>
  <c r="E496" i="1"/>
  <c r="D496" i="1"/>
  <c r="C496" i="1"/>
  <c r="B496" i="1"/>
  <c r="AH495" i="1"/>
  <c r="AG495" i="1"/>
  <c r="AF495" i="1"/>
  <c r="AA495" i="1"/>
  <c r="Z495" i="1"/>
  <c r="Y495" i="1"/>
  <c r="X495" i="1"/>
  <c r="W495" i="1"/>
  <c r="V495" i="1"/>
  <c r="N495" i="1"/>
  <c r="M495" i="1"/>
  <c r="L495" i="1"/>
  <c r="G495" i="1"/>
  <c r="E495" i="1"/>
  <c r="D495" i="1"/>
  <c r="C495" i="1"/>
  <c r="B495" i="1"/>
  <c r="AH494" i="1"/>
  <c r="AG494" i="1"/>
  <c r="AF494" i="1"/>
  <c r="AA494" i="1"/>
  <c r="Z494" i="1"/>
  <c r="Y494" i="1"/>
  <c r="X494" i="1"/>
  <c r="W494" i="1"/>
  <c r="V494" i="1"/>
  <c r="O494" i="1"/>
  <c r="N494" i="1"/>
  <c r="M494" i="1"/>
  <c r="L494" i="1"/>
  <c r="J494" i="1"/>
  <c r="I494" i="1"/>
  <c r="H494" i="1"/>
  <c r="G494" i="1"/>
  <c r="F494" i="1"/>
  <c r="E494" i="1"/>
  <c r="D494" i="1"/>
  <c r="C494" i="1"/>
  <c r="B494" i="1"/>
  <c r="AH493" i="1"/>
  <c r="AG493" i="1"/>
  <c r="AF493" i="1"/>
  <c r="X493" i="1"/>
  <c r="W493" i="1"/>
  <c r="V493" i="1"/>
  <c r="Q493" i="1"/>
  <c r="P493" i="1"/>
  <c r="O493" i="1"/>
  <c r="N493" i="1"/>
  <c r="M493" i="1"/>
  <c r="L493" i="1"/>
  <c r="I493" i="1"/>
  <c r="F493" i="1"/>
  <c r="E493" i="1"/>
  <c r="D493" i="1"/>
  <c r="C493" i="1"/>
  <c r="B493" i="1"/>
  <c r="AG492" i="1"/>
  <c r="X492" i="1"/>
  <c r="W492" i="1"/>
  <c r="V492" i="1"/>
  <c r="M492" i="1"/>
  <c r="L492" i="1"/>
  <c r="F492" i="1"/>
  <c r="E492" i="1"/>
  <c r="D492" i="1"/>
  <c r="C492" i="1"/>
  <c r="B492" i="1"/>
  <c r="AH491" i="1"/>
  <c r="AG491" i="1"/>
  <c r="AF491" i="1"/>
  <c r="W491" i="1"/>
  <c r="V491" i="1"/>
  <c r="Q491" i="1"/>
  <c r="P491" i="1"/>
  <c r="O491" i="1"/>
  <c r="N491" i="1"/>
  <c r="M491" i="1"/>
  <c r="L491" i="1"/>
  <c r="F491" i="1"/>
  <c r="E491" i="1"/>
  <c r="D491" i="1"/>
  <c r="C491" i="1"/>
  <c r="B491" i="1"/>
  <c r="AH490" i="1"/>
  <c r="AG490" i="1"/>
  <c r="AF490" i="1"/>
  <c r="Y490" i="1"/>
  <c r="X490" i="1"/>
  <c r="W490" i="1"/>
  <c r="V490" i="1"/>
  <c r="P490" i="1"/>
  <c r="O490" i="1"/>
  <c r="N490" i="1"/>
  <c r="M490" i="1"/>
  <c r="L490" i="1"/>
  <c r="F490" i="1"/>
  <c r="E490" i="1"/>
  <c r="D490" i="1"/>
  <c r="C490" i="1"/>
  <c r="B490" i="1"/>
  <c r="AH489" i="1"/>
  <c r="AG489" i="1"/>
  <c r="AF489" i="1"/>
  <c r="X489" i="1"/>
  <c r="W489" i="1"/>
  <c r="V489" i="1"/>
  <c r="Q489" i="1"/>
  <c r="P489" i="1"/>
  <c r="O489" i="1"/>
  <c r="N489" i="1"/>
  <c r="M489" i="1"/>
  <c r="L489" i="1"/>
  <c r="D489" i="1"/>
  <c r="C489" i="1"/>
  <c r="B489" i="1"/>
  <c r="AH488" i="1"/>
  <c r="AG488" i="1"/>
  <c r="AF488" i="1"/>
  <c r="W488" i="1"/>
  <c r="V488" i="1"/>
  <c r="O488" i="1"/>
  <c r="N488" i="1"/>
  <c r="M488" i="1"/>
  <c r="L488" i="1"/>
  <c r="I488" i="1"/>
  <c r="H488" i="1"/>
  <c r="G488" i="1"/>
  <c r="F488" i="1"/>
  <c r="E488" i="1"/>
  <c r="D488" i="1"/>
  <c r="C488" i="1"/>
  <c r="B488" i="1"/>
  <c r="AH487" i="1"/>
  <c r="AG487" i="1"/>
  <c r="AF487" i="1"/>
  <c r="Y487" i="1"/>
  <c r="X487" i="1"/>
  <c r="W487" i="1"/>
  <c r="V487" i="1"/>
  <c r="Q487" i="1"/>
  <c r="P487" i="1"/>
  <c r="O487" i="1"/>
  <c r="N487" i="1"/>
  <c r="M487" i="1"/>
  <c r="L487" i="1"/>
  <c r="D487" i="1"/>
  <c r="C487" i="1"/>
  <c r="B487" i="1"/>
  <c r="AH486" i="1"/>
  <c r="AG486" i="1"/>
  <c r="AF486" i="1"/>
  <c r="Z486" i="1"/>
  <c r="Y486" i="1"/>
  <c r="X486" i="1"/>
  <c r="W486" i="1"/>
  <c r="V486" i="1"/>
  <c r="O486" i="1"/>
  <c r="N486" i="1"/>
  <c r="M486" i="1"/>
  <c r="L486" i="1"/>
  <c r="I486" i="1"/>
  <c r="H486" i="1"/>
  <c r="G486" i="1"/>
  <c r="F486" i="1"/>
  <c r="E486" i="1"/>
  <c r="D486" i="1"/>
  <c r="C486" i="1"/>
  <c r="B486" i="1"/>
  <c r="AH485" i="1"/>
  <c r="AG485" i="1"/>
  <c r="AF485" i="1"/>
  <c r="AA485" i="1"/>
  <c r="X485" i="1"/>
  <c r="W485" i="1"/>
  <c r="V485" i="1"/>
  <c r="N485" i="1"/>
  <c r="M485" i="1"/>
  <c r="L485" i="1"/>
  <c r="G485" i="1"/>
  <c r="F485" i="1"/>
  <c r="E485" i="1"/>
  <c r="D485" i="1"/>
  <c r="C485" i="1"/>
  <c r="B485" i="1"/>
  <c r="AH484" i="1"/>
  <c r="AG484" i="1"/>
  <c r="AF484" i="1"/>
  <c r="X484" i="1"/>
  <c r="W484" i="1"/>
  <c r="V484" i="1"/>
  <c r="R484" i="1"/>
  <c r="Q484" i="1"/>
  <c r="P484" i="1"/>
  <c r="O484" i="1"/>
  <c r="N484" i="1"/>
  <c r="M484" i="1"/>
  <c r="L484" i="1"/>
  <c r="H484" i="1"/>
  <c r="G484" i="1"/>
  <c r="F484" i="1"/>
  <c r="E484" i="1"/>
  <c r="D484" i="1"/>
  <c r="C484" i="1"/>
  <c r="B484" i="1"/>
  <c r="AG483" i="1"/>
  <c r="AF483" i="1"/>
  <c r="X483" i="1"/>
  <c r="W483" i="1"/>
  <c r="V483" i="1"/>
  <c r="M483" i="1"/>
  <c r="L483" i="1"/>
  <c r="H483" i="1"/>
  <c r="G483" i="1"/>
  <c r="F483" i="1"/>
  <c r="E483" i="1"/>
  <c r="D483" i="1"/>
  <c r="C483" i="1"/>
  <c r="B483" i="1"/>
  <c r="AH482" i="1"/>
  <c r="AG482" i="1"/>
  <c r="AF482" i="1"/>
  <c r="AB482" i="1"/>
  <c r="AA482" i="1"/>
  <c r="Z482" i="1"/>
  <c r="Y482" i="1"/>
  <c r="X482" i="1"/>
  <c r="W482" i="1"/>
  <c r="V482" i="1"/>
  <c r="Q482" i="1"/>
  <c r="P482" i="1"/>
  <c r="O482" i="1"/>
  <c r="N482" i="1"/>
  <c r="M482" i="1"/>
  <c r="L482" i="1"/>
  <c r="D482" i="1"/>
  <c r="C482" i="1"/>
  <c r="B482" i="1"/>
  <c r="AH481" i="1"/>
  <c r="AG481" i="1"/>
  <c r="AF481" i="1"/>
  <c r="Y481" i="1"/>
  <c r="X481" i="1"/>
  <c r="W481" i="1"/>
  <c r="V481" i="1"/>
  <c r="R481" i="1"/>
  <c r="P481" i="1"/>
  <c r="O481" i="1"/>
  <c r="N481" i="1"/>
  <c r="M481" i="1"/>
  <c r="L481" i="1"/>
  <c r="F481" i="1"/>
  <c r="E481" i="1"/>
  <c r="D481" i="1"/>
  <c r="C481" i="1"/>
  <c r="B481" i="1"/>
  <c r="AG480" i="1"/>
  <c r="AF480" i="1"/>
  <c r="Z480" i="1"/>
  <c r="Y480" i="1"/>
  <c r="X480" i="1"/>
  <c r="W480" i="1"/>
  <c r="V480" i="1"/>
  <c r="N480" i="1"/>
  <c r="M480" i="1"/>
  <c r="L480" i="1"/>
  <c r="F480" i="1"/>
  <c r="E480" i="1"/>
  <c r="D480" i="1"/>
  <c r="C480" i="1"/>
  <c r="B480" i="1"/>
  <c r="AH479" i="1"/>
  <c r="AG479" i="1"/>
  <c r="AF479" i="1"/>
  <c r="Y479" i="1"/>
  <c r="X479" i="1"/>
  <c r="W479" i="1"/>
  <c r="V479" i="1"/>
  <c r="O479" i="1"/>
  <c r="N479" i="1"/>
  <c r="M479" i="1"/>
  <c r="L479" i="1"/>
  <c r="D479" i="1"/>
  <c r="C479" i="1"/>
  <c r="B479" i="1"/>
  <c r="AH478" i="1"/>
  <c r="AG478" i="1"/>
  <c r="V478" i="1"/>
  <c r="N478" i="1"/>
  <c r="M478" i="1"/>
  <c r="L478" i="1"/>
  <c r="D478" i="1"/>
  <c r="C478" i="1"/>
  <c r="B478" i="1"/>
  <c r="AH477" i="1"/>
  <c r="AG477" i="1"/>
  <c r="AF477" i="1"/>
  <c r="Z477" i="1"/>
  <c r="Y477" i="1"/>
  <c r="X477" i="1"/>
  <c r="W477" i="1"/>
  <c r="V477" i="1"/>
  <c r="N477" i="1"/>
  <c r="M477" i="1"/>
  <c r="L477" i="1"/>
  <c r="G477" i="1"/>
  <c r="F477" i="1"/>
  <c r="E477" i="1"/>
  <c r="D477" i="1"/>
  <c r="C477" i="1"/>
  <c r="B477" i="1"/>
  <c r="AH476" i="1"/>
  <c r="AG476" i="1"/>
  <c r="AF476" i="1"/>
  <c r="V476" i="1"/>
  <c r="Q476" i="1"/>
  <c r="P476" i="1"/>
  <c r="O476" i="1"/>
  <c r="N476" i="1"/>
  <c r="M476" i="1"/>
  <c r="L476" i="1"/>
  <c r="C476" i="1"/>
  <c r="B476" i="1"/>
  <c r="AH475" i="1"/>
  <c r="AG475" i="1"/>
  <c r="AF475" i="1"/>
  <c r="W475" i="1"/>
  <c r="V475" i="1"/>
  <c r="M475" i="1"/>
  <c r="L475" i="1"/>
  <c r="F475" i="1"/>
  <c r="E475" i="1"/>
  <c r="D475" i="1"/>
  <c r="C475" i="1"/>
  <c r="B475" i="1"/>
  <c r="AH474" i="1"/>
  <c r="AG474" i="1"/>
  <c r="AF474" i="1"/>
  <c r="X474" i="1"/>
  <c r="W474" i="1"/>
  <c r="V474" i="1"/>
  <c r="N474" i="1"/>
  <c r="M474" i="1"/>
  <c r="L474" i="1"/>
  <c r="G474" i="1"/>
  <c r="F474" i="1"/>
  <c r="E474" i="1"/>
  <c r="D474" i="1"/>
  <c r="C474" i="1"/>
  <c r="B474" i="1"/>
  <c r="AH473" i="1"/>
  <c r="AG473" i="1"/>
  <c r="AF473" i="1"/>
  <c r="Z473" i="1"/>
  <c r="Y473" i="1"/>
  <c r="X473" i="1"/>
  <c r="W473" i="1"/>
  <c r="V473" i="1"/>
  <c r="P473" i="1"/>
  <c r="O473" i="1"/>
  <c r="N473" i="1"/>
  <c r="M473" i="1"/>
  <c r="L473" i="1"/>
  <c r="J473" i="1"/>
  <c r="I473" i="1"/>
  <c r="H473" i="1"/>
  <c r="G473" i="1"/>
  <c r="F473" i="1"/>
  <c r="E473" i="1"/>
  <c r="D473" i="1"/>
  <c r="C473" i="1"/>
  <c r="B473" i="1"/>
  <c r="AH472" i="1"/>
  <c r="AG472" i="1"/>
  <c r="AF472" i="1"/>
  <c r="AB472" i="1"/>
  <c r="AA472" i="1"/>
  <c r="Z472" i="1"/>
  <c r="Y472" i="1"/>
  <c r="X472" i="1"/>
  <c r="W472" i="1"/>
  <c r="V472" i="1"/>
  <c r="Q472" i="1"/>
  <c r="O472" i="1"/>
  <c r="N472" i="1"/>
  <c r="M472" i="1"/>
  <c r="L472" i="1"/>
  <c r="H472" i="1"/>
  <c r="E472" i="1"/>
  <c r="D472" i="1"/>
  <c r="C472" i="1"/>
  <c r="B472" i="1"/>
  <c r="AH471" i="1"/>
  <c r="AG471" i="1"/>
  <c r="AF471" i="1"/>
  <c r="AD471" i="1"/>
  <c r="AB471" i="1"/>
  <c r="AA471" i="1"/>
  <c r="Z471" i="1"/>
  <c r="Y471" i="1"/>
  <c r="X471" i="1"/>
  <c r="W471" i="1"/>
  <c r="V471" i="1"/>
  <c r="O471" i="1"/>
  <c r="N471" i="1"/>
  <c r="M471" i="1"/>
  <c r="L471" i="1"/>
  <c r="J471" i="1"/>
  <c r="I471" i="1"/>
  <c r="H471" i="1"/>
  <c r="G471" i="1"/>
  <c r="F471" i="1"/>
  <c r="E471" i="1"/>
  <c r="D471" i="1"/>
  <c r="C471" i="1"/>
  <c r="B471" i="1"/>
  <c r="AH470" i="1"/>
  <c r="AG470" i="1"/>
  <c r="AF470" i="1"/>
  <c r="W470" i="1"/>
  <c r="V470" i="1"/>
  <c r="S470" i="1"/>
  <c r="R470" i="1"/>
  <c r="Q470" i="1"/>
  <c r="P470" i="1"/>
  <c r="O470" i="1"/>
  <c r="N470" i="1"/>
  <c r="M470" i="1"/>
  <c r="L470" i="1"/>
  <c r="G470" i="1"/>
  <c r="F470" i="1"/>
  <c r="E470" i="1"/>
  <c r="D470" i="1"/>
  <c r="C470" i="1"/>
  <c r="B470" i="1"/>
  <c r="AH469" i="1"/>
  <c r="AG469" i="1"/>
  <c r="AF469" i="1"/>
  <c r="X469" i="1"/>
  <c r="W469" i="1"/>
  <c r="V469" i="1"/>
  <c r="R469" i="1"/>
  <c r="Q469" i="1"/>
  <c r="P469" i="1"/>
  <c r="O469" i="1"/>
  <c r="N469" i="1"/>
  <c r="M469" i="1"/>
  <c r="L469" i="1"/>
  <c r="F469" i="1"/>
  <c r="E469" i="1"/>
  <c r="D469" i="1"/>
  <c r="C469" i="1"/>
  <c r="B469" i="1"/>
  <c r="AG468" i="1"/>
  <c r="AF468" i="1"/>
  <c r="Z468" i="1"/>
  <c r="Y468" i="1"/>
  <c r="X468" i="1"/>
  <c r="W468" i="1"/>
  <c r="V468" i="1"/>
  <c r="R468" i="1"/>
  <c r="Q468" i="1"/>
  <c r="P468" i="1"/>
  <c r="O468" i="1"/>
  <c r="N468" i="1"/>
  <c r="M468" i="1"/>
  <c r="L468" i="1"/>
  <c r="D468" i="1"/>
  <c r="C468" i="1"/>
  <c r="B468" i="1"/>
  <c r="AH467" i="1"/>
  <c r="AG467" i="1"/>
  <c r="AF467" i="1"/>
  <c r="Y467" i="1"/>
  <c r="W467" i="1"/>
  <c r="V467" i="1"/>
  <c r="R467" i="1"/>
  <c r="Q467" i="1"/>
  <c r="P467" i="1"/>
  <c r="O467" i="1"/>
  <c r="N467" i="1"/>
  <c r="M467" i="1"/>
  <c r="L467" i="1"/>
  <c r="H467" i="1"/>
  <c r="G467" i="1"/>
  <c r="F467" i="1"/>
  <c r="E467" i="1"/>
  <c r="D467" i="1"/>
  <c r="C467" i="1"/>
  <c r="B467" i="1"/>
  <c r="AH466" i="1"/>
  <c r="AG466" i="1"/>
  <c r="AF466" i="1"/>
  <c r="W466" i="1"/>
  <c r="V466" i="1"/>
  <c r="P466" i="1"/>
  <c r="O466" i="1"/>
  <c r="N466" i="1"/>
  <c r="M466" i="1"/>
  <c r="L466" i="1"/>
  <c r="D466" i="1"/>
  <c r="C466" i="1"/>
  <c r="B466" i="1"/>
  <c r="AH465" i="1"/>
  <c r="AG465" i="1"/>
  <c r="AF465" i="1"/>
  <c r="W465" i="1"/>
  <c r="V465" i="1"/>
  <c r="N465" i="1"/>
  <c r="M465" i="1"/>
  <c r="L465" i="1"/>
  <c r="D465" i="1"/>
  <c r="C465" i="1"/>
  <c r="B465" i="1"/>
  <c r="AF464" i="1"/>
  <c r="AB464" i="1"/>
  <c r="Z464" i="1"/>
  <c r="Y464" i="1"/>
  <c r="X464" i="1"/>
  <c r="W464" i="1"/>
  <c r="V464" i="1"/>
  <c r="R464" i="1"/>
  <c r="Q464" i="1"/>
  <c r="P464" i="1"/>
  <c r="O464" i="1"/>
  <c r="N464" i="1"/>
  <c r="M464" i="1"/>
  <c r="L464" i="1"/>
  <c r="E464" i="1"/>
  <c r="D464" i="1"/>
  <c r="C464" i="1"/>
  <c r="B464" i="1"/>
  <c r="AH463" i="1"/>
  <c r="AG463" i="1"/>
  <c r="AF463" i="1"/>
  <c r="Z463" i="1"/>
  <c r="Y463" i="1"/>
  <c r="X463" i="1"/>
  <c r="W463" i="1"/>
  <c r="V463" i="1"/>
  <c r="Q463" i="1"/>
  <c r="P463" i="1"/>
  <c r="N463" i="1"/>
  <c r="M463" i="1"/>
  <c r="L463" i="1"/>
  <c r="F463" i="1"/>
  <c r="E463" i="1"/>
  <c r="D463" i="1"/>
  <c r="C463" i="1"/>
  <c r="B463" i="1"/>
  <c r="AH462" i="1"/>
  <c r="AG462" i="1"/>
  <c r="AF462" i="1"/>
  <c r="AD462" i="1"/>
  <c r="AB462" i="1"/>
  <c r="AA462" i="1"/>
  <c r="Z462" i="1"/>
  <c r="Y462" i="1"/>
  <c r="X462" i="1"/>
  <c r="W462" i="1"/>
  <c r="V462" i="1"/>
  <c r="L462" i="1"/>
  <c r="D462" i="1"/>
  <c r="C462" i="1"/>
  <c r="B462" i="1"/>
  <c r="AH461" i="1"/>
  <c r="AG461" i="1"/>
  <c r="AF461" i="1"/>
  <c r="X461" i="1"/>
  <c r="W461" i="1"/>
  <c r="V461" i="1"/>
  <c r="P461" i="1"/>
  <c r="O461" i="1"/>
  <c r="N461" i="1"/>
  <c r="M461" i="1"/>
  <c r="L461" i="1"/>
  <c r="G461" i="1"/>
  <c r="F461" i="1"/>
  <c r="E461" i="1"/>
  <c r="D461" i="1"/>
  <c r="C461" i="1"/>
  <c r="B461" i="1"/>
  <c r="AH460" i="1"/>
  <c r="AG460" i="1"/>
  <c r="AF460" i="1"/>
  <c r="X460" i="1"/>
  <c r="W460" i="1"/>
  <c r="V460" i="1"/>
  <c r="Q460" i="1"/>
  <c r="P460" i="1"/>
  <c r="O460" i="1"/>
  <c r="N460" i="1"/>
  <c r="M460" i="1"/>
  <c r="L460" i="1"/>
  <c r="C460" i="1"/>
  <c r="B460" i="1"/>
  <c r="AH459" i="1"/>
  <c r="AG459" i="1"/>
  <c r="AF459" i="1"/>
  <c r="AA459" i="1"/>
  <c r="Z459" i="1"/>
  <c r="Y459" i="1"/>
  <c r="X459" i="1"/>
  <c r="W459" i="1"/>
  <c r="V459" i="1"/>
  <c r="S459" i="1"/>
  <c r="R459" i="1"/>
  <c r="N459" i="1"/>
  <c r="M459" i="1"/>
  <c r="L459" i="1"/>
  <c r="C459" i="1"/>
  <c r="B459" i="1"/>
  <c r="AH458" i="1"/>
  <c r="AG458" i="1"/>
  <c r="AF458" i="1"/>
  <c r="X458" i="1"/>
  <c r="W458" i="1"/>
  <c r="V458" i="1"/>
  <c r="N458" i="1"/>
  <c r="M458" i="1"/>
  <c r="L458" i="1"/>
  <c r="F458" i="1"/>
  <c r="E458" i="1"/>
  <c r="D458" i="1"/>
  <c r="C458" i="1"/>
  <c r="B458" i="1"/>
  <c r="AG457" i="1"/>
  <c r="AF457" i="1"/>
  <c r="AD457" i="1"/>
  <c r="AC457" i="1"/>
  <c r="AA457" i="1"/>
  <c r="W457" i="1"/>
  <c r="V457" i="1"/>
  <c r="N457" i="1"/>
  <c r="M457" i="1"/>
  <c r="L457" i="1"/>
  <c r="C457" i="1"/>
  <c r="B457" i="1"/>
  <c r="AH456" i="1"/>
  <c r="AG456" i="1"/>
  <c r="AF456" i="1"/>
  <c r="AA456" i="1"/>
  <c r="Z456" i="1"/>
  <c r="Y456" i="1"/>
  <c r="X456" i="1"/>
  <c r="W456" i="1"/>
  <c r="V456" i="1"/>
  <c r="P456" i="1"/>
  <c r="O456" i="1"/>
  <c r="N456" i="1"/>
  <c r="M456" i="1"/>
  <c r="L456" i="1"/>
  <c r="H456" i="1"/>
  <c r="G456" i="1"/>
  <c r="D456" i="1"/>
  <c r="C456" i="1"/>
  <c r="B456" i="1"/>
  <c r="AH455" i="1"/>
  <c r="AG455" i="1"/>
  <c r="AF455" i="1"/>
  <c r="X455" i="1"/>
  <c r="W455" i="1"/>
  <c r="V455" i="1"/>
  <c r="Q455" i="1"/>
  <c r="P455" i="1"/>
  <c r="O455" i="1"/>
  <c r="N455" i="1"/>
  <c r="M455" i="1"/>
  <c r="L455" i="1"/>
  <c r="D455" i="1"/>
  <c r="C455" i="1"/>
  <c r="B455" i="1"/>
  <c r="AH454" i="1"/>
  <c r="AG454" i="1"/>
  <c r="AF454" i="1"/>
  <c r="Z454" i="1"/>
  <c r="Y454" i="1"/>
  <c r="X454" i="1"/>
  <c r="W454" i="1"/>
  <c r="V454" i="1"/>
  <c r="N454" i="1"/>
  <c r="M454" i="1"/>
  <c r="L454" i="1"/>
  <c r="G454" i="1"/>
  <c r="F454" i="1"/>
  <c r="E454" i="1"/>
  <c r="D454" i="1"/>
  <c r="C454" i="1"/>
  <c r="B454" i="1"/>
  <c r="AH453" i="1"/>
  <c r="AG453" i="1"/>
  <c r="AF453" i="1"/>
  <c r="V453" i="1"/>
  <c r="O453" i="1"/>
  <c r="N453" i="1"/>
  <c r="M453" i="1"/>
  <c r="L453" i="1"/>
  <c r="G453" i="1"/>
  <c r="F453" i="1"/>
  <c r="E453" i="1"/>
  <c r="D453" i="1"/>
  <c r="C453" i="1"/>
  <c r="B453" i="1"/>
  <c r="AH452" i="1"/>
  <c r="AG452" i="1"/>
  <c r="AF452" i="1"/>
  <c r="X452" i="1"/>
  <c r="W452" i="1"/>
  <c r="V452" i="1"/>
  <c r="O452" i="1"/>
  <c r="N452" i="1"/>
  <c r="M452" i="1"/>
  <c r="L452" i="1"/>
  <c r="F452" i="1"/>
  <c r="E452" i="1"/>
  <c r="D452" i="1"/>
  <c r="C452" i="1"/>
  <c r="B452" i="1"/>
  <c r="AH451" i="1"/>
  <c r="AG451" i="1"/>
  <c r="AF451" i="1"/>
  <c r="AA451" i="1"/>
  <c r="Z451" i="1"/>
  <c r="Y451" i="1"/>
  <c r="X451" i="1"/>
  <c r="W451" i="1"/>
  <c r="V451" i="1"/>
  <c r="N451" i="1"/>
  <c r="M451" i="1"/>
  <c r="L451" i="1"/>
  <c r="F451" i="1"/>
  <c r="E451" i="1"/>
  <c r="D451" i="1"/>
  <c r="C451" i="1"/>
  <c r="B451" i="1"/>
  <c r="AF450" i="1"/>
  <c r="W450" i="1"/>
  <c r="V450" i="1"/>
  <c r="Q450" i="1"/>
  <c r="P450" i="1"/>
  <c r="O450" i="1"/>
  <c r="N450" i="1"/>
  <c r="M450" i="1"/>
  <c r="L450" i="1"/>
  <c r="C450" i="1"/>
  <c r="B450" i="1"/>
  <c r="AH449" i="1"/>
  <c r="AG449" i="1"/>
  <c r="AF449" i="1"/>
  <c r="AB449" i="1"/>
  <c r="AA449" i="1"/>
  <c r="Z449" i="1"/>
  <c r="Y449" i="1"/>
  <c r="X449" i="1"/>
  <c r="W449" i="1"/>
  <c r="V449" i="1"/>
  <c r="N449" i="1"/>
  <c r="M449" i="1"/>
  <c r="L449" i="1"/>
  <c r="J449" i="1"/>
  <c r="I449" i="1"/>
  <c r="H449" i="1"/>
  <c r="G449" i="1"/>
  <c r="F449" i="1"/>
  <c r="E449" i="1"/>
  <c r="D449" i="1"/>
  <c r="C449" i="1"/>
  <c r="B449" i="1"/>
  <c r="AH448" i="1"/>
  <c r="AG448" i="1"/>
  <c r="AF448" i="1"/>
  <c r="Z448" i="1"/>
  <c r="Y448" i="1"/>
  <c r="X448" i="1"/>
  <c r="W448" i="1"/>
  <c r="V448" i="1"/>
  <c r="P448" i="1"/>
  <c r="O448" i="1"/>
  <c r="N448" i="1"/>
  <c r="M448" i="1"/>
  <c r="L448" i="1"/>
  <c r="J448" i="1"/>
  <c r="I448" i="1"/>
  <c r="H448" i="1"/>
  <c r="G448" i="1"/>
  <c r="F448" i="1"/>
  <c r="E448" i="1"/>
  <c r="D448" i="1"/>
  <c r="C448" i="1"/>
  <c r="B448" i="1"/>
  <c r="AH447" i="1"/>
  <c r="AG447" i="1"/>
  <c r="AF447" i="1"/>
  <c r="Z447" i="1"/>
  <c r="Y447" i="1"/>
  <c r="X447" i="1"/>
  <c r="W447" i="1"/>
  <c r="V447" i="1"/>
  <c r="R447" i="1"/>
  <c r="Q447" i="1"/>
  <c r="P447" i="1"/>
  <c r="O447" i="1"/>
  <c r="N447" i="1"/>
  <c r="M447" i="1"/>
  <c r="L447" i="1"/>
  <c r="C447" i="1"/>
  <c r="B447" i="1"/>
  <c r="AH446" i="1"/>
  <c r="AG446" i="1"/>
  <c r="AF446" i="1"/>
  <c r="AA446" i="1"/>
  <c r="Z446" i="1"/>
  <c r="Y446" i="1"/>
  <c r="X446" i="1"/>
  <c r="W446" i="1"/>
  <c r="V446" i="1"/>
  <c r="O446" i="1"/>
  <c r="N446" i="1"/>
  <c r="M446" i="1"/>
  <c r="L446" i="1"/>
  <c r="H446" i="1"/>
  <c r="G446" i="1"/>
  <c r="F446" i="1"/>
  <c r="E446" i="1"/>
  <c r="D446" i="1"/>
  <c r="C446" i="1"/>
  <c r="B446" i="1"/>
  <c r="AH445" i="1"/>
  <c r="AG445" i="1"/>
  <c r="AF445" i="1"/>
  <c r="X445" i="1"/>
  <c r="W445" i="1"/>
  <c r="V445" i="1"/>
  <c r="M445" i="1"/>
  <c r="L445" i="1"/>
  <c r="G445" i="1"/>
  <c r="F445" i="1"/>
  <c r="E445" i="1"/>
  <c r="D445" i="1"/>
  <c r="C445" i="1"/>
  <c r="B445" i="1"/>
  <c r="AH444" i="1"/>
  <c r="AG444" i="1"/>
  <c r="AF444" i="1"/>
  <c r="W444" i="1"/>
  <c r="V444" i="1"/>
  <c r="Q444" i="1"/>
  <c r="P444" i="1"/>
  <c r="O444" i="1"/>
  <c r="N444" i="1"/>
  <c r="M444" i="1"/>
  <c r="L444" i="1"/>
  <c r="D444" i="1"/>
  <c r="C444" i="1"/>
  <c r="B444" i="1"/>
  <c r="AH443" i="1"/>
  <c r="AG443" i="1"/>
  <c r="AF443" i="1"/>
  <c r="AA443" i="1"/>
  <c r="Z443" i="1"/>
  <c r="Y443" i="1"/>
  <c r="X443" i="1"/>
  <c r="W443" i="1"/>
  <c r="V443" i="1"/>
  <c r="N443" i="1"/>
  <c r="M443" i="1"/>
  <c r="L443" i="1"/>
  <c r="H443" i="1"/>
  <c r="G443" i="1"/>
  <c r="F443" i="1"/>
  <c r="E443" i="1"/>
  <c r="D443" i="1"/>
  <c r="C443" i="1"/>
  <c r="B443" i="1"/>
  <c r="AH442" i="1"/>
  <c r="AG442" i="1"/>
  <c r="AF442" i="1"/>
  <c r="W442" i="1"/>
  <c r="V442" i="1"/>
  <c r="T442" i="1"/>
  <c r="S442" i="1"/>
  <c r="R442" i="1"/>
  <c r="Q442" i="1"/>
  <c r="P442" i="1"/>
  <c r="O442" i="1"/>
  <c r="N442" i="1"/>
  <c r="M442" i="1"/>
  <c r="L442" i="1"/>
  <c r="H442" i="1"/>
  <c r="G442" i="1"/>
  <c r="F442" i="1"/>
  <c r="E442" i="1"/>
  <c r="D442" i="1"/>
  <c r="C442" i="1"/>
  <c r="B442" i="1"/>
  <c r="AH441" i="1"/>
  <c r="AG441" i="1"/>
  <c r="AF441" i="1"/>
  <c r="X441" i="1"/>
  <c r="W441" i="1"/>
  <c r="V441" i="1"/>
  <c r="N441" i="1"/>
  <c r="M441" i="1"/>
  <c r="L441" i="1"/>
  <c r="AH440" i="1"/>
  <c r="AG440" i="1"/>
  <c r="AF440" i="1"/>
  <c r="W440" i="1"/>
  <c r="V440" i="1"/>
  <c r="O440" i="1"/>
  <c r="N440" i="1"/>
  <c r="M440" i="1"/>
  <c r="L440" i="1"/>
  <c r="F440" i="1"/>
  <c r="E440" i="1"/>
  <c r="D440" i="1"/>
  <c r="C440" i="1"/>
  <c r="B440" i="1"/>
  <c r="AG439" i="1"/>
  <c r="AF439" i="1"/>
  <c r="AB439" i="1"/>
  <c r="AA439" i="1"/>
  <c r="Z439" i="1"/>
  <c r="Y439" i="1"/>
  <c r="X439" i="1"/>
  <c r="W439" i="1"/>
  <c r="V439" i="1"/>
  <c r="Q439" i="1"/>
  <c r="P439" i="1"/>
  <c r="O439" i="1"/>
  <c r="N439" i="1"/>
  <c r="M439" i="1"/>
  <c r="L439" i="1"/>
  <c r="D439" i="1"/>
  <c r="C439" i="1"/>
  <c r="B439" i="1"/>
  <c r="AH438" i="1"/>
  <c r="AG438" i="1"/>
  <c r="AF438" i="1"/>
  <c r="W438" i="1"/>
  <c r="V438" i="1"/>
  <c r="N438" i="1"/>
  <c r="M438" i="1"/>
  <c r="L438" i="1"/>
  <c r="H438" i="1"/>
  <c r="D438" i="1"/>
  <c r="C438" i="1"/>
  <c r="B438" i="1"/>
  <c r="AG437" i="1"/>
  <c r="AF437" i="1"/>
  <c r="Z437" i="1"/>
  <c r="Y437" i="1"/>
  <c r="X437" i="1"/>
  <c r="W437" i="1"/>
  <c r="V437" i="1"/>
  <c r="N437" i="1"/>
  <c r="M437" i="1"/>
  <c r="L437" i="1"/>
  <c r="B437" i="1"/>
  <c r="AH436" i="1"/>
  <c r="AG436" i="1"/>
  <c r="AF436" i="1"/>
  <c r="AB436" i="1"/>
  <c r="AA436" i="1"/>
  <c r="Z436" i="1"/>
  <c r="Y436" i="1"/>
  <c r="X436" i="1"/>
  <c r="W436" i="1"/>
  <c r="V436" i="1"/>
  <c r="P436" i="1"/>
  <c r="O436" i="1"/>
  <c r="N436" i="1"/>
  <c r="M436" i="1"/>
  <c r="L436" i="1"/>
  <c r="H436" i="1"/>
  <c r="G436" i="1"/>
  <c r="F436" i="1"/>
  <c r="E436" i="1"/>
  <c r="D436" i="1"/>
  <c r="C436" i="1"/>
  <c r="B436" i="1"/>
  <c r="AH435" i="1"/>
  <c r="AG435" i="1"/>
  <c r="AF435" i="1"/>
  <c r="AB435" i="1"/>
  <c r="AA435" i="1"/>
  <c r="Z435" i="1"/>
  <c r="Y435" i="1"/>
  <c r="X435" i="1"/>
  <c r="W435" i="1"/>
  <c r="V435" i="1"/>
  <c r="M435" i="1"/>
  <c r="L435" i="1"/>
  <c r="G435" i="1"/>
  <c r="F435" i="1"/>
  <c r="E435" i="1"/>
  <c r="D435" i="1"/>
  <c r="C435" i="1"/>
  <c r="B435" i="1"/>
  <c r="AH434" i="1"/>
  <c r="AG434" i="1"/>
  <c r="AF434" i="1"/>
  <c r="X434" i="1"/>
  <c r="W434" i="1"/>
  <c r="V434" i="1"/>
  <c r="N434" i="1"/>
  <c r="M434" i="1"/>
  <c r="L434" i="1"/>
  <c r="H434" i="1"/>
  <c r="G434" i="1"/>
  <c r="F434" i="1"/>
  <c r="E434" i="1"/>
  <c r="D434" i="1"/>
  <c r="C434" i="1"/>
  <c r="B434" i="1"/>
  <c r="AH433" i="1"/>
  <c r="AG433" i="1"/>
  <c r="AF433" i="1"/>
  <c r="AB433" i="1"/>
  <c r="AA433" i="1"/>
  <c r="Z433" i="1"/>
  <c r="Y433" i="1"/>
  <c r="X433" i="1"/>
  <c r="W433" i="1"/>
  <c r="V433" i="1"/>
  <c r="P433" i="1"/>
  <c r="O433" i="1"/>
  <c r="N433" i="1"/>
  <c r="M433" i="1"/>
  <c r="L433" i="1"/>
  <c r="G433" i="1"/>
  <c r="F433" i="1"/>
  <c r="E433" i="1"/>
  <c r="D433" i="1"/>
  <c r="C433" i="1"/>
  <c r="B433" i="1"/>
  <c r="AH432" i="1"/>
  <c r="AG432" i="1"/>
  <c r="AF432" i="1"/>
  <c r="W432" i="1"/>
  <c r="V432" i="1"/>
  <c r="Q432" i="1"/>
  <c r="M432" i="1"/>
  <c r="L432" i="1"/>
  <c r="D432" i="1"/>
  <c r="C432" i="1"/>
  <c r="B432" i="1"/>
  <c r="AH431" i="1"/>
  <c r="AG431" i="1"/>
  <c r="AF431" i="1"/>
  <c r="W431" i="1"/>
  <c r="V431" i="1"/>
  <c r="O431" i="1"/>
  <c r="N431" i="1"/>
  <c r="M431" i="1"/>
  <c r="L431" i="1"/>
  <c r="J431" i="1"/>
  <c r="I431" i="1"/>
  <c r="H431" i="1"/>
  <c r="G431" i="1"/>
  <c r="F431" i="1"/>
  <c r="E431" i="1"/>
  <c r="D431" i="1"/>
  <c r="C431" i="1"/>
  <c r="B431" i="1"/>
  <c r="AH430" i="1"/>
  <c r="AG430" i="1"/>
  <c r="AF430" i="1"/>
  <c r="X430" i="1"/>
  <c r="W430" i="1"/>
  <c r="V430" i="1"/>
  <c r="N430" i="1"/>
  <c r="M430" i="1"/>
  <c r="L430" i="1"/>
  <c r="G430" i="1"/>
  <c r="F430" i="1"/>
  <c r="E430" i="1"/>
  <c r="D430" i="1"/>
  <c r="C430" i="1"/>
  <c r="B430" i="1"/>
  <c r="AF429" i="1"/>
  <c r="AA429" i="1"/>
  <c r="Z429" i="1"/>
  <c r="Y429" i="1"/>
  <c r="X429" i="1"/>
  <c r="W429" i="1"/>
  <c r="V429" i="1"/>
  <c r="L429" i="1"/>
  <c r="G429" i="1"/>
  <c r="F429" i="1"/>
  <c r="E429" i="1"/>
  <c r="D429" i="1"/>
  <c r="C429" i="1"/>
  <c r="B429" i="1"/>
  <c r="AH428" i="1"/>
  <c r="AG428" i="1"/>
  <c r="AF428" i="1"/>
  <c r="V428" i="1"/>
  <c r="N428" i="1"/>
  <c r="M428" i="1"/>
  <c r="L428" i="1"/>
  <c r="D428" i="1"/>
  <c r="C428" i="1"/>
  <c r="B428" i="1"/>
  <c r="AH427" i="1"/>
  <c r="AG427" i="1"/>
  <c r="AF427" i="1"/>
  <c r="Y427" i="1"/>
  <c r="X427" i="1"/>
  <c r="W427" i="1"/>
  <c r="V427" i="1"/>
  <c r="O427" i="1"/>
  <c r="N427" i="1"/>
  <c r="M427" i="1"/>
  <c r="L427" i="1"/>
  <c r="G427" i="1"/>
  <c r="F427" i="1"/>
  <c r="E427" i="1"/>
  <c r="D427" i="1"/>
  <c r="C427" i="1"/>
  <c r="B427" i="1"/>
  <c r="AH426" i="1"/>
  <c r="AG426" i="1"/>
  <c r="AF426" i="1"/>
  <c r="W426" i="1"/>
  <c r="V426" i="1"/>
  <c r="N426" i="1"/>
  <c r="M426" i="1"/>
  <c r="L426" i="1"/>
  <c r="C426" i="1"/>
  <c r="B426" i="1"/>
  <c r="AH425" i="1"/>
  <c r="AG425" i="1"/>
  <c r="AF425" i="1"/>
  <c r="Z425" i="1"/>
  <c r="Y425" i="1"/>
  <c r="X425" i="1"/>
  <c r="W425" i="1"/>
  <c r="V425" i="1"/>
  <c r="Q425" i="1"/>
  <c r="P425" i="1"/>
  <c r="O425" i="1"/>
  <c r="N425" i="1"/>
  <c r="M425" i="1"/>
  <c r="L425" i="1"/>
  <c r="F425" i="1"/>
  <c r="E425" i="1"/>
  <c r="D425" i="1"/>
  <c r="C425" i="1"/>
  <c r="B425" i="1"/>
  <c r="AH424" i="1"/>
  <c r="AG424" i="1"/>
  <c r="AF424" i="1"/>
  <c r="W424" i="1"/>
  <c r="V424" i="1"/>
  <c r="Q424" i="1"/>
  <c r="P424" i="1"/>
  <c r="O424" i="1"/>
  <c r="N424" i="1"/>
  <c r="M424" i="1"/>
  <c r="L424" i="1"/>
  <c r="I424" i="1"/>
  <c r="H424" i="1"/>
  <c r="G424" i="1"/>
  <c r="F424" i="1"/>
  <c r="E424" i="1"/>
  <c r="D424" i="1"/>
  <c r="C424" i="1"/>
  <c r="B424" i="1"/>
  <c r="AH423" i="1"/>
  <c r="AG423" i="1"/>
  <c r="AF423" i="1"/>
  <c r="Z423" i="1"/>
  <c r="Y423" i="1"/>
  <c r="X423" i="1"/>
  <c r="W423" i="1"/>
  <c r="V423" i="1"/>
  <c r="T423" i="1"/>
  <c r="S423" i="1"/>
  <c r="R423" i="1"/>
  <c r="Q423" i="1"/>
  <c r="P423" i="1"/>
  <c r="O423" i="1"/>
  <c r="N423" i="1"/>
  <c r="M423" i="1"/>
  <c r="L423" i="1"/>
  <c r="E423" i="1"/>
  <c r="D423" i="1"/>
  <c r="C423" i="1"/>
  <c r="B423" i="1"/>
  <c r="AH422" i="1"/>
  <c r="AG422" i="1"/>
  <c r="AF422" i="1"/>
  <c r="V422" i="1"/>
  <c r="P422" i="1"/>
  <c r="O422" i="1"/>
  <c r="N422" i="1"/>
  <c r="M422" i="1"/>
  <c r="L422" i="1"/>
  <c r="G422" i="1"/>
  <c r="F422" i="1"/>
  <c r="E422" i="1"/>
  <c r="D422" i="1"/>
  <c r="C422" i="1"/>
  <c r="B422" i="1"/>
  <c r="AH421" i="1"/>
  <c r="AG421" i="1"/>
  <c r="AF421" i="1"/>
  <c r="Z421" i="1"/>
  <c r="Y421" i="1"/>
  <c r="X421" i="1"/>
  <c r="W421" i="1"/>
  <c r="V421" i="1"/>
  <c r="O421" i="1"/>
  <c r="N421" i="1"/>
  <c r="M421" i="1"/>
  <c r="L421" i="1"/>
  <c r="D421" i="1"/>
  <c r="C421" i="1"/>
  <c r="B421" i="1"/>
  <c r="AH420" i="1"/>
  <c r="AG420" i="1"/>
  <c r="AF420" i="1"/>
  <c r="W420" i="1"/>
  <c r="V420" i="1"/>
  <c r="P420" i="1"/>
  <c r="O420" i="1"/>
  <c r="N420" i="1"/>
  <c r="M420" i="1"/>
  <c r="L420" i="1"/>
  <c r="G420" i="1"/>
  <c r="F420" i="1"/>
  <c r="E420" i="1"/>
  <c r="D420" i="1"/>
  <c r="C420" i="1"/>
  <c r="B420" i="1"/>
  <c r="AH419" i="1"/>
  <c r="AG419" i="1"/>
  <c r="AF419" i="1"/>
  <c r="W419" i="1"/>
  <c r="V419" i="1"/>
  <c r="T419" i="1"/>
  <c r="S419" i="1"/>
  <c r="R419" i="1"/>
  <c r="Q419" i="1"/>
  <c r="P419" i="1"/>
  <c r="O419" i="1"/>
  <c r="N419" i="1"/>
  <c r="M419" i="1"/>
  <c r="L419" i="1"/>
  <c r="D419" i="1"/>
  <c r="C419" i="1"/>
  <c r="B419" i="1"/>
  <c r="AH418" i="1"/>
  <c r="AG418" i="1"/>
  <c r="AF418" i="1"/>
  <c r="AA418" i="1"/>
  <c r="Z418" i="1"/>
  <c r="Y418" i="1"/>
  <c r="X418" i="1"/>
  <c r="W418" i="1"/>
  <c r="V418" i="1"/>
  <c r="O418" i="1"/>
  <c r="N418" i="1"/>
  <c r="M418" i="1"/>
  <c r="L418" i="1"/>
  <c r="H418" i="1"/>
  <c r="G418" i="1"/>
  <c r="F418" i="1"/>
  <c r="E418" i="1"/>
  <c r="D418" i="1"/>
  <c r="C418" i="1"/>
  <c r="B418" i="1"/>
  <c r="AH417" i="1"/>
  <c r="AG417" i="1"/>
  <c r="AF417" i="1"/>
  <c r="X417" i="1"/>
  <c r="W417" i="1"/>
  <c r="V417" i="1"/>
  <c r="R417" i="1"/>
  <c r="P417" i="1"/>
  <c r="O417" i="1"/>
  <c r="N417" i="1"/>
  <c r="M417" i="1"/>
  <c r="L417" i="1"/>
  <c r="D417" i="1"/>
  <c r="C417" i="1"/>
  <c r="B417" i="1"/>
  <c r="AH416" i="1"/>
  <c r="AG416" i="1"/>
  <c r="AF416" i="1"/>
  <c r="AB416" i="1"/>
  <c r="AA416" i="1"/>
  <c r="Z416" i="1"/>
  <c r="Y416" i="1"/>
  <c r="X416" i="1"/>
  <c r="W416" i="1"/>
  <c r="V416" i="1"/>
  <c r="R416" i="1"/>
  <c r="Q416" i="1"/>
  <c r="P416" i="1"/>
  <c r="O416" i="1"/>
  <c r="N416" i="1"/>
  <c r="M416" i="1"/>
  <c r="L416" i="1"/>
  <c r="I416" i="1"/>
  <c r="H416" i="1"/>
  <c r="G416" i="1"/>
  <c r="F416" i="1"/>
  <c r="E416" i="1"/>
  <c r="D416" i="1"/>
  <c r="C416" i="1"/>
  <c r="B416" i="1"/>
  <c r="AH415" i="1"/>
  <c r="AG415" i="1"/>
  <c r="AF415" i="1"/>
  <c r="Z415" i="1"/>
  <c r="Y415" i="1"/>
  <c r="X415" i="1"/>
  <c r="W415" i="1"/>
  <c r="V415" i="1"/>
  <c r="O415" i="1"/>
  <c r="N415" i="1"/>
  <c r="M415" i="1"/>
  <c r="L415" i="1"/>
  <c r="H415" i="1"/>
  <c r="G415" i="1"/>
  <c r="F415" i="1"/>
  <c r="E415" i="1"/>
  <c r="D415" i="1"/>
  <c r="C415" i="1"/>
  <c r="B415" i="1"/>
  <c r="AH414" i="1"/>
  <c r="AG414" i="1"/>
  <c r="AF414" i="1"/>
  <c r="V414" i="1"/>
  <c r="T414" i="1"/>
  <c r="S414" i="1"/>
  <c r="R414" i="1"/>
  <c r="Q414" i="1"/>
  <c r="P414" i="1"/>
  <c r="O414" i="1"/>
  <c r="N414" i="1"/>
  <c r="M414" i="1"/>
  <c r="L414" i="1"/>
  <c r="I414" i="1"/>
  <c r="D414" i="1"/>
  <c r="C414" i="1"/>
  <c r="B414" i="1"/>
  <c r="AH413" i="1"/>
  <c r="AG413" i="1"/>
  <c r="AF413" i="1"/>
  <c r="W413" i="1"/>
  <c r="V413" i="1"/>
  <c r="N413" i="1"/>
  <c r="M413" i="1"/>
  <c r="L413" i="1"/>
  <c r="H413" i="1"/>
  <c r="G413" i="1"/>
  <c r="F413" i="1"/>
  <c r="E413" i="1"/>
  <c r="D413" i="1"/>
  <c r="C413" i="1"/>
  <c r="B413" i="1"/>
  <c r="AH412" i="1"/>
  <c r="AG412" i="1"/>
  <c r="AF412" i="1"/>
  <c r="Z412" i="1"/>
  <c r="Y412" i="1"/>
  <c r="X412" i="1"/>
  <c r="W412" i="1"/>
  <c r="V412" i="1"/>
  <c r="O412" i="1"/>
  <c r="N412" i="1"/>
  <c r="M412" i="1"/>
  <c r="L412" i="1"/>
  <c r="D412" i="1"/>
  <c r="C412" i="1"/>
  <c r="B412" i="1"/>
  <c r="AH411" i="1"/>
  <c r="AG411" i="1"/>
  <c r="AF411" i="1"/>
  <c r="W411" i="1"/>
  <c r="V411" i="1"/>
  <c r="N411" i="1"/>
  <c r="M411" i="1"/>
  <c r="L411" i="1"/>
  <c r="H411" i="1"/>
  <c r="G411" i="1"/>
  <c r="F411" i="1"/>
  <c r="E411" i="1"/>
  <c r="D411" i="1"/>
  <c r="C411" i="1"/>
  <c r="B411" i="1"/>
  <c r="AH410" i="1"/>
  <c r="AG410" i="1"/>
  <c r="Z410" i="1"/>
  <c r="Y410" i="1"/>
  <c r="X410" i="1"/>
  <c r="W410" i="1"/>
  <c r="V410" i="1"/>
  <c r="P410" i="1"/>
  <c r="O410" i="1"/>
  <c r="N410" i="1"/>
  <c r="M410" i="1"/>
  <c r="L410" i="1"/>
  <c r="G410" i="1"/>
  <c r="F410" i="1"/>
  <c r="E410" i="1"/>
  <c r="D410" i="1"/>
  <c r="C410" i="1"/>
  <c r="B410" i="1"/>
  <c r="AH409" i="1"/>
  <c r="AG409" i="1"/>
  <c r="AF409" i="1"/>
  <c r="X409" i="1"/>
  <c r="W409" i="1"/>
  <c r="V409" i="1"/>
  <c r="P409" i="1"/>
  <c r="O409" i="1"/>
  <c r="N409" i="1"/>
  <c r="M409" i="1"/>
  <c r="L409" i="1"/>
  <c r="J409" i="1"/>
  <c r="H409" i="1"/>
  <c r="G409" i="1"/>
  <c r="F409" i="1"/>
  <c r="E409" i="1"/>
  <c r="D409" i="1"/>
  <c r="C409" i="1"/>
  <c r="B409" i="1"/>
  <c r="AG408" i="1"/>
  <c r="AF408" i="1"/>
  <c r="Y408" i="1"/>
  <c r="X408" i="1"/>
  <c r="W408" i="1"/>
  <c r="V408" i="1"/>
  <c r="Q408" i="1"/>
  <c r="P408" i="1"/>
  <c r="O408" i="1"/>
  <c r="N408" i="1"/>
  <c r="M408" i="1"/>
  <c r="L408" i="1"/>
  <c r="G408" i="1"/>
  <c r="F408" i="1"/>
  <c r="E408" i="1"/>
  <c r="D408" i="1"/>
  <c r="C408" i="1"/>
  <c r="B408" i="1"/>
  <c r="AH407" i="1"/>
  <c r="AG407" i="1"/>
  <c r="AF407" i="1"/>
  <c r="Y407" i="1"/>
  <c r="X407" i="1"/>
  <c r="W407" i="1"/>
  <c r="V407" i="1"/>
  <c r="P407" i="1"/>
  <c r="O407" i="1"/>
  <c r="N407" i="1"/>
  <c r="M407" i="1"/>
  <c r="L407" i="1"/>
  <c r="F407" i="1"/>
  <c r="E407" i="1"/>
  <c r="D407" i="1"/>
  <c r="C407" i="1"/>
  <c r="B407" i="1"/>
  <c r="AH406" i="1"/>
  <c r="AG406" i="1"/>
  <c r="AF406" i="1"/>
  <c r="W406" i="1"/>
  <c r="V406" i="1"/>
  <c r="T406" i="1"/>
  <c r="R406" i="1"/>
  <c r="O406" i="1"/>
  <c r="N406" i="1"/>
  <c r="M406" i="1"/>
  <c r="H406" i="1"/>
  <c r="C406" i="1"/>
  <c r="B406" i="1"/>
  <c r="AH405" i="1"/>
  <c r="AG405" i="1"/>
  <c r="AF405" i="1"/>
  <c r="W405" i="1"/>
  <c r="V405" i="1"/>
  <c r="L405" i="1"/>
  <c r="H405" i="1"/>
  <c r="G405" i="1"/>
  <c r="F405" i="1"/>
  <c r="E405" i="1"/>
  <c r="D405" i="1"/>
  <c r="C405" i="1"/>
  <c r="B405" i="1"/>
  <c r="AH404" i="1"/>
  <c r="AG404" i="1"/>
  <c r="AF404" i="1"/>
  <c r="AB404" i="1"/>
  <c r="AA404" i="1"/>
  <c r="Z404" i="1"/>
  <c r="Y404" i="1"/>
  <c r="X404" i="1"/>
  <c r="W404" i="1"/>
  <c r="V404" i="1"/>
  <c r="P404" i="1"/>
  <c r="O404" i="1"/>
  <c r="N404" i="1"/>
  <c r="M404" i="1"/>
  <c r="L404" i="1"/>
  <c r="D404" i="1"/>
  <c r="C404" i="1"/>
  <c r="B404" i="1"/>
  <c r="AH403" i="1"/>
  <c r="AG403" i="1"/>
  <c r="AF403" i="1"/>
  <c r="X403" i="1"/>
  <c r="W403" i="1"/>
  <c r="V403" i="1"/>
  <c r="N403" i="1"/>
  <c r="M403" i="1"/>
  <c r="L403" i="1"/>
  <c r="D403" i="1"/>
  <c r="C403" i="1"/>
  <c r="B403" i="1"/>
  <c r="AH402" i="1"/>
  <c r="AG402" i="1"/>
  <c r="AF402" i="1"/>
  <c r="W402" i="1"/>
  <c r="V402" i="1"/>
  <c r="P402" i="1"/>
  <c r="O402" i="1"/>
  <c r="N402" i="1"/>
  <c r="M402" i="1"/>
  <c r="L402" i="1"/>
  <c r="F402" i="1"/>
  <c r="E402" i="1"/>
  <c r="D402" i="1"/>
  <c r="C402" i="1"/>
  <c r="B402" i="1"/>
  <c r="AF401" i="1"/>
  <c r="Z401" i="1"/>
  <c r="Y401" i="1"/>
  <c r="X401" i="1"/>
  <c r="W401" i="1"/>
  <c r="V401" i="1"/>
  <c r="P401" i="1"/>
  <c r="O401" i="1"/>
  <c r="N401" i="1"/>
  <c r="M401" i="1"/>
  <c r="L401" i="1"/>
  <c r="I401" i="1"/>
  <c r="H401" i="1"/>
  <c r="G401" i="1"/>
  <c r="F401" i="1"/>
  <c r="E401" i="1"/>
  <c r="D401" i="1"/>
  <c r="C401" i="1"/>
  <c r="B401" i="1"/>
  <c r="AH400" i="1"/>
  <c r="AG400" i="1"/>
  <c r="AF400" i="1"/>
  <c r="Z400" i="1"/>
  <c r="Y400" i="1"/>
  <c r="X400" i="1"/>
  <c r="W400" i="1"/>
  <c r="V400" i="1"/>
  <c r="P400" i="1"/>
  <c r="O400" i="1"/>
  <c r="N400" i="1"/>
  <c r="M400" i="1"/>
  <c r="L400" i="1"/>
  <c r="F400" i="1"/>
  <c r="E400" i="1"/>
  <c r="D400" i="1"/>
  <c r="C400" i="1"/>
  <c r="B400" i="1"/>
  <c r="AH399" i="1"/>
  <c r="AG399" i="1"/>
  <c r="AF399" i="1"/>
  <c r="AB399" i="1"/>
  <c r="AA399" i="1"/>
  <c r="Z399" i="1"/>
  <c r="Y399" i="1"/>
  <c r="X399" i="1"/>
  <c r="W399" i="1"/>
  <c r="V399" i="1"/>
  <c r="N399" i="1"/>
  <c r="M399" i="1"/>
  <c r="L399" i="1"/>
  <c r="C399" i="1"/>
  <c r="B399" i="1"/>
  <c r="AH398" i="1"/>
  <c r="AG398" i="1"/>
  <c r="AF398" i="1"/>
  <c r="X398" i="1"/>
  <c r="W398" i="1"/>
  <c r="V398" i="1"/>
  <c r="P398" i="1"/>
  <c r="O398" i="1"/>
  <c r="N398" i="1"/>
  <c r="M398" i="1"/>
  <c r="L398" i="1"/>
  <c r="D398" i="1"/>
  <c r="C398" i="1"/>
  <c r="B398" i="1"/>
  <c r="AH397" i="1"/>
  <c r="AG397" i="1"/>
  <c r="AF397" i="1"/>
  <c r="X397" i="1"/>
  <c r="W397" i="1"/>
  <c r="V397" i="1"/>
  <c r="Q397" i="1"/>
  <c r="P397" i="1"/>
  <c r="O397" i="1"/>
  <c r="N397" i="1"/>
  <c r="M397" i="1"/>
  <c r="L397" i="1"/>
  <c r="C397" i="1"/>
  <c r="B397" i="1"/>
  <c r="AH396" i="1"/>
  <c r="AG396" i="1"/>
  <c r="AF396" i="1"/>
  <c r="X396" i="1"/>
  <c r="W396" i="1"/>
  <c r="V396" i="1"/>
  <c r="P396" i="1"/>
  <c r="O396" i="1"/>
  <c r="N396" i="1"/>
  <c r="M396" i="1"/>
  <c r="L396" i="1"/>
  <c r="I396" i="1"/>
  <c r="H396" i="1"/>
  <c r="G396" i="1"/>
  <c r="F396" i="1"/>
  <c r="E396" i="1"/>
  <c r="D396" i="1"/>
  <c r="C396" i="1"/>
  <c r="B396" i="1"/>
  <c r="AH395" i="1"/>
  <c r="AG395" i="1"/>
  <c r="AF395" i="1"/>
  <c r="AA395" i="1"/>
  <c r="Z395" i="1"/>
  <c r="Y395" i="1"/>
  <c r="X395" i="1"/>
  <c r="W395" i="1"/>
  <c r="V395" i="1"/>
  <c r="R395" i="1"/>
  <c r="Q395" i="1"/>
  <c r="P395" i="1"/>
  <c r="O395" i="1"/>
  <c r="N395" i="1"/>
  <c r="M395" i="1"/>
  <c r="L395" i="1"/>
  <c r="H395" i="1"/>
  <c r="G395" i="1"/>
  <c r="F395" i="1"/>
  <c r="E395" i="1"/>
  <c r="D395" i="1"/>
  <c r="C395" i="1"/>
  <c r="B395" i="1"/>
  <c r="AH394" i="1"/>
  <c r="AG394" i="1"/>
  <c r="AF394" i="1"/>
  <c r="X394" i="1"/>
  <c r="W394" i="1"/>
  <c r="V394" i="1"/>
  <c r="P394" i="1"/>
  <c r="O394" i="1"/>
  <c r="N394" i="1"/>
  <c r="M394" i="1"/>
  <c r="L394" i="1"/>
  <c r="G394" i="1"/>
  <c r="F394" i="1"/>
  <c r="E394" i="1"/>
  <c r="D394" i="1"/>
  <c r="C394" i="1"/>
  <c r="B394" i="1"/>
  <c r="AH393" i="1"/>
  <c r="AG393" i="1"/>
  <c r="AF393" i="1"/>
  <c r="V393" i="1"/>
  <c r="Q393" i="1"/>
  <c r="P393" i="1"/>
  <c r="O393" i="1"/>
  <c r="N393" i="1"/>
  <c r="M393" i="1"/>
  <c r="L393" i="1"/>
  <c r="H393" i="1"/>
  <c r="G393" i="1"/>
  <c r="F393" i="1"/>
  <c r="E393" i="1"/>
  <c r="D393" i="1"/>
  <c r="C393" i="1"/>
  <c r="B393" i="1"/>
  <c r="AH392" i="1"/>
  <c r="AG392" i="1"/>
  <c r="AF392" i="1"/>
  <c r="AD392" i="1"/>
  <c r="AC392" i="1"/>
  <c r="AB392" i="1"/>
  <c r="AA392" i="1"/>
  <c r="Z392" i="1"/>
  <c r="Y392" i="1"/>
  <c r="X392" i="1"/>
  <c r="W392" i="1"/>
  <c r="V392" i="1"/>
  <c r="Q392" i="1"/>
  <c r="P392" i="1"/>
  <c r="O392" i="1"/>
  <c r="N392" i="1"/>
  <c r="M392" i="1"/>
  <c r="L392" i="1"/>
  <c r="F392" i="1"/>
  <c r="E392" i="1"/>
  <c r="D392" i="1"/>
  <c r="C392" i="1"/>
  <c r="B392" i="1"/>
  <c r="AH391" i="1"/>
  <c r="AG391" i="1"/>
  <c r="AF391" i="1"/>
  <c r="X391" i="1"/>
  <c r="W391" i="1"/>
  <c r="V391" i="1"/>
  <c r="N391" i="1"/>
  <c r="M391" i="1"/>
  <c r="L391" i="1"/>
  <c r="F391" i="1"/>
  <c r="E391" i="1"/>
  <c r="D391" i="1"/>
  <c r="C391" i="1"/>
  <c r="B391" i="1"/>
  <c r="AH390" i="1"/>
  <c r="AG390" i="1"/>
  <c r="AF390" i="1"/>
  <c r="AA390" i="1"/>
  <c r="Z390" i="1"/>
  <c r="Y390" i="1"/>
  <c r="X390" i="1"/>
  <c r="W390" i="1"/>
  <c r="V390" i="1"/>
  <c r="R390" i="1"/>
  <c r="Q390" i="1"/>
  <c r="P390" i="1"/>
  <c r="O390" i="1"/>
  <c r="N390" i="1"/>
  <c r="M390" i="1"/>
  <c r="L390" i="1"/>
  <c r="G390" i="1"/>
  <c r="F390" i="1"/>
  <c r="E390" i="1"/>
  <c r="D390" i="1"/>
  <c r="C390" i="1"/>
  <c r="B390" i="1"/>
  <c r="AH389" i="1"/>
  <c r="AG389" i="1"/>
  <c r="AF389" i="1"/>
  <c r="AC389" i="1"/>
  <c r="AB389" i="1"/>
  <c r="AA389" i="1"/>
  <c r="Z389" i="1"/>
  <c r="Y389" i="1"/>
  <c r="X389" i="1"/>
  <c r="W389" i="1"/>
  <c r="V389" i="1"/>
  <c r="N389" i="1"/>
  <c r="M389" i="1"/>
  <c r="L389" i="1"/>
  <c r="C389" i="1"/>
  <c r="B389" i="1"/>
  <c r="AH388" i="1"/>
  <c r="AG388" i="1"/>
  <c r="AF388" i="1"/>
  <c r="Y388" i="1"/>
  <c r="X388" i="1"/>
  <c r="W388" i="1"/>
  <c r="V388" i="1"/>
  <c r="Q388" i="1"/>
  <c r="P388" i="1"/>
  <c r="O388" i="1"/>
  <c r="N388" i="1"/>
  <c r="M388" i="1"/>
  <c r="L388" i="1"/>
  <c r="D388" i="1"/>
  <c r="C388" i="1"/>
  <c r="B388" i="1"/>
  <c r="AH387" i="1"/>
  <c r="AG387" i="1"/>
  <c r="AF387" i="1"/>
  <c r="Y387" i="1"/>
  <c r="X387" i="1"/>
  <c r="W387" i="1"/>
  <c r="Q387" i="1"/>
  <c r="P387" i="1"/>
  <c r="O387" i="1"/>
  <c r="N387" i="1"/>
  <c r="M387" i="1"/>
  <c r="L387" i="1"/>
  <c r="F387" i="1"/>
  <c r="E387" i="1"/>
  <c r="D387" i="1"/>
  <c r="C387" i="1"/>
  <c r="B387" i="1"/>
  <c r="AH386" i="1"/>
  <c r="AG386" i="1"/>
  <c r="AF386" i="1"/>
  <c r="W386" i="1"/>
  <c r="V386" i="1"/>
  <c r="P386" i="1"/>
  <c r="O386" i="1"/>
  <c r="N386" i="1"/>
  <c r="M386" i="1"/>
  <c r="L386" i="1"/>
  <c r="D386" i="1"/>
  <c r="C386" i="1"/>
  <c r="B386" i="1"/>
  <c r="AH385" i="1"/>
  <c r="AG385" i="1"/>
  <c r="AF385" i="1"/>
  <c r="Y385" i="1"/>
  <c r="X385" i="1"/>
  <c r="W385" i="1"/>
  <c r="V385" i="1"/>
  <c r="N385" i="1"/>
  <c r="M385" i="1"/>
  <c r="L385" i="1"/>
  <c r="C385" i="1"/>
  <c r="B385" i="1"/>
  <c r="AH384" i="1"/>
  <c r="AG384" i="1"/>
  <c r="AF384" i="1"/>
  <c r="W384" i="1"/>
  <c r="V384" i="1"/>
  <c r="S384" i="1"/>
  <c r="R384" i="1"/>
  <c r="Q384" i="1"/>
  <c r="P384" i="1"/>
  <c r="O384" i="1"/>
  <c r="N384" i="1"/>
  <c r="M384" i="1"/>
  <c r="L384" i="1"/>
  <c r="D384" i="1"/>
  <c r="C384" i="1"/>
  <c r="B384" i="1"/>
  <c r="AH383" i="1"/>
  <c r="AG383" i="1"/>
  <c r="AF383" i="1"/>
  <c r="Z383" i="1"/>
  <c r="Y383" i="1"/>
  <c r="X383" i="1"/>
  <c r="W383" i="1"/>
  <c r="V383" i="1"/>
  <c r="M383" i="1"/>
  <c r="L383" i="1"/>
  <c r="D383" i="1"/>
  <c r="C383" i="1"/>
  <c r="B383" i="1"/>
  <c r="AG382" i="1"/>
  <c r="AF382" i="1"/>
  <c r="AC382" i="1"/>
  <c r="AB382" i="1"/>
  <c r="AA382" i="1"/>
  <c r="Z382" i="1"/>
  <c r="Y382" i="1"/>
  <c r="X382" i="1"/>
  <c r="W382" i="1"/>
  <c r="V382" i="1"/>
  <c r="Q382" i="1"/>
  <c r="P382" i="1"/>
  <c r="O382" i="1"/>
  <c r="N382" i="1"/>
  <c r="M382" i="1"/>
  <c r="L382" i="1"/>
  <c r="J382" i="1"/>
  <c r="I382" i="1"/>
  <c r="H382" i="1"/>
  <c r="G382" i="1"/>
  <c r="F382" i="1"/>
  <c r="E382" i="1"/>
  <c r="D382" i="1"/>
  <c r="C382" i="1"/>
  <c r="B382" i="1"/>
  <c r="AH381" i="1"/>
  <c r="AG381" i="1"/>
  <c r="AF381" i="1"/>
  <c r="Y381" i="1"/>
  <c r="X381" i="1"/>
  <c r="W381" i="1"/>
  <c r="V381" i="1"/>
  <c r="N381" i="1"/>
  <c r="M381" i="1"/>
  <c r="L381" i="1"/>
  <c r="D381" i="1"/>
  <c r="C381" i="1"/>
  <c r="B381" i="1"/>
  <c r="AH380" i="1"/>
  <c r="AG380" i="1"/>
  <c r="AF380" i="1"/>
  <c r="AB380" i="1"/>
  <c r="AA380" i="1"/>
  <c r="Z380" i="1"/>
  <c r="Y380" i="1"/>
  <c r="X380" i="1"/>
  <c r="W380" i="1"/>
  <c r="V380" i="1"/>
  <c r="M380" i="1"/>
  <c r="L380" i="1"/>
  <c r="D380" i="1"/>
  <c r="C380" i="1"/>
  <c r="B380" i="1"/>
  <c r="AH379" i="1"/>
  <c r="AG379" i="1"/>
  <c r="AF379" i="1"/>
  <c r="AA379" i="1"/>
  <c r="Z379" i="1"/>
  <c r="Y379" i="1"/>
  <c r="X379" i="1"/>
  <c r="W379" i="1"/>
  <c r="V379" i="1"/>
  <c r="R379" i="1"/>
  <c r="Q379" i="1"/>
  <c r="P379" i="1"/>
  <c r="O379" i="1"/>
  <c r="N379" i="1"/>
  <c r="M379" i="1"/>
  <c r="L379" i="1"/>
  <c r="H379" i="1"/>
  <c r="G379" i="1"/>
  <c r="F379" i="1"/>
  <c r="E379" i="1"/>
  <c r="D379" i="1"/>
  <c r="C379" i="1"/>
  <c r="B379" i="1"/>
  <c r="AH378" i="1"/>
  <c r="AG378" i="1"/>
  <c r="AF378" i="1"/>
  <c r="W378" i="1"/>
  <c r="V378" i="1"/>
  <c r="N378" i="1"/>
  <c r="M378" i="1"/>
  <c r="L378" i="1"/>
  <c r="J378" i="1"/>
  <c r="I378" i="1"/>
  <c r="H378" i="1"/>
  <c r="G378" i="1"/>
  <c r="F378" i="1"/>
  <c r="E378" i="1"/>
  <c r="D378" i="1"/>
  <c r="C378" i="1"/>
  <c r="B378" i="1"/>
  <c r="AH377" i="1"/>
  <c r="AG377" i="1"/>
  <c r="AF377" i="1"/>
  <c r="AA377" i="1"/>
  <c r="W377" i="1"/>
  <c r="V377" i="1"/>
  <c r="Q377" i="1"/>
  <c r="P377" i="1"/>
  <c r="O377" i="1"/>
  <c r="N377" i="1"/>
  <c r="M377" i="1"/>
  <c r="L377" i="1"/>
  <c r="F377" i="1"/>
  <c r="E377" i="1"/>
  <c r="D377" i="1"/>
  <c r="C377" i="1"/>
  <c r="B377" i="1"/>
  <c r="AH376" i="1"/>
  <c r="AG376" i="1"/>
  <c r="AF376" i="1"/>
  <c r="W376" i="1"/>
  <c r="V376" i="1"/>
  <c r="Q376" i="1"/>
  <c r="P376" i="1"/>
  <c r="O376" i="1"/>
  <c r="N376" i="1"/>
  <c r="M376" i="1"/>
  <c r="L376" i="1"/>
  <c r="H376" i="1"/>
  <c r="G376" i="1"/>
  <c r="F376" i="1"/>
  <c r="E376" i="1"/>
  <c r="D376" i="1"/>
  <c r="C376" i="1"/>
  <c r="B376" i="1"/>
  <c r="AH375" i="1"/>
  <c r="AG375" i="1"/>
  <c r="AF375" i="1"/>
  <c r="X375" i="1"/>
  <c r="W375" i="1"/>
  <c r="V375" i="1"/>
  <c r="N375" i="1"/>
  <c r="M375" i="1"/>
  <c r="L375" i="1"/>
  <c r="D375" i="1"/>
  <c r="C375" i="1"/>
  <c r="B375" i="1"/>
  <c r="AH374" i="1"/>
  <c r="AG374" i="1"/>
  <c r="AF374" i="1"/>
  <c r="X374" i="1"/>
  <c r="W374" i="1"/>
  <c r="V374" i="1"/>
  <c r="P374" i="1"/>
  <c r="O374" i="1"/>
  <c r="N374" i="1"/>
  <c r="M374" i="1"/>
  <c r="L374" i="1"/>
  <c r="G374" i="1"/>
  <c r="F374" i="1"/>
  <c r="E374" i="1"/>
  <c r="D374" i="1"/>
  <c r="C374" i="1"/>
  <c r="B374" i="1"/>
  <c r="AH373" i="1"/>
  <c r="AG373" i="1"/>
  <c r="AF373" i="1"/>
  <c r="AA373" i="1"/>
  <c r="Z373" i="1"/>
  <c r="Y373" i="1"/>
  <c r="X373" i="1"/>
  <c r="W373" i="1"/>
  <c r="V373" i="1"/>
  <c r="M373" i="1"/>
  <c r="L373" i="1"/>
  <c r="D373" i="1"/>
  <c r="C373" i="1"/>
  <c r="B373" i="1"/>
  <c r="AG372" i="1"/>
  <c r="AF372" i="1"/>
  <c r="V372" i="1"/>
  <c r="M372" i="1"/>
  <c r="L372" i="1"/>
  <c r="G372" i="1"/>
  <c r="E372" i="1"/>
  <c r="D372" i="1"/>
  <c r="C372" i="1"/>
  <c r="B372" i="1"/>
  <c r="AH371" i="1"/>
  <c r="AG371" i="1"/>
  <c r="AF371" i="1"/>
  <c r="Z371" i="1"/>
  <c r="Y371" i="1"/>
  <c r="X371" i="1"/>
  <c r="W371" i="1"/>
  <c r="V371" i="1"/>
  <c r="N371" i="1"/>
  <c r="M371" i="1"/>
  <c r="L371" i="1"/>
  <c r="D371" i="1"/>
  <c r="C371" i="1"/>
  <c r="B371" i="1"/>
  <c r="AH370" i="1"/>
  <c r="AG370" i="1"/>
  <c r="AF370" i="1"/>
  <c r="V370" i="1"/>
  <c r="Q370" i="1"/>
  <c r="P370" i="1"/>
  <c r="O370" i="1"/>
  <c r="N370" i="1"/>
  <c r="M370" i="1"/>
  <c r="L370" i="1"/>
  <c r="D370" i="1"/>
  <c r="C370" i="1"/>
  <c r="B370" i="1"/>
  <c r="AH369" i="1"/>
  <c r="AG369" i="1"/>
  <c r="AF369" i="1"/>
  <c r="Y369" i="1"/>
  <c r="X369" i="1"/>
  <c r="W369" i="1"/>
  <c r="V369" i="1"/>
  <c r="O369" i="1"/>
  <c r="N369" i="1"/>
  <c r="M369" i="1"/>
  <c r="L369" i="1"/>
  <c r="D369" i="1"/>
  <c r="C369" i="1"/>
  <c r="B369" i="1"/>
  <c r="AH368" i="1"/>
  <c r="AG368" i="1"/>
  <c r="AF368" i="1"/>
  <c r="W368" i="1"/>
  <c r="V368" i="1"/>
  <c r="P368" i="1"/>
  <c r="O368" i="1"/>
  <c r="N368" i="1"/>
  <c r="M368" i="1"/>
  <c r="L368" i="1"/>
  <c r="D368" i="1"/>
  <c r="C368" i="1"/>
  <c r="B368" i="1"/>
  <c r="AH367" i="1"/>
  <c r="AG367" i="1"/>
  <c r="AF367" i="1"/>
  <c r="X367" i="1"/>
  <c r="W367" i="1"/>
  <c r="V367" i="1"/>
  <c r="R367" i="1"/>
  <c r="Q367" i="1"/>
  <c r="P367" i="1"/>
  <c r="O367" i="1"/>
  <c r="N367" i="1"/>
  <c r="M367" i="1"/>
  <c r="L367" i="1"/>
  <c r="H367" i="1"/>
  <c r="F367" i="1"/>
  <c r="E367" i="1"/>
  <c r="D367" i="1"/>
  <c r="C367" i="1"/>
  <c r="B367" i="1"/>
  <c r="AG366" i="1"/>
  <c r="AF366" i="1"/>
  <c r="X366" i="1"/>
  <c r="W366" i="1"/>
  <c r="V366" i="1"/>
  <c r="R366" i="1"/>
  <c r="Q366" i="1"/>
  <c r="P366" i="1"/>
  <c r="O366" i="1"/>
  <c r="N366" i="1"/>
  <c r="M366" i="1"/>
  <c r="L366" i="1"/>
  <c r="D366" i="1"/>
  <c r="C366" i="1"/>
  <c r="B366" i="1"/>
  <c r="AH365" i="1"/>
  <c r="AG365" i="1"/>
  <c r="AF365" i="1"/>
  <c r="AD365" i="1"/>
  <c r="AB365" i="1"/>
  <c r="AA365" i="1"/>
  <c r="Z365" i="1"/>
  <c r="Y365" i="1"/>
  <c r="X365" i="1"/>
  <c r="W365" i="1"/>
  <c r="V365" i="1"/>
  <c r="R365" i="1"/>
  <c r="Q365" i="1"/>
  <c r="P365" i="1"/>
  <c r="O365" i="1"/>
  <c r="N365" i="1"/>
  <c r="M365" i="1"/>
  <c r="L365" i="1"/>
  <c r="F365" i="1"/>
  <c r="E365" i="1"/>
  <c r="D365" i="1"/>
  <c r="C365" i="1"/>
  <c r="B365" i="1"/>
  <c r="AH364" i="1"/>
  <c r="AG364" i="1"/>
  <c r="AF364" i="1"/>
  <c r="AB364" i="1"/>
  <c r="AA364" i="1"/>
  <c r="Z364" i="1"/>
  <c r="Y364" i="1"/>
  <c r="X364" i="1"/>
  <c r="W364" i="1"/>
  <c r="V364" i="1"/>
  <c r="M364" i="1"/>
  <c r="L364" i="1"/>
  <c r="I364" i="1"/>
  <c r="H364" i="1"/>
  <c r="G364" i="1"/>
  <c r="F364" i="1"/>
  <c r="E364" i="1"/>
  <c r="D364" i="1"/>
  <c r="C364" i="1"/>
  <c r="B364" i="1"/>
  <c r="AH363" i="1"/>
  <c r="AG363" i="1"/>
  <c r="AF363" i="1"/>
  <c r="Y363" i="1"/>
  <c r="X363" i="1"/>
  <c r="W363" i="1"/>
  <c r="V363" i="1"/>
  <c r="P363" i="1"/>
  <c r="O363" i="1"/>
  <c r="N363" i="1"/>
  <c r="M363" i="1"/>
  <c r="L363" i="1"/>
  <c r="G363" i="1"/>
  <c r="F363" i="1"/>
  <c r="E363" i="1"/>
  <c r="D363" i="1"/>
  <c r="C363" i="1"/>
  <c r="B363" i="1"/>
  <c r="AH362" i="1"/>
  <c r="AG362" i="1"/>
  <c r="AF362" i="1"/>
  <c r="W362" i="1"/>
  <c r="V362" i="1"/>
  <c r="O362" i="1"/>
  <c r="N362" i="1"/>
  <c r="M362" i="1"/>
  <c r="L362" i="1"/>
  <c r="I362" i="1"/>
  <c r="H362" i="1"/>
  <c r="G362" i="1"/>
  <c r="F362" i="1"/>
  <c r="E362" i="1"/>
  <c r="D362" i="1"/>
  <c r="C362" i="1"/>
  <c r="B362" i="1"/>
  <c r="AF361" i="1"/>
  <c r="Y361" i="1"/>
  <c r="X361" i="1"/>
  <c r="W361" i="1"/>
  <c r="V361" i="1"/>
  <c r="O361" i="1"/>
  <c r="N361" i="1"/>
  <c r="M361" i="1"/>
  <c r="L361" i="1"/>
  <c r="G361" i="1"/>
  <c r="F361" i="1"/>
  <c r="E361" i="1"/>
  <c r="D361" i="1"/>
  <c r="C361" i="1"/>
  <c r="B361" i="1"/>
  <c r="AH360" i="1"/>
  <c r="AG360" i="1"/>
  <c r="AF360" i="1"/>
  <c r="Y360" i="1"/>
  <c r="X360" i="1"/>
  <c r="W360" i="1"/>
  <c r="V360" i="1"/>
  <c r="P360" i="1"/>
  <c r="O360" i="1"/>
  <c r="N360" i="1"/>
  <c r="M360" i="1"/>
  <c r="L360" i="1"/>
  <c r="H360" i="1"/>
  <c r="G360" i="1"/>
  <c r="F360" i="1"/>
  <c r="E360" i="1"/>
  <c r="D360" i="1"/>
  <c r="C360" i="1"/>
  <c r="B360" i="1"/>
  <c r="AH359" i="1"/>
  <c r="AG359" i="1"/>
  <c r="AF359" i="1"/>
  <c r="X359" i="1"/>
  <c r="W359" i="1"/>
  <c r="V359" i="1"/>
  <c r="R359" i="1"/>
  <c r="N359" i="1"/>
  <c r="M359" i="1"/>
  <c r="L359" i="1"/>
  <c r="D359" i="1"/>
  <c r="C359" i="1"/>
  <c r="B359" i="1"/>
  <c r="AH358" i="1"/>
  <c r="AG358" i="1"/>
  <c r="AF358" i="1"/>
  <c r="AC358" i="1"/>
  <c r="AB358" i="1"/>
  <c r="AA358" i="1"/>
  <c r="Z358" i="1"/>
  <c r="Y358" i="1"/>
  <c r="X358" i="1"/>
  <c r="W358" i="1"/>
  <c r="V358" i="1"/>
  <c r="T358" i="1"/>
  <c r="S358" i="1"/>
  <c r="R358" i="1"/>
  <c r="Q358" i="1"/>
  <c r="P358" i="1"/>
  <c r="O358" i="1"/>
  <c r="N358" i="1"/>
  <c r="M358" i="1"/>
  <c r="L358" i="1"/>
  <c r="G358" i="1"/>
  <c r="F358" i="1"/>
  <c r="E358" i="1"/>
  <c r="D358" i="1"/>
  <c r="C358" i="1"/>
  <c r="B358" i="1"/>
  <c r="AH357" i="1"/>
  <c r="AG357" i="1"/>
  <c r="AF357" i="1"/>
  <c r="AB357" i="1"/>
  <c r="AA357" i="1"/>
  <c r="Z357" i="1"/>
  <c r="Y357" i="1"/>
  <c r="X357" i="1"/>
  <c r="W357" i="1"/>
  <c r="V357" i="1"/>
  <c r="O357" i="1"/>
  <c r="M357" i="1"/>
  <c r="L357" i="1"/>
  <c r="F357" i="1"/>
  <c r="E357" i="1"/>
  <c r="D357" i="1"/>
  <c r="C357" i="1"/>
  <c r="B357" i="1"/>
  <c r="AH356" i="1"/>
  <c r="AG356" i="1"/>
  <c r="AF356" i="1"/>
  <c r="W356" i="1"/>
  <c r="V356" i="1"/>
  <c r="L356" i="1"/>
  <c r="G356" i="1"/>
  <c r="F356" i="1"/>
  <c r="E356" i="1"/>
  <c r="D356" i="1"/>
  <c r="C356" i="1"/>
  <c r="B356" i="1"/>
  <c r="AH355" i="1"/>
  <c r="AG355" i="1"/>
  <c r="AF355" i="1"/>
  <c r="Z355" i="1"/>
  <c r="Y355" i="1"/>
  <c r="X355" i="1"/>
  <c r="W355" i="1"/>
  <c r="V355" i="1"/>
  <c r="M355" i="1"/>
  <c r="L355" i="1"/>
  <c r="F355" i="1"/>
  <c r="E355" i="1"/>
  <c r="D355" i="1"/>
  <c r="C355" i="1"/>
  <c r="B355" i="1"/>
  <c r="AH354" i="1"/>
  <c r="AG354" i="1"/>
  <c r="AF354" i="1"/>
  <c r="AB354" i="1"/>
  <c r="AA354" i="1"/>
  <c r="Z354" i="1"/>
  <c r="Y354" i="1"/>
  <c r="X354" i="1"/>
  <c r="W354" i="1"/>
  <c r="V354" i="1"/>
  <c r="N354" i="1"/>
  <c r="M354" i="1"/>
  <c r="L354" i="1"/>
  <c r="D354" i="1"/>
  <c r="C354" i="1"/>
  <c r="B354" i="1"/>
  <c r="AH353" i="1"/>
  <c r="AG353" i="1"/>
  <c r="AF353" i="1"/>
  <c r="X353" i="1"/>
  <c r="W353" i="1"/>
  <c r="V353" i="1"/>
  <c r="P353" i="1"/>
  <c r="O353" i="1"/>
  <c r="N353" i="1"/>
  <c r="M353" i="1"/>
  <c r="L353" i="1"/>
  <c r="J353" i="1"/>
  <c r="I353" i="1"/>
  <c r="H353" i="1"/>
  <c r="G353" i="1"/>
  <c r="F353" i="1"/>
  <c r="E353" i="1"/>
  <c r="D353" i="1"/>
  <c r="C353" i="1"/>
  <c r="B353" i="1"/>
  <c r="AH352" i="1"/>
  <c r="AG352" i="1"/>
  <c r="AF352" i="1"/>
  <c r="V352" i="1"/>
  <c r="P352" i="1"/>
  <c r="O352" i="1"/>
  <c r="N352" i="1"/>
  <c r="M352" i="1"/>
  <c r="L352" i="1"/>
  <c r="F352" i="1"/>
  <c r="E352" i="1"/>
  <c r="D352" i="1"/>
  <c r="C352" i="1"/>
  <c r="B352" i="1"/>
  <c r="AH351" i="1"/>
  <c r="AG351" i="1"/>
  <c r="AF351" i="1"/>
  <c r="X351" i="1"/>
  <c r="W351" i="1"/>
  <c r="V351" i="1"/>
  <c r="R351" i="1"/>
  <c r="Q351" i="1"/>
  <c r="P351" i="1"/>
  <c r="O351" i="1"/>
  <c r="N351" i="1"/>
  <c r="M351" i="1"/>
  <c r="L351" i="1"/>
  <c r="J351" i="1"/>
  <c r="I351" i="1"/>
  <c r="H351" i="1"/>
  <c r="G351" i="1"/>
  <c r="F351" i="1"/>
  <c r="E351" i="1"/>
  <c r="D351" i="1"/>
  <c r="C351" i="1"/>
  <c r="B351" i="1"/>
  <c r="AH350" i="1"/>
  <c r="AG350" i="1"/>
  <c r="AF350" i="1"/>
  <c r="X350" i="1"/>
  <c r="W350" i="1"/>
  <c r="V350" i="1"/>
  <c r="Q350" i="1"/>
  <c r="P350" i="1"/>
  <c r="O350" i="1"/>
  <c r="N350" i="1"/>
  <c r="M350" i="1"/>
  <c r="L350" i="1"/>
  <c r="H350" i="1"/>
  <c r="G350" i="1"/>
  <c r="F350" i="1"/>
  <c r="E350" i="1"/>
  <c r="D350" i="1"/>
  <c r="C350" i="1"/>
  <c r="B350" i="1"/>
  <c r="AH349" i="1"/>
  <c r="AG349" i="1"/>
  <c r="AF349" i="1"/>
  <c r="AC349" i="1"/>
  <c r="AA349" i="1"/>
  <c r="Z349" i="1"/>
  <c r="Y349" i="1"/>
  <c r="X349" i="1"/>
  <c r="W349" i="1"/>
  <c r="V349" i="1"/>
  <c r="T349" i="1"/>
  <c r="S349" i="1"/>
  <c r="R349" i="1"/>
  <c r="Q349" i="1"/>
  <c r="P349" i="1"/>
  <c r="O349" i="1"/>
  <c r="N349" i="1"/>
  <c r="M349" i="1"/>
  <c r="L349" i="1"/>
  <c r="F349" i="1"/>
  <c r="E349" i="1"/>
  <c r="D349" i="1"/>
  <c r="C349" i="1"/>
  <c r="B349" i="1"/>
  <c r="AH348" i="1"/>
  <c r="AG348" i="1"/>
  <c r="AF348" i="1"/>
  <c r="Z348" i="1"/>
  <c r="Y348" i="1"/>
  <c r="X348" i="1"/>
  <c r="W348" i="1"/>
  <c r="V348" i="1"/>
  <c r="T348" i="1"/>
  <c r="S348" i="1"/>
  <c r="R348" i="1"/>
  <c r="Q348" i="1"/>
  <c r="P348" i="1"/>
  <c r="N348" i="1"/>
  <c r="M348" i="1"/>
  <c r="L348" i="1"/>
  <c r="I348" i="1"/>
  <c r="H348" i="1"/>
  <c r="G348" i="1"/>
  <c r="F348" i="1"/>
  <c r="E348" i="1"/>
  <c r="D348" i="1"/>
  <c r="C348" i="1"/>
  <c r="B348" i="1"/>
  <c r="AH347" i="1"/>
  <c r="AG347" i="1"/>
  <c r="AF347" i="1"/>
  <c r="W347" i="1"/>
  <c r="V347" i="1"/>
  <c r="N347" i="1"/>
  <c r="M347" i="1"/>
  <c r="L347" i="1"/>
  <c r="F347" i="1"/>
  <c r="E347" i="1"/>
  <c r="D347" i="1"/>
  <c r="C347" i="1"/>
  <c r="B347" i="1"/>
  <c r="AH346" i="1"/>
  <c r="AG346" i="1"/>
  <c r="AF346" i="1"/>
  <c r="W346" i="1"/>
  <c r="V346" i="1"/>
  <c r="P346" i="1"/>
  <c r="O346" i="1"/>
  <c r="N346" i="1"/>
  <c r="M346" i="1"/>
  <c r="L346" i="1"/>
  <c r="D346" i="1"/>
  <c r="C346" i="1"/>
  <c r="B346" i="1"/>
  <c r="AH345" i="1"/>
  <c r="AG345" i="1"/>
  <c r="AF345" i="1"/>
  <c r="V345" i="1"/>
  <c r="R345" i="1"/>
  <c r="Q345" i="1"/>
  <c r="P345" i="1"/>
  <c r="O345" i="1"/>
  <c r="N345" i="1"/>
  <c r="M345" i="1"/>
  <c r="L345" i="1"/>
  <c r="F345" i="1"/>
  <c r="E345" i="1"/>
  <c r="D345" i="1"/>
  <c r="C345" i="1"/>
  <c r="B345" i="1"/>
  <c r="AH344" i="1"/>
  <c r="AG344" i="1"/>
  <c r="AF344" i="1"/>
  <c r="W344" i="1"/>
  <c r="V344" i="1"/>
  <c r="L344" i="1"/>
  <c r="D344" i="1"/>
  <c r="C344" i="1"/>
  <c r="B344" i="1"/>
  <c r="AH343" i="1"/>
  <c r="AG343" i="1"/>
  <c r="AF343" i="1"/>
  <c r="X343" i="1"/>
  <c r="W343" i="1"/>
  <c r="V343" i="1"/>
  <c r="R343" i="1"/>
  <c r="Q343" i="1"/>
  <c r="P343" i="1"/>
  <c r="O343" i="1"/>
  <c r="N343" i="1"/>
  <c r="M343" i="1"/>
  <c r="L343" i="1"/>
  <c r="F343" i="1"/>
  <c r="E343" i="1"/>
  <c r="D343" i="1"/>
  <c r="C343" i="1"/>
  <c r="B343" i="1"/>
  <c r="AH342" i="1"/>
  <c r="AG342" i="1"/>
  <c r="AF342" i="1"/>
  <c r="W342" i="1"/>
  <c r="V342" i="1"/>
  <c r="S342" i="1"/>
  <c r="R342" i="1"/>
  <c r="Q342" i="1"/>
  <c r="P342" i="1"/>
  <c r="O342" i="1"/>
  <c r="N342" i="1"/>
  <c r="M342" i="1"/>
  <c r="L342" i="1"/>
  <c r="C342" i="1"/>
  <c r="B342" i="1"/>
  <c r="AH341" i="1"/>
  <c r="AG341" i="1"/>
  <c r="AF341" i="1"/>
  <c r="W341" i="1"/>
  <c r="V341" i="1"/>
  <c r="Q341" i="1"/>
  <c r="P341" i="1"/>
  <c r="O341" i="1"/>
  <c r="N341" i="1"/>
  <c r="M341" i="1"/>
  <c r="L341" i="1"/>
  <c r="G341" i="1"/>
  <c r="F341" i="1"/>
  <c r="E341" i="1"/>
  <c r="D341" i="1"/>
  <c r="C341" i="1"/>
  <c r="B341" i="1"/>
  <c r="AH340" i="1"/>
  <c r="AG340" i="1"/>
  <c r="AF340" i="1"/>
  <c r="Y340" i="1"/>
  <c r="X340" i="1"/>
  <c r="W340" i="1"/>
  <c r="V340" i="1"/>
  <c r="P340" i="1"/>
  <c r="O340" i="1"/>
  <c r="N340" i="1"/>
  <c r="M340" i="1"/>
  <c r="L340" i="1"/>
  <c r="F340" i="1"/>
  <c r="E340" i="1"/>
  <c r="D340" i="1"/>
  <c r="C340" i="1"/>
  <c r="B340" i="1"/>
  <c r="AH339" i="1"/>
  <c r="AG339" i="1"/>
  <c r="AF339" i="1"/>
  <c r="W339" i="1"/>
  <c r="V339" i="1"/>
  <c r="P339" i="1"/>
  <c r="O339" i="1"/>
  <c r="N339" i="1"/>
  <c r="M339" i="1"/>
  <c r="L339" i="1"/>
  <c r="D339" i="1"/>
  <c r="C339" i="1"/>
  <c r="B339" i="1"/>
  <c r="AB338" i="1"/>
  <c r="AA338" i="1"/>
  <c r="Z338" i="1"/>
  <c r="Y338" i="1"/>
  <c r="X338" i="1"/>
  <c r="W338" i="1"/>
  <c r="V338" i="1"/>
  <c r="Q338" i="1"/>
  <c r="P338" i="1"/>
  <c r="O338" i="1"/>
  <c r="N338" i="1"/>
  <c r="M338" i="1"/>
  <c r="L338" i="1"/>
  <c r="G338" i="1"/>
  <c r="F338" i="1"/>
  <c r="E338" i="1"/>
  <c r="D338" i="1"/>
  <c r="C338" i="1"/>
  <c r="B338" i="1"/>
  <c r="AG337" i="1"/>
  <c r="AF337" i="1"/>
  <c r="X337" i="1"/>
  <c r="W337" i="1"/>
  <c r="V337" i="1"/>
  <c r="N337" i="1"/>
  <c r="M337" i="1"/>
  <c r="L337" i="1"/>
  <c r="G337" i="1"/>
  <c r="F337" i="1"/>
  <c r="E337" i="1"/>
  <c r="D337" i="1"/>
  <c r="C337" i="1"/>
  <c r="B337" i="1"/>
  <c r="AH336" i="1"/>
  <c r="AG336" i="1"/>
  <c r="AF336" i="1"/>
  <c r="Y336" i="1"/>
  <c r="X336" i="1"/>
  <c r="W336" i="1"/>
  <c r="V336" i="1"/>
  <c r="Q336" i="1"/>
  <c r="P336" i="1"/>
  <c r="O336" i="1"/>
  <c r="N336" i="1"/>
  <c r="M336" i="1"/>
  <c r="L336" i="1"/>
  <c r="G336" i="1"/>
  <c r="F336" i="1"/>
  <c r="E336" i="1"/>
  <c r="D336" i="1"/>
  <c r="C336" i="1"/>
  <c r="B336" i="1"/>
  <c r="AH335" i="1"/>
  <c r="AG335" i="1"/>
  <c r="AF335" i="1"/>
  <c r="V335" i="1"/>
  <c r="Q335" i="1"/>
  <c r="P335" i="1"/>
  <c r="O335" i="1"/>
  <c r="N335" i="1"/>
  <c r="M335" i="1"/>
  <c r="L335" i="1"/>
  <c r="D335" i="1"/>
  <c r="C335" i="1"/>
  <c r="B335" i="1"/>
  <c r="AH334" i="1"/>
  <c r="AG334" i="1"/>
  <c r="AF334" i="1"/>
  <c r="Y334" i="1"/>
  <c r="X334" i="1"/>
  <c r="W334" i="1"/>
  <c r="V334" i="1"/>
  <c r="M334" i="1"/>
  <c r="L334" i="1"/>
  <c r="D334" i="1"/>
  <c r="C334" i="1"/>
  <c r="B334" i="1"/>
  <c r="AH333" i="1"/>
  <c r="AG333" i="1"/>
  <c r="AF333" i="1"/>
  <c r="AB333" i="1"/>
  <c r="AA333" i="1"/>
  <c r="Z333" i="1"/>
  <c r="Y333" i="1"/>
  <c r="X333" i="1"/>
  <c r="W333" i="1"/>
  <c r="V333" i="1"/>
  <c r="O333" i="1"/>
  <c r="N333" i="1"/>
  <c r="M333" i="1"/>
  <c r="L333" i="1"/>
  <c r="I333" i="1"/>
  <c r="H333" i="1"/>
  <c r="G333" i="1"/>
  <c r="F333" i="1"/>
  <c r="E333" i="1"/>
  <c r="D333" i="1"/>
  <c r="C333" i="1"/>
  <c r="B333" i="1"/>
  <c r="AH332" i="1"/>
  <c r="AG332" i="1"/>
  <c r="AF332" i="1"/>
  <c r="X332" i="1"/>
  <c r="W332" i="1"/>
  <c r="V332" i="1"/>
  <c r="R332" i="1"/>
  <c r="Q332" i="1"/>
  <c r="P332" i="1"/>
  <c r="O332" i="1"/>
  <c r="N332" i="1"/>
  <c r="M332" i="1"/>
  <c r="L332" i="1"/>
  <c r="I332" i="1"/>
  <c r="H332" i="1"/>
  <c r="G332" i="1"/>
  <c r="F332" i="1"/>
  <c r="E332" i="1"/>
  <c r="D332" i="1"/>
  <c r="C332" i="1"/>
  <c r="B332" i="1"/>
  <c r="AH331" i="1"/>
  <c r="AG331" i="1"/>
  <c r="AF331" i="1"/>
  <c r="X331" i="1"/>
  <c r="W331" i="1"/>
  <c r="V331" i="1"/>
  <c r="O331" i="1"/>
  <c r="N331" i="1"/>
  <c r="M331" i="1"/>
  <c r="L331" i="1"/>
  <c r="D331" i="1"/>
  <c r="C331" i="1"/>
  <c r="B331" i="1"/>
  <c r="AH330" i="1"/>
  <c r="AG330" i="1"/>
  <c r="AF330" i="1"/>
  <c r="V330" i="1"/>
  <c r="M330" i="1"/>
  <c r="L330" i="1"/>
  <c r="F330" i="1"/>
  <c r="E330" i="1"/>
  <c r="D330" i="1"/>
  <c r="C330" i="1"/>
  <c r="B330" i="1"/>
  <c r="AH329" i="1"/>
  <c r="AG329" i="1"/>
  <c r="AF329" i="1"/>
  <c r="AB329" i="1"/>
  <c r="AA329" i="1"/>
  <c r="Z329" i="1"/>
  <c r="Y329" i="1"/>
  <c r="X329" i="1"/>
  <c r="W329" i="1"/>
  <c r="V329" i="1"/>
  <c r="M329" i="1"/>
  <c r="L329" i="1"/>
  <c r="F329" i="1"/>
  <c r="E329" i="1"/>
  <c r="D329" i="1"/>
  <c r="C329" i="1"/>
  <c r="B329" i="1"/>
  <c r="AH328" i="1"/>
  <c r="AG328" i="1"/>
  <c r="AF328" i="1"/>
  <c r="X328" i="1"/>
  <c r="W328" i="1"/>
  <c r="V328" i="1"/>
  <c r="N328" i="1"/>
  <c r="M328" i="1"/>
  <c r="L328" i="1"/>
  <c r="I328" i="1"/>
  <c r="H328" i="1"/>
  <c r="G328" i="1"/>
  <c r="F328" i="1"/>
  <c r="E328" i="1"/>
  <c r="D328" i="1"/>
  <c r="C328" i="1"/>
  <c r="B328" i="1"/>
  <c r="AH327" i="1"/>
  <c r="AG327" i="1"/>
  <c r="AF327" i="1"/>
  <c r="AC327" i="1"/>
  <c r="AB327" i="1"/>
  <c r="AA327" i="1"/>
  <c r="Z327" i="1"/>
  <c r="Y327" i="1"/>
  <c r="X327" i="1"/>
  <c r="W327" i="1"/>
  <c r="V327" i="1"/>
  <c r="R327" i="1"/>
  <c r="Q327" i="1"/>
  <c r="P327" i="1"/>
  <c r="O327" i="1"/>
  <c r="N327" i="1"/>
  <c r="M327" i="1"/>
  <c r="L327" i="1"/>
  <c r="C327" i="1"/>
  <c r="B327" i="1"/>
  <c r="AH326" i="1"/>
  <c r="AG326" i="1"/>
  <c r="AF326" i="1"/>
  <c r="Z326" i="1"/>
  <c r="Y326" i="1"/>
  <c r="X326" i="1"/>
  <c r="W326" i="1"/>
  <c r="V326" i="1"/>
  <c r="R326" i="1"/>
  <c r="P326" i="1"/>
  <c r="O326" i="1"/>
  <c r="N326" i="1"/>
  <c r="M326" i="1"/>
  <c r="L326" i="1"/>
  <c r="G326" i="1"/>
  <c r="F326" i="1"/>
  <c r="E326" i="1"/>
  <c r="D326" i="1"/>
  <c r="C326" i="1"/>
  <c r="B326" i="1"/>
  <c r="AH325" i="1"/>
  <c r="AG325" i="1"/>
  <c r="AF325" i="1"/>
  <c r="W325" i="1"/>
  <c r="V325" i="1"/>
  <c r="Q325" i="1"/>
  <c r="P325" i="1"/>
  <c r="O325" i="1"/>
  <c r="N325" i="1"/>
  <c r="M325" i="1"/>
  <c r="L325" i="1"/>
  <c r="G325" i="1"/>
  <c r="F325" i="1"/>
  <c r="E325" i="1"/>
  <c r="D325" i="1"/>
  <c r="C325" i="1"/>
  <c r="B325" i="1"/>
  <c r="AH324" i="1"/>
  <c r="AG324" i="1"/>
  <c r="AF324" i="1"/>
  <c r="AB324" i="1"/>
  <c r="AA324" i="1"/>
  <c r="Z324" i="1"/>
  <c r="Y324" i="1"/>
  <c r="X324" i="1"/>
  <c r="W324" i="1"/>
  <c r="V324" i="1"/>
  <c r="M324" i="1"/>
  <c r="L324" i="1"/>
  <c r="H324" i="1"/>
  <c r="G324" i="1"/>
  <c r="F324" i="1"/>
  <c r="E324" i="1"/>
  <c r="D324" i="1"/>
  <c r="C324" i="1"/>
  <c r="B324" i="1"/>
  <c r="AH323" i="1"/>
  <c r="AG323" i="1"/>
  <c r="AF323" i="1"/>
  <c r="W323" i="1"/>
  <c r="V323" i="1"/>
  <c r="M323" i="1"/>
  <c r="L323" i="1"/>
  <c r="J323" i="1"/>
  <c r="I323" i="1"/>
  <c r="H323" i="1"/>
  <c r="G323" i="1"/>
  <c r="F323" i="1"/>
  <c r="E323" i="1"/>
  <c r="D323" i="1"/>
  <c r="C323" i="1"/>
  <c r="B323" i="1"/>
  <c r="AH322" i="1"/>
  <c r="AG322" i="1"/>
  <c r="AF322" i="1"/>
  <c r="Z322" i="1"/>
  <c r="Y322" i="1"/>
  <c r="X322" i="1"/>
  <c r="W322" i="1"/>
  <c r="V322" i="1"/>
  <c r="R322" i="1"/>
  <c r="Q322" i="1"/>
  <c r="P322" i="1"/>
  <c r="O322" i="1"/>
  <c r="N322" i="1"/>
  <c r="M322" i="1"/>
  <c r="L322" i="1"/>
  <c r="G322" i="1"/>
  <c r="F322" i="1"/>
  <c r="E322" i="1"/>
  <c r="D322" i="1"/>
  <c r="C322" i="1"/>
  <c r="B322" i="1"/>
  <c r="AH321" i="1"/>
  <c r="AG321" i="1"/>
  <c r="AF321" i="1"/>
  <c r="V321" i="1"/>
  <c r="Q321" i="1"/>
  <c r="P321" i="1"/>
  <c r="O321" i="1"/>
  <c r="N321" i="1"/>
  <c r="M321" i="1"/>
  <c r="L321" i="1"/>
  <c r="C321" i="1"/>
  <c r="B321" i="1"/>
  <c r="AH320" i="1"/>
  <c r="AG320" i="1"/>
  <c r="AF320" i="1"/>
  <c r="AA320" i="1"/>
  <c r="Y320" i="1"/>
  <c r="X320" i="1"/>
  <c r="W320" i="1"/>
  <c r="V320" i="1"/>
  <c r="O320" i="1"/>
  <c r="N320" i="1"/>
  <c r="M320" i="1"/>
  <c r="L320" i="1"/>
  <c r="I320" i="1"/>
  <c r="F320" i="1"/>
  <c r="E320" i="1"/>
  <c r="D320" i="1"/>
  <c r="C320" i="1"/>
  <c r="B320" i="1"/>
  <c r="AH319" i="1"/>
  <c r="AG319" i="1"/>
  <c r="AF319" i="1"/>
  <c r="X319" i="1"/>
  <c r="W319" i="1"/>
  <c r="V319" i="1"/>
  <c r="R319" i="1"/>
  <c r="Q319" i="1"/>
  <c r="P319" i="1"/>
  <c r="O319" i="1"/>
  <c r="N319" i="1"/>
  <c r="M319" i="1"/>
  <c r="L319" i="1"/>
  <c r="I319" i="1"/>
  <c r="H319" i="1"/>
  <c r="G319" i="1"/>
  <c r="F319" i="1"/>
  <c r="E319" i="1"/>
  <c r="D319" i="1"/>
  <c r="C319" i="1"/>
  <c r="B319" i="1"/>
  <c r="AH318" i="1"/>
  <c r="AG318" i="1"/>
  <c r="AF318" i="1"/>
  <c r="AC318" i="1"/>
  <c r="AB318" i="1"/>
  <c r="AA318" i="1"/>
  <c r="Z318" i="1"/>
  <c r="Y318" i="1"/>
  <c r="X318" i="1"/>
  <c r="W318" i="1"/>
  <c r="V318" i="1"/>
  <c r="R318" i="1"/>
  <c r="P318" i="1"/>
  <c r="O318" i="1"/>
  <c r="N318" i="1"/>
  <c r="M318" i="1"/>
  <c r="L318" i="1"/>
  <c r="E318" i="1"/>
  <c r="D318" i="1"/>
  <c r="C318" i="1"/>
  <c r="B318" i="1"/>
  <c r="AH317" i="1"/>
  <c r="AG317" i="1"/>
  <c r="AF317" i="1"/>
  <c r="X317" i="1"/>
  <c r="W317" i="1"/>
  <c r="V317" i="1"/>
  <c r="Q317" i="1"/>
  <c r="P317" i="1"/>
  <c r="O317" i="1"/>
  <c r="N317" i="1"/>
  <c r="M317" i="1"/>
  <c r="L317" i="1"/>
  <c r="F317" i="1"/>
  <c r="E317" i="1"/>
  <c r="D317" i="1"/>
  <c r="C317" i="1"/>
  <c r="B317" i="1"/>
  <c r="AH316" i="1"/>
  <c r="AG316" i="1"/>
  <c r="AF316" i="1"/>
  <c r="V316" i="1"/>
  <c r="M316" i="1"/>
  <c r="L316" i="1"/>
  <c r="D316" i="1"/>
  <c r="C316" i="1"/>
  <c r="B316" i="1"/>
  <c r="AH315" i="1"/>
  <c r="AG315" i="1"/>
  <c r="AF315" i="1"/>
  <c r="X315" i="1"/>
  <c r="W315" i="1"/>
  <c r="Q315" i="1"/>
  <c r="P315" i="1"/>
  <c r="O315" i="1"/>
  <c r="N315" i="1"/>
  <c r="M315" i="1"/>
  <c r="L315" i="1"/>
  <c r="H315" i="1"/>
  <c r="G315" i="1"/>
  <c r="F315" i="1"/>
  <c r="E315" i="1"/>
  <c r="D315" i="1"/>
  <c r="C315" i="1"/>
  <c r="B315" i="1"/>
  <c r="AH314" i="1"/>
  <c r="AG314" i="1"/>
  <c r="AF314" i="1"/>
  <c r="Y314" i="1"/>
  <c r="X314" i="1"/>
  <c r="W314" i="1"/>
  <c r="V314" i="1"/>
  <c r="Q314" i="1"/>
  <c r="P314" i="1"/>
  <c r="O314" i="1"/>
  <c r="N314" i="1"/>
  <c r="M314" i="1"/>
  <c r="L314" i="1"/>
  <c r="D314" i="1"/>
  <c r="C314" i="1"/>
  <c r="B314" i="1"/>
  <c r="AG313" i="1"/>
  <c r="AF313" i="1"/>
  <c r="X313" i="1"/>
  <c r="W313" i="1"/>
  <c r="V313" i="1"/>
  <c r="O313" i="1"/>
  <c r="N313" i="1"/>
  <c r="M313" i="1"/>
  <c r="L313" i="1"/>
  <c r="D313" i="1"/>
  <c r="C313" i="1"/>
  <c r="B313" i="1"/>
  <c r="AH312" i="1"/>
  <c r="AG312" i="1"/>
  <c r="AF312" i="1"/>
  <c r="V312" i="1"/>
  <c r="O312" i="1"/>
  <c r="N312" i="1"/>
  <c r="M312" i="1"/>
  <c r="L312" i="1"/>
  <c r="C312" i="1"/>
  <c r="B312" i="1"/>
  <c r="AH311" i="1"/>
  <c r="AG311" i="1"/>
  <c r="AF311" i="1"/>
  <c r="Y311" i="1"/>
  <c r="X311" i="1"/>
  <c r="W311" i="1"/>
  <c r="V311" i="1"/>
  <c r="L311" i="1"/>
  <c r="F311" i="1"/>
  <c r="E311" i="1"/>
  <c r="D311" i="1"/>
  <c r="C311" i="1"/>
  <c r="B311" i="1"/>
  <c r="AG310" i="1"/>
  <c r="AF310" i="1"/>
  <c r="W310" i="1"/>
  <c r="V310" i="1"/>
  <c r="O310" i="1"/>
  <c r="N310" i="1"/>
  <c r="M310" i="1"/>
  <c r="L310" i="1"/>
  <c r="H310" i="1"/>
  <c r="G310" i="1"/>
  <c r="F310" i="1"/>
  <c r="E310" i="1"/>
  <c r="D310" i="1"/>
  <c r="C310" i="1"/>
  <c r="B310" i="1"/>
  <c r="AH309" i="1"/>
  <c r="AG309" i="1"/>
  <c r="AF309" i="1"/>
  <c r="W309" i="1"/>
  <c r="V309" i="1"/>
  <c r="Q309" i="1"/>
  <c r="P309" i="1"/>
  <c r="O309" i="1"/>
  <c r="N309" i="1"/>
  <c r="M309" i="1"/>
  <c r="L309" i="1"/>
  <c r="I309" i="1"/>
  <c r="H309" i="1"/>
  <c r="G309" i="1"/>
  <c r="F309" i="1"/>
  <c r="E309" i="1"/>
  <c r="D309" i="1"/>
  <c r="C309" i="1"/>
  <c r="B309" i="1"/>
  <c r="AH308" i="1"/>
  <c r="AG308" i="1"/>
  <c r="AF308" i="1"/>
  <c r="Y308" i="1"/>
  <c r="X308" i="1"/>
  <c r="W308" i="1"/>
  <c r="V308" i="1"/>
  <c r="T308" i="1"/>
  <c r="S308" i="1"/>
  <c r="R308" i="1"/>
  <c r="Q308" i="1"/>
  <c r="P308" i="1"/>
  <c r="O308" i="1"/>
  <c r="N308" i="1"/>
  <c r="M308" i="1"/>
  <c r="L308" i="1"/>
  <c r="C308" i="1"/>
  <c r="B308" i="1"/>
  <c r="AH307" i="1"/>
  <c r="AG307" i="1"/>
  <c r="AF307" i="1"/>
  <c r="X307" i="1"/>
  <c r="W307" i="1"/>
  <c r="V307" i="1"/>
  <c r="N307" i="1"/>
  <c r="M307" i="1"/>
  <c r="L307" i="1"/>
  <c r="J307" i="1"/>
  <c r="I307" i="1"/>
  <c r="H307" i="1"/>
  <c r="G307" i="1"/>
  <c r="F307" i="1"/>
  <c r="E307" i="1"/>
  <c r="D307" i="1"/>
  <c r="C307" i="1"/>
  <c r="B307" i="1"/>
  <c r="AH306" i="1"/>
  <c r="AG306" i="1"/>
  <c r="AF306" i="1"/>
  <c r="Z306" i="1"/>
  <c r="Y306" i="1"/>
  <c r="X306" i="1"/>
  <c r="W306" i="1"/>
  <c r="V306" i="1"/>
  <c r="P306" i="1"/>
  <c r="O306" i="1"/>
  <c r="N306" i="1"/>
  <c r="M306" i="1"/>
  <c r="L306" i="1"/>
  <c r="F306" i="1"/>
  <c r="E306" i="1"/>
  <c r="D306" i="1"/>
  <c r="C306" i="1"/>
  <c r="B306" i="1"/>
  <c r="AH305" i="1"/>
  <c r="AG305" i="1"/>
  <c r="AF305" i="1"/>
  <c r="W305" i="1"/>
  <c r="V305" i="1"/>
  <c r="N305" i="1"/>
  <c r="M305" i="1"/>
  <c r="L305" i="1"/>
  <c r="C305" i="1"/>
  <c r="B305" i="1"/>
  <c r="AH304" i="1"/>
  <c r="AG304" i="1"/>
  <c r="AF304" i="1"/>
  <c r="AA304" i="1"/>
  <c r="Z304" i="1"/>
  <c r="Y304" i="1"/>
  <c r="X304" i="1"/>
  <c r="W304" i="1"/>
  <c r="V304" i="1"/>
  <c r="Q304" i="1"/>
  <c r="P304" i="1"/>
  <c r="O304" i="1"/>
  <c r="N304" i="1"/>
  <c r="M304" i="1"/>
  <c r="L304" i="1"/>
  <c r="J304" i="1"/>
  <c r="I304" i="1"/>
  <c r="H304" i="1"/>
  <c r="G304" i="1"/>
  <c r="F304" i="1"/>
  <c r="E304" i="1"/>
  <c r="D304" i="1"/>
  <c r="C304" i="1"/>
  <c r="B304" i="1"/>
  <c r="AH303" i="1"/>
  <c r="AG303" i="1"/>
  <c r="AF303" i="1"/>
  <c r="V303" i="1"/>
  <c r="Q303" i="1"/>
  <c r="P303" i="1"/>
  <c r="O303" i="1"/>
  <c r="N303" i="1"/>
  <c r="M303" i="1"/>
  <c r="L303" i="1"/>
  <c r="G303" i="1"/>
  <c r="F303" i="1"/>
  <c r="E303" i="1"/>
  <c r="D303" i="1"/>
  <c r="C303" i="1"/>
  <c r="B303" i="1"/>
  <c r="AH302" i="1"/>
  <c r="AG302" i="1"/>
  <c r="AF302" i="1"/>
  <c r="X302" i="1"/>
  <c r="W302" i="1"/>
  <c r="V302" i="1"/>
  <c r="O302" i="1"/>
  <c r="N302" i="1"/>
  <c r="M302" i="1"/>
  <c r="L302" i="1"/>
  <c r="F302" i="1"/>
  <c r="E302" i="1"/>
  <c r="D302" i="1"/>
  <c r="C302" i="1"/>
  <c r="B302" i="1"/>
  <c r="AH301" i="1"/>
  <c r="AG301" i="1"/>
  <c r="AF301" i="1"/>
  <c r="X301" i="1"/>
  <c r="W301" i="1"/>
  <c r="V301" i="1"/>
  <c r="Q301" i="1"/>
  <c r="P301" i="1"/>
  <c r="O301" i="1"/>
  <c r="N301" i="1"/>
  <c r="M301" i="1"/>
  <c r="L301" i="1"/>
  <c r="F301" i="1"/>
  <c r="E301" i="1"/>
  <c r="D301" i="1"/>
  <c r="C301" i="1"/>
  <c r="B301" i="1"/>
  <c r="AH300" i="1"/>
  <c r="AG300" i="1"/>
  <c r="AF300" i="1"/>
  <c r="W300" i="1"/>
  <c r="V300" i="1"/>
  <c r="O300" i="1"/>
  <c r="N300" i="1"/>
  <c r="M300" i="1"/>
  <c r="L300" i="1"/>
  <c r="D300" i="1"/>
  <c r="C300" i="1"/>
  <c r="B300" i="1"/>
  <c r="AH299" i="1"/>
  <c r="AG299" i="1"/>
  <c r="AF299" i="1"/>
  <c r="W299" i="1"/>
  <c r="V299" i="1"/>
  <c r="P299" i="1"/>
  <c r="O299" i="1"/>
  <c r="N299" i="1"/>
  <c r="M299" i="1"/>
  <c r="L299" i="1"/>
  <c r="H299" i="1"/>
  <c r="G299" i="1"/>
  <c r="F299" i="1"/>
  <c r="E299" i="1"/>
  <c r="D299" i="1"/>
  <c r="C299" i="1"/>
  <c r="B299" i="1"/>
  <c r="AH298" i="1"/>
  <c r="AF298" i="1"/>
  <c r="X298" i="1"/>
  <c r="W298" i="1"/>
  <c r="V298" i="1"/>
  <c r="N298" i="1"/>
  <c r="M298" i="1"/>
  <c r="L298" i="1"/>
  <c r="D298" i="1"/>
  <c r="C298" i="1"/>
  <c r="B298" i="1"/>
  <c r="AH297" i="1"/>
  <c r="AG297" i="1"/>
  <c r="AF297" i="1"/>
  <c r="Z297" i="1"/>
  <c r="Y297" i="1"/>
  <c r="X297" i="1"/>
  <c r="W297" i="1"/>
  <c r="V297" i="1"/>
  <c r="Q297" i="1"/>
  <c r="P297" i="1"/>
  <c r="O297" i="1"/>
  <c r="N297" i="1"/>
  <c r="M297" i="1"/>
  <c r="L297" i="1"/>
  <c r="I297" i="1"/>
  <c r="H297" i="1"/>
  <c r="G297" i="1"/>
  <c r="F297" i="1"/>
  <c r="E297" i="1"/>
  <c r="D297" i="1"/>
  <c r="C297" i="1"/>
  <c r="B297" i="1"/>
  <c r="AH296" i="1"/>
  <c r="AG296" i="1"/>
  <c r="AF296" i="1"/>
  <c r="AA296" i="1"/>
  <c r="Z296" i="1"/>
  <c r="Y296" i="1"/>
  <c r="X296" i="1"/>
  <c r="W296" i="1"/>
  <c r="V296" i="1"/>
  <c r="Q296" i="1"/>
  <c r="P296" i="1"/>
  <c r="O296" i="1"/>
  <c r="N296" i="1"/>
  <c r="M296" i="1"/>
  <c r="L296" i="1"/>
  <c r="E296" i="1"/>
  <c r="D296" i="1"/>
  <c r="C296" i="1"/>
  <c r="B296" i="1"/>
  <c r="AH295" i="1"/>
  <c r="AG295" i="1"/>
  <c r="AF295" i="1"/>
  <c r="AB295" i="1"/>
  <c r="AA295" i="1"/>
  <c r="Z295" i="1"/>
  <c r="Y295" i="1"/>
  <c r="X295" i="1"/>
  <c r="W295" i="1"/>
  <c r="V295" i="1"/>
  <c r="N295" i="1"/>
  <c r="M295" i="1"/>
  <c r="L295" i="1"/>
  <c r="J295" i="1"/>
  <c r="I295" i="1"/>
  <c r="H295" i="1"/>
  <c r="G295" i="1"/>
  <c r="F295" i="1"/>
  <c r="E295" i="1"/>
  <c r="D295" i="1"/>
  <c r="C295" i="1"/>
  <c r="B295" i="1"/>
  <c r="AH294" i="1"/>
  <c r="AG294" i="1"/>
  <c r="AF294" i="1"/>
  <c r="W294" i="1"/>
  <c r="V294" i="1"/>
  <c r="N294" i="1"/>
  <c r="M294" i="1"/>
  <c r="L294" i="1"/>
  <c r="D294" i="1"/>
  <c r="C294" i="1"/>
  <c r="B294" i="1"/>
  <c r="AH293" i="1"/>
  <c r="AG293" i="1"/>
  <c r="AF293" i="1"/>
  <c r="V293" i="1"/>
  <c r="P293" i="1"/>
  <c r="O293" i="1"/>
  <c r="N293" i="1"/>
  <c r="M293" i="1"/>
  <c r="L293" i="1"/>
  <c r="E293" i="1"/>
  <c r="D293" i="1"/>
  <c r="C293" i="1"/>
  <c r="B293" i="1"/>
  <c r="AH292" i="1"/>
  <c r="AG292" i="1"/>
  <c r="AF292" i="1"/>
  <c r="AC292" i="1"/>
  <c r="AB292" i="1"/>
  <c r="Z292" i="1"/>
  <c r="Y292" i="1"/>
  <c r="X292" i="1"/>
  <c r="W292" i="1"/>
  <c r="V292" i="1"/>
  <c r="S292" i="1"/>
  <c r="R292" i="1"/>
  <c r="N292" i="1"/>
  <c r="M292" i="1"/>
  <c r="L292" i="1"/>
  <c r="H292" i="1"/>
  <c r="G292" i="1"/>
  <c r="F292" i="1"/>
  <c r="E292" i="1"/>
  <c r="D292" i="1"/>
  <c r="C292" i="1"/>
  <c r="B292" i="1"/>
  <c r="AH291" i="1"/>
  <c r="AG291" i="1"/>
  <c r="AF291" i="1"/>
  <c r="V291" i="1"/>
  <c r="Q291" i="1"/>
  <c r="P291" i="1"/>
  <c r="O291" i="1"/>
  <c r="N291" i="1"/>
  <c r="M291" i="1"/>
  <c r="L291" i="1"/>
  <c r="G291" i="1"/>
  <c r="F291" i="1"/>
  <c r="E291" i="1"/>
  <c r="D291" i="1"/>
  <c r="C291" i="1"/>
  <c r="B291" i="1"/>
  <c r="AH290" i="1"/>
  <c r="AG290" i="1"/>
  <c r="AF290" i="1"/>
  <c r="V290" i="1"/>
  <c r="N290" i="1"/>
  <c r="M290" i="1"/>
  <c r="L290" i="1"/>
  <c r="D290" i="1"/>
  <c r="C290" i="1"/>
  <c r="B290" i="1"/>
  <c r="AF289" i="1"/>
  <c r="X289" i="1"/>
  <c r="W289" i="1"/>
  <c r="V289" i="1"/>
  <c r="N289" i="1"/>
  <c r="M289" i="1"/>
  <c r="L289" i="1"/>
  <c r="F289" i="1"/>
  <c r="E289" i="1"/>
  <c r="D289" i="1"/>
  <c r="C289" i="1"/>
  <c r="B289" i="1"/>
  <c r="AH288" i="1"/>
  <c r="AG288" i="1"/>
  <c r="AF288" i="1"/>
  <c r="AA288" i="1"/>
  <c r="Z288" i="1"/>
  <c r="Y288" i="1"/>
  <c r="X288" i="1"/>
  <c r="W288" i="1"/>
  <c r="V288" i="1"/>
  <c r="P288" i="1"/>
  <c r="O288" i="1"/>
  <c r="N288" i="1"/>
  <c r="M288" i="1"/>
  <c r="L288" i="1"/>
  <c r="G288" i="1"/>
  <c r="F288" i="1"/>
  <c r="E288" i="1"/>
  <c r="D288" i="1"/>
  <c r="C288" i="1"/>
  <c r="B288" i="1"/>
  <c r="AH287" i="1"/>
  <c r="AG287" i="1"/>
  <c r="AF287" i="1"/>
  <c r="X287" i="1"/>
  <c r="W287" i="1"/>
  <c r="V287" i="1"/>
  <c r="Q287" i="1"/>
  <c r="P287" i="1"/>
  <c r="O287" i="1"/>
  <c r="N287" i="1"/>
  <c r="M287" i="1"/>
  <c r="L287" i="1"/>
  <c r="J287" i="1"/>
  <c r="I287" i="1"/>
  <c r="H287" i="1"/>
  <c r="G287" i="1"/>
  <c r="F287" i="1"/>
  <c r="E287" i="1"/>
  <c r="D287" i="1"/>
  <c r="C287" i="1"/>
  <c r="B287" i="1"/>
  <c r="AH286" i="1"/>
  <c r="AG286" i="1"/>
  <c r="AF286" i="1"/>
  <c r="Z286" i="1"/>
  <c r="Y286" i="1"/>
  <c r="X286" i="1"/>
  <c r="W286" i="1"/>
  <c r="V286" i="1"/>
  <c r="Q286" i="1"/>
  <c r="P286" i="1"/>
  <c r="O286" i="1"/>
  <c r="N286" i="1"/>
  <c r="M286" i="1"/>
  <c r="L286" i="1"/>
  <c r="G286" i="1"/>
  <c r="F286" i="1"/>
  <c r="E286" i="1"/>
  <c r="D286" i="1"/>
  <c r="C286" i="1"/>
  <c r="B286" i="1"/>
  <c r="AH285" i="1"/>
  <c r="AG285" i="1"/>
  <c r="AF285" i="1"/>
  <c r="W285" i="1"/>
  <c r="V285" i="1"/>
  <c r="P285" i="1"/>
  <c r="O285" i="1"/>
  <c r="N285" i="1"/>
  <c r="M285" i="1"/>
  <c r="L285" i="1"/>
  <c r="F285" i="1"/>
  <c r="E285" i="1"/>
  <c r="D285" i="1"/>
  <c r="C285" i="1"/>
  <c r="B285" i="1"/>
  <c r="O284" i="1"/>
  <c r="N284" i="1"/>
  <c r="M284" i="1"/>
  <c r="L284" i="1"/>
  <c r="C284" i="1"/>
  <c r="B284" i="1"/>
  <c r="AH283" i="1"/>
  <c r="AG283" i="1"/>
  <c r="AF283" i="1"/>
  <c r="W283" i="1"/>
  <c r="V283" i="1"/>
  <c r="S283" i="1"/>
  <c r="Q283" i="1"/>
  <c r="P283" i="1"/>
  <c r="O283" i="1"/>
  <c r="N283" i="1"/>
  <c r="M283" i="1"/>
  <c r="L283" i="1"/>
  <c r="J283" i="1"/>
  <c r="I283" i="1"/>
  <c r="H283" i="1"/>
  <c r="G283" i="1"/>
  <c r="F283" i="1"/>
  <c r="E283" i="1"/>
  <c r="D283" i="1"/>
  <c r="C283" i="1"/>
  <c r="B283" i="1"/>
  <c r="AH282" i="1"/>
  <c r="AG282" i="1"/>
  <c r="AF282" i="1"/>
  <c r="Z282" i="1"/>
  <c r="Y282" i="1"/>
  <c r="X282" i="1"/>
  <c r="W282" i="1"/>
  <c r="V282" i="1"/>
  <c r="P282" i="1"/>
  <c r="O282" i="1"/>
  <c r="N282" i="1"/>
  <c r="M282" i="1"/>
  <c r="L282" i="1"/>
  <c r="F282" i="1"/>
  <c r="E282" i="1"/>
  <c r="D282" i="1"/>
  <c r="C282" i="1"/>
  <c r="B282" i="1"/>
  <c r="AH281" i="1"/>
  <c r="AG281" i="1"/>
  <c r="AF281" i="1"/>
  <c r="Y281" i="1"/>
  <c r="X281" i="1"/>
  <c r="W281" i="1"/>
  <c r="V281" i="1"/>
  <c r="Q281" i="1"/>
  <c r="P281" i="1"/>
  <c r="O281" i="1"/>
  <c r="N281" i="1"/>
  <c r="M281" i="1"/>
  <c r="L281" i="1"/>
  <c r="C281" i="1"/>
  <c r="B281" i="1"/>
  <c r="AH280" i="1"/>
  <c r="AG280" i="1"/>
  <c r="AF280" i="1"/>
  <c r="Z280" i="1"/>
  <c r="Y280" i="1"/>
  <c r="X280" i="1"/>
  <c r="W280" i="1"/>
  <c r="V280" i="1"/>
  <c r="R280" i="1"/>
  <c r="Q280" i="1"/>
  <c r="P280" i="1"/>
  <c r="O280" i="1"/>
  <c r="N280" i="1"/>
  <c r="M280" i="1"/>
  <c r="L280" i="1"/>
  <c r="F280" i="1"/>
  <c r="E280" i="1"/>
  <c r="D280" i="1"/>
  <c r="C280" i="1"/>
  <c r="B280" i="1"/>
  <c r="AG279" i="1"/>
  <c r="AF279" i="1"/>
  <c r="Y279" i="1"/>
  <c r="W279" i="1"/>
  <c r="V279" i="1"/>
  <c r="R279" i="1"/>
  <c r="Q279" i="1"/>
  <c r="P279" i="1"/>
  <c r="O279" i="1"/>
  <c r="N279" i="1"/>
  <c r="M279" i="1"/>
  <c r="L279" i="1"/>
  <c r="H279" i="1"/>
  <c r="G279" i="1"/>
  <c r="F279" i="1"/>
  <c r="E279" i="1"/>
  <c r="D279" i="1"/>
  <c r="C279" i="1"/>
  <c r="B279" i="1"/>
  <c r="AH278" i="1"/>
  <c r="AG278" i="1"/>
  <c r="AF278" i="1"/>
  <c r="X278" i="1"/>
  <c r="W278" i="1"/>
  <c r="V278" i="1"/>
  <c r="Q278" i="1"/>
  <c r="P278" i="1"/>
  <c r="O278" i="1"/>
  <c r="N278" i="1"/>
  <c r="M278" i="1"/>
  <c r="L278" i="1"/>
  <c r="H278" i="1"/>
  <c r="G278" i="1"/>
  <c r="F278" i="1"/>
  <c r="E278" i="1"/>
  <c r="D278" i="1"/>
  <c r="C278" i="1"/>
  <c r="B278" i="1"/>
  <c r="AH277" i="1"/>
  <c r="AG277" i="1"/>
  <c r="AF277" i="1"/>
  <c r="W277" i="1"/>
  <c r="V277" i="1"/>
  <c r="O277" i="1"/>
  <c r="N277" i="1"/>
  <c r="M277" i="1"/>
  <c r="L277" i="1"/>
  <c r="H277" i="1"/>
  <c r="G277" i="1"/>
  <c r="F277" i="1"/>
  <c r="E277" i="1"/>
  <c r="D277" i="1"/>
  <c r="C277" i="1"/>
  <c r="B277" i="1"/>
  <c r="AH276" i="1"/>
  <c r="AG276" i="1"/>
  <c r="AF276" i="1"/>
  <c r="AB276" i="1"/>
  <c r="AA276" i="1"/>
  <c r="Z276" i="1"/>
  <c r="Y276" i="1"/>
  <c r="X276" i="1"/>
  <c r="W276" i="1"/>
  <c r="V276" i="1"/>
  <c r="T276" i="1"/>
  <c r="S276" i="1"/>
  <c r="R276" i="1"/>
  <c r="Q276" i="1"/>
  <c r="P276" i="1"/>
  <c r="O276" i="1"/>
  <c r="N276" i="1"/>
  <c r="M276" i="1"/>
  <c r="L276" i="1"/>
  <c r="H276" i="1"/>
  <c r="G276" i="1"/>
  <c r="F276" i="1"/>
  <c r="E276" i="1"/>
  <c r="D276" i="1"/>
  <c r="C276" i="1"/>
  <c r="B276" i="1"/>
  <c r="AH275" i="1"/>
  <c r="AG275" i="1"/>
  <c r="AF275" i="1"/>
  <c r="W275" i="1"/>
  <c r="V275" i="1"/>
  <c r="S275" i="1"/>
  <c r="R275" i="1"/>
  <c r="Q275" i="1"/>
  <c r="P275" i="1"/>
  <c r="O275" i="1"/>
  <c r="N275" i="1"/>
  <c r="M275" i="1"/>
  <c r="L275" i="1"/>
  <c r="J275" i="1"/>
  <c r="I275" i="1"/>
  <c r="H275" i="1"/>
  <c r="G275" i="1"/>
  <c r="F275" i="1"/>
  <c r="E275" i="1"/>
  <c r="D275" i="1"/>
  <c r="C275" i="1"/>
  <c r="B275" i="1"/>
  <c r="AH274" i="1"/>
  <c r="AG274" i="1"/>
  <c r="AF274" i="1"/>
  <c r="W274" i="1"/>
  <c r="V274" i="1"/>
  <c r="P274" i="1"/>
  <c r="O274" i="1"/>
  <c r="N274" i="1"/>
  <c r="M274" i="1"/>
  <c r="L274" i="1"/>
  <c r="F274" i="1"/>
  <c r="E274" i="1"/>
  <c r="D274" i="1"/>
  <c r="C274" i="1"/>
  <c r="B274" i="1"/>
  <c r="AG273" i="1"/>
  <c r="AF273" i="1"/>
  <c r="P273" i="1"/>
  <c r="O273" i="1"/>
  <c r="N273" i="1"/>
  <c r="M273" i="1"/>
  <c r="L273" i="1"/>
  <c r="D273" i="1"/>
  <c r="C273" i="1"/>
  <c r="B273" i="1"/>
  <c r="AH272" i="1"/>
  <c r="AG272" i="1"/>
  <c r="AF272" i="1"/>
  <c r="Y272" i="1"/>
  <c r="X272" i="1"/>
  <c r="W272" i="1"/>
  <c r="V272" i="1"/>
  <c r="P272" i="1"/>
  <c r="O272" i="1"/>
  <c r="N272" i="1"/>
  <c r="M272" i="1"/>
  <c r="L272" i="1"/>
  <c r="E272" i="1"/>
  <c r="D272" i="1"/>
  <c r="C272" i="1"/>
  <c r="B272" i="1"/>
  <c r="AH271" i="1"/>
  <c r="AG271" i="1"/>
  <c r="AF271" i="1"/>
  <c r="X271" i="1"/>
  <c r="W271" i="1"/>
  <c r="V271" i="1"/>
  <c r="P271" i="1"/>
  <c r="O271" i="1"/>
  <c r="N271" i="1"/>
  <c r="M271" i="1"/>
  <c r="L271" i="1"/>
  <c r="G271" i="1"/>
  <c r="F271" i="1"/>
  <c r="E271" i="1"/>
  <c r="D271" i="1"/>
  <c r="C271" i="1"/>
  <c r="B271" i="1"/>
  <c r="AH270" i="1"/>
  <c r="AG270" i="1"/>
  <c r="AF270" i="1"/>
  <c r="X270" i="1"/>
  <c r="W270" i="1"/>
  <c r="V270" i="1"/>
  <c r="N270" i="1"/>
  <c r="M270" i="1"/>
  <c r="L270" i="1"/>
  <c r="F270" i="1"/>
  <c r="E270" i="1"/>
  <c r="D270" i="1"/>
  <c r="C270" i="1"/>
  <c r="B270" i="1"/>
  <c r="AG269" i="1"/>
  <c r="AF269" i="1"/>
  <c r="W269" i="1"/>
  <c r="V269" i="1"/>
  <c r="N269" i="1"/>
  <c r="M269" i="1"/>
  <c r="L269" i="1"/>
  <c r="D269" i="1"/>
  <c r="C269" i="1"/>
  <c r="B269" i="1"/>
  <c r="AH268" i="1"/>
  <c r="AG268" i="1"/>
  <c r="AF268" i="1"/>
  <c r="X268" i="1"/>
  <c r="W268" i="1"/>
  <c r="V268" i="1"/>
  <c r="N268" i="1"/>
  <c r="M268" i="1"/>
  <c r="L268" i="1"/>
  <c r="D268" i="1"/>
  <c r="C268" i="1"/>
  <c r="B268" i="1"/>
  <c r="AH267" i="1"/>
  <c r="AG267" i="1"/>
  <c r="AF267" i="1"/>
  <c r="Z267" i="1"/>
  <c r="Y267" i="1"/>
  <c r="X267" i="1"/>
  <c r="W267" i="1"/>
  <c r="V267" i="1"/>
  <c r="Q267" i="1"/>
  <c r="P267" i="1"/>
  <c r="O267" i="1"/>
  <c r="N267" i="1"/>
  <c r="M267" i="1"/>
  <c r="L267" i="1"/>
  <c r="G267" i="1"/>
  <c r="F267" i="1"/>
  <c r="E267" i="1"/>
  <c r="D267" i="1"/>
  <c r="C267" i="1"/>
  <c r="B267" i="1"/>
  <c r="AH266" i="1"/>
  <c r="AG266" i="1"/>
  <c r="AF266" i="1"/>
  <c r="W266" i="1"/>
  <c r="V266" i="1"/>
  <c r="O266" i="1"/>
  <c r="N266" i="1"/>
  <c r="M266" i="1"/>
  <c r="L266" i="1"/>
  <c r="G266" i="1"/>
  <c r="D266" i="1"/>
  <c r="B266" i="1"/>
  <c r="AH265" i="1"/>
  <c r="AG265" i="1"/>
  <c r="AF265" i="1"/>
  <c r="X265" i="1"/>
  <c r="W265" i="1"/>
  <c r="V265" i="1"/>
  <c r="N265" i="1"/>
  <c r="M265" i="1"/>
  <c r="L265" i="1"/>
  <c r="G265" i="1"/>
  <c r="F265" i="1"/>
  <c r="E265" i="1"/>
  <c r="D265" i="1"/>
  <c r="C265" i="1"/>
  <c r="B265" i="1"/>
  <c r="AG264" i="1"/>
  <c r="AF264" i="1"/>
  <c r="AA264" i="1"/>
  <c r="Z264" i="1"/>
  <c r="Y264" i="1"/>
  <c r="X264" i="1"/>
  <c r="W264" i="1"/>
  <c r="V264" i="1"/>
  <c r="N264" i="1"/>
  <c r="M264" i="1"/>
  <c r="L264" i="1"/>
  <c r="G264" i="1"/>
  <c r="F264" i="1"/>
  <c r="E264" i="1"/>
  <c r="D264" i="1"/>
  <c r="C264" i="1"/>
  <c r="B264" i="1"/>
  <c r="AH263" i="1"/>
  <c r="AG263" i="1"/>
  <c r="AF263" i="1"/>
  <c r="W263" i="1"/>
  <c r="V263" i="1"/>
  <c r="P263" i="1"/>
  <c r="O263" i="1"/>
  <c r="N263" i="1"/>
  <c r="M263" i="1"/>
  <c r="L263" i="1"/>
  <c r="F263" i="1"/>
  <c r="E263" i="1"/>
  <c r="D263" i="1"/>
  <c r="C263" i="1"/>
  <c r="B263" i="1"/>
  <c r="AH262" i="1"/>
  <c r="AG262" i="1"/>
  <c r="AF262" i="1"/>
  <c r="AA262" i="1"/>
  <c r="Y262" i="1"/>
  <c r="X262" i="1"/>
  <c r="W262" i="1"/>
  <c r="V262" i="1"/>
  <c r="O262" i="1"/>
  <c r="N262" i="1"/>
  <c r="M262" i="1"/>
  <c r="L262" i="1"/>
  <c r="J262" i="1"/>
  <c r="I262" i="1"/>
  <c r="H262" i="1"/>
  <c r="G262" i="1"/>
  <c r="F262" i="1"/>
  <c r="E262" i="1"/>
  <c r="D262" i="1"/>
  <c r="C262" i="1"/>
  <c r="B262" i="1"/>
  <c r="AG261" i="1"/>
  <c r="AF261" i="1"/>
  <c r="Y261" i="1"/>
  <c r="X261" i="1"/>
  <c r="W261" i="1"/>
  <c r="V261" i="1"/>
  <c r="R261" i="1"/>
  <c r="Q261" i="1"/>
  <c r="P261" i="1"/>
  <c r="O261" i="1"/>
  <c r="N261" i="1"/>
  <c r="M261" i="1"/>
  <c r="L261" i="1"/>
  <c r="D261" i="1"/>
  <c r="C261" i="1"/>
  <c r="B261" i="1"/>
  <c r="AH260" i="1"/>
  <c r="AG260" i="1"/>
  <c r="AF260" i="1"/>
  <c r="AD260" i="1"/>
  <c r="AC260" i="1"/>
  <c r="AB260" i="1"/>
  <c r="AA260" i="1"/>
  <c r="Z260" i="1"/>
  <c r="Y260" i="1"/>
  <c r="X260" i="1"/>
  <c r="W260" i="1"/>
  <c r="V260" i="1"/>
  <c r="T260" i="1"/>
  <c r="S260" i="1"/>
  <c r="R260" i="1"/>
  <c r="Q260" i="1"/>
  <c r="P260" i="1"/>
  <c r="O260" i="1"/>
  <c r="N260" i="1"/>
  <c r="M260" i="1"/>
  <c r="L260" i="1"/>
  <c r="D260" i="1"/>
  <c r="C260" i="1"/>
  <c r="B260" i="1"/>
  <c r="AH259" i="1"/>
  <c r="AG259" i="1"/>
  <c r="AF259" i="1"/>
  <c r="AC259" i="1"/>
  <c r="AB259" i="1"/>
  <c r="AA259" i="1"/>
  <c r="Z259" i="1"/>
  <c r="Y259" i="1"/>
  <c r="X259" i="1"/>
  <c r="W259" i="1"/>
  <c r="V259" i="1"/>
  <c r="N259" i="1"/>
  <c r="M259" i="1"/>
  <c r="L259" i="1"/>
  <c r="F259" i="1"/>
  <c r="E259" i="1"/>
  <c r="D259" i="1"/>
  <c r="C259" i="1"/>
  <c r="B259" i="1"/>
  <c r="AH258" i="1"/>
  <c r="AG258" i="1"/>
  <c r="AF258" i="1"/>
  <c r="Z258" i="1"/>
  <c r="Y258" i="1"/>
  <c r="X258" i="1"/>
  <c r="W258" i="1"/>
  <c r="V258" i="1"/>
  <c r="O258" i="1"/>
  <c r="N258" i="1"/>
  <c r="M258" i="1"/>
  <c r="L258" i="1"/>
  <c r="F258" i="1"/>
  <c r="E258" i="1"/>
  <c r="D258" i="1"/>
  <c r="C258" i="1"/>
  <c r="B258" i="1"/>
  <c r="AH257" i="1"/>
  <c r="AG257" i="1"/>
  <c r="AF257" i="1"/>
  <c r="V257" i="1"/>
  <c r="Q257" i="1"/>
  <c r="P257" i="1"/>
  <c r="O257" i="1"/>
  <c r="N257" i="1"/>
  <c r="M257" i="1"/>
  <c r="L257" i="1"/>
  <c r="G257" i="1"/>
  <c r="E257" i="1"/>
  <c r="D257" i="1"/>
  <c r="C257" i="1"/>
  <c r="B257" i="1"/>
  <c r="AH256" i="1"/>
  <c r="AG256" i="1"/>
  <c r="AF256" i="1"/>
  <c r="Z256" i="1"/>
  <c r="Y256" i="1"/>
  <c r="X256" i="1"/>
  <c r="W256" i="1"/>
  <c r="V256" i="1"/>
  <c r="Q256" i="1"/>
  <c r="P256" i="1"/>
  <c r="O256" i="1"/>
  <c r="N256" i="1"/>
  <c r="M256" i="1"/>
  <c r="L256" i="1"/>
  <c r="F256" i="1"/>
  <c r="E256" i="1"/>
  <c r="D256" i="1"/>
  <c r="C256" i="1"/>
  <c r="B256" i="1"/>
  <c r="AG255" i="1"/>
  <c r="AF255" i="1"/>
  <c r="V255" i="1"/>
  <c r="P255" i="1"/>
  <c r="O255" i="1"/>
  <c r="N255" i="1"/>
  <c r="M255" i="1"/>
  <c r="L255" i="1"/>
  <c r="D255" i="1"/>
  <c r="C255" i="1"/>
  <c r="B255" i="1"/>
  <c r="AH254" i="1"/>
  <c r="AG254" i="1"/>
  <c r="AF254" i="1"/>
  <c r="W254" i="1"/>
  <c r="V254" i="1"/>
  <c r="N254" i="1"/>
  <c r="M254" i="1"/>
  <c r="L254" i="1"/>
  <c r="I254" i="1"/>
  <c r="H254" i="1"/>
  <c r="G254" i="1"/>
  <c r="F254" i="1"/>
  <c r="E254" i="1"/>
  <c r="D254" i="1"/>
  <c r="C254" i="1"/>
  <c r="B254" i="1"/>
  <c r="AH253" i="1"/>
  <c r="AG253" i="1"/>
  <c r="AF253" i="1"/>
  <c r="W253" i="1"/>
  <c r="V253" i="1"/>
  <c r="N253" i="1"/>
  <c r="M253" i="1"/>
  <c r="L253" i="1"/>
  <c r="H253" i="1"/>
  <c r="G253" i="1"/>
  <c r="F253" i="1"/>
  <c r="E253" i="1"/>
  <c r="D253" i="1"/>
  <c r="C253" i="1"/>
  <c r="B253" i="1"/>
  <c r="AH252" i="1"/>
  <c r="AG252" i="1"/>
  <c r="AF252" i="1"/>
  <c r="P252" i="1"/>
  <c r="O252" i="1"/>
  <c r="N252" i="1"/>
  <c r="M252" i="1"/>
  <c r="L252" i="1"/>
  <c r="I252" i="1"/>
  <c r="H252" i="1"/>
  <c r="G252" i="1"/>
  <c r="F252" i="1"/>
  <c r="E252" i="1"/>
  <c r="D252" i="1"/>
  <c r="C252" i="1"/>
  <c r="B252" i="1"/>
  <c r="AH251" i="1"/>
  <c r="AG251" i="1"/>
  <c r="AF251" i="1"/>
  <c r="X251" i="1"/>
  <c r="W251" i="1"/>
  <c r="V251" i="1"/>
  <c r="P251" i="1"/>
  <c r="O251" i="1"/>
  <c r="N251" i="1"/>
  <c r="M251" i="1"/>
  <c r="L251" i="1"/>
  <c r="C251" i="1"/>
  <c r="B251" i="1"/>
  <c r="AH250" i="1"/>
  <c r="AG250" i="1"/>
  <c r="AF250" i="1"/>
  <c r="AC250" i="1"/>
  <c r="AB250" i="1"/>
  <c r="AA250" i="1"/>
  <c r="Z250" i="1"/>
  <c r="Y250" i="1"/>
  <c r="X250" i="1"/>
  <c r="W250" i="1"/>
  <c r="V250" i="1"/>
  <c r="T250" i="1"/>
  <c r="S250" i="1"/>
  <c r="R250" i="1"/>
  <c r="Q250" i="1"/>
  <c r="P250" i="1"/>
  <c r="O250" i="1"/>
  <c r="N250" i="1"/>
  <c r="M250" i="1"/>
  <c r="L250" i="1"/>
  <c r="F250" i="1"/>
  <c r="E250" i="1"/>
  <c r="D250" i="1"/>
  <c r="C250" i="1"/>
  <c r="B250" i="1"/>
  <c r="AH249" i="1"/>
  <c r="AG249" i="1"/>
  <c r="AF249" i="1"/>
  <c r="W249" i="1"/>
  <c r="V249" i="1"/>
  <c r="N249" i="1"/>
  <c r="M249" i="1"/>
  <c r="L249" i="1"/>
  <c r="F249" i="1"/>
  <c r="E249" i="1"/>
  <c r="D249" i="1"/>
  <c r="C249" i="1"/>
  <c r="B249" i="1"/>
  <c r="AH248" i="1"/>
  <c r="AG248" i="1"/>
  <c r="AF248" i="1"/>
  <c r="Z248" i="1"/>
  <c r="Y248" i="1"/>
  <c r="X248" i="1"/>
  <c r="W248" i="1"/>
  <c r="V248" i="1"/>
  <c r="O248" i="1"/>
  <c r="N248" i="1"/>
  <c r="M248" i="1"/>
  <c r="L248" i="1"/>
  <c r="C248" i="1"/>
  <c r="B248" i="1"/>
  <c r="AF247" i="1"/>
  <c r="Y247" i="1"/>
  <c r="X247" i="1"/>
  <c r="W247" i="1"/>
  <c r="V247" i="1"/>
  <c r="P247" i="1"/>
  <c r="O247" i="1"/>
  <c r="N247" i="1"/>
  <c r="M247" i="1"/>
  <c r="L247" i="1"/>
  <c r="F247" i="1"/>
  <c r="E247" i="1"/>
  <c r="D247" i="1"/>
  <c r="C247" i="1"/>
  <c r="B247" i="1"/>
  <c r="AG246" i="1"/>
  <c r="AF246" i="1"/>
  <c r="W246" i="1"/>
  <c r="V246" i="1"/>
  <c r="Q246" i="1"/>
  <c r="P246" i="1"/>
  <c r="O246" i="1"/>
  <c r="N246" i="1"/>
  <c r="M246" i="1"/>
  <c r="L246" i="1"/>
  <c r="D246" i="1"/>
  <c r="C246" i="1"/>
  <c r="B246" i="1"/>
  <c r="AH245" i="1"/>
  <c r="AG245" i="1"/>
  <c r="AF245" i="1"/>
  <c r="W245" i="1"/>
  <c r="V245" i="1"/>
  <c r="O245" i="1"/>
  <c r="N245" i="1"/>
  <c r="M245" i="1"/>
  <c r="L245" i="1"/>
  <c r="G245" i="1"/>
  <c r="F245" i="1"/>
  <c r="E245" i="1"/>
  <c r="D245" i="1"/>
  <c r="C245" i="1"/>
  <c r="B245" i="1"/>
  <c r="AG244" i="1"/>
  <c r="AF244" i="1"/>
  <c r="AA244" i="1"/>
  <c r="Z244" i="1"/>
  <c r="Y244" i="1"/>
  <c r="X244" i="1"/>
  <c r="W244" i="1"/>
  <c r="V244" i="1"/>
  <c r="S244" i="1"/>
  <c r="Q244" i="1"/>
  <c r="P244" i="1"/>
  <c r="O244" i="1"/>
  <c r="N244" i="1"/>
  <c r="M244" i="1"/>
  <c r="L244" i="1"/>
  <c r="H244" i="1"/>
  <c r="G244" i="1"/>
  <c r="F244" i="1"/>
  <c r="E244" i="1"/>
  <c r="D244" i="1"/>
  <c r="C244" i="1"/>
  <c r="B244" i="1"/>
  <c r="AH243" i="1"/>
  <c r="AG243" i="1"/>
  <c r="AF243" i="1"/>
  <c r="AC243" i="1"/>
  <c r="AB243" i="1"/>
  <c r="AA243" i="1"/>
  <c r="Z243" i="1"/>
  <c r="Y243" i="1"/>
  <c r="X243" i="1"/>
  <c r="W243" i="1"/>
  <c r="V243" i="1"/>
  <c r="T243" i="1"/>
  <c r="S243" i="1"/>
  <c r="R243" i="1"/>
  <c r="Q243" i="1"/>
  <c r="P243" i="1"/>
  <c r="O243" i="1"/>
  <c r="N243" i="1"/>
  <c r="M243" i="1"/>
  <c r="L243" i="1"/>
  <c r="F243" i="1"/>
  <c r="E243" i="1"/>
  <c r="D243" i="1"/>
  <c r="C243" i="1"/>
  <c r="B243" i="1"/>
  <c r="AH242" i="1"/>
  <c r="AG242" i="1"/>
  <c r="AF242" i="1"/>
  <c r="AB242" i="1"/>
  <c r="Z242" i="1"/>
  <c r="Y242" i="1"/>
  <c r="X242" i="1"/>
  <c r="W242" i="1"/>
  <c r="V242" i="1"/>
  <c r="S242" i="1"/>
  <c r="R242" i="1"/>
  <c r="Q242" i="1"/>
  <c r="P242" i="1"/>
  <c r="O242" i="1"/>
  <c r="N242" i="1"/>
  <c r="M242" i="1"/>
  <c r="L242" i="1"/>
  <c r="F242" i="1"/>
  <c r="E242" i="1"/>
  <c r="D242" i="1"/>
  <c r="C242" i="1"/>
  <c r="B242" i="1"/>
  <c r="AH241" i="1"/>
  <c r="AG241" i="1"/>
  <c r="AF241" i="1"/>
  <c r="W241" i="1"/>
  <c r="V241" i="1"/>
  <c r="Q241" i="1"/>
  <c r="P241" i="1"/>
  <c r="O241" i="1"/>
  <c r="N241" i="1"/>
  <c r="M241" i="1"/>
  <c r="L241" i="1"/>
  <c r="H241" i="1"/>
  <c r="G241" i="1"/>
  <c r="F241" i="1"/>
  <c r="E241" i="1"/>
  <c r="D241" i="1"/>
  <c r="C241" i="1"/>
  <c r="B241" i="1"/>
  <c r="AH240" i="1"/>
  <c r="AG240" i="1"/>
  <c r="AF240" i="1"/>
  <c r="AB240" i="1"/>
  <c r="AA240" i="1"/>
  <c r="Z240" i="1"/>
  <c r="Y240" i="1"/>
  <c r="X240" i="1"/>
  <c r="W240" i="1"/>
  <c r="V240" i="1"/>
  <c r="Q240" i="1"/>
  <c r="P240" i="1"/>
  <c r="O240" i="1"/>
  <c r="N240" i="1"/>
  <c r="M240" i="1"/>
  <c r="L240" i="1"/>
  <c r="F240" i="1"/>
  <c r="E240" i="1"/>
  <c r="D240" i="1"/>
  <c r="C240" i="1"/>
  <c r="B240" i="1"/>
  <c r="AG239" i="1"/>
  <c r="AF239" i="1"/>
  <c r="X239" i="1"/>
  <c r="W239" i="1"/>
  <c r="V239" i="1"/>
  <c r="Q239" i="1"/>
  <c r="P239" i="1"/>
  <c r="O239" i="1"/>
  <c r="N239" i="1"/>
  <c r="M239" i="1"/>
  <c r="L239" i="1"/>
  <c r="G239" i="1"/>
  <c r="F239" i="1"/>
  <c r="E239" i="1"/>
  <c r="D239" i="1"/>
  <c r="C239" i="1"/>
  <c r="B239" i="1"/>
  <c r="AH238" i="1"/>
  <c r="AG238" i="1"/>
  <c r="AF238" i="1"/>
  <c r="V238" i="1"/>
  <c r="P238" i="1"/>
  <c r="O238" i="1"/>
  <c r="N238" i="1"/>
  <c r="M238" i="1"/>
  <c r="L238" i="1"/>
  <c r="D238" i="1"/>
  <c r="C238" i="1"/>
  <c r="B238" i="1"/>
  <c r="AH237" i="1"/>
  <c r="AG237" i="1"/>
  <c r="AF237" i="1"/>
  <c r="W237" i="1"/>
  <c r="V237" i="1"/>
  <c r="O237" i="1"/>
  <c r="N237" i="1"/>
  <c r="M237" i="1"/>
  <c r="L237" i="1"/>
  <c r="G237" i="1"/>
  <c r="F237" i="1"/>
  <c r="E237" i="1"/>
  <c r="D237" i="1"/>
  <c r="C237" i="1"/>
  <c r="B237" i="1"/>
  <c r="AH236" i="1"/>
  <c r="AG236" i="1"/>
  <c r="AF236" i="1"/>
  <c r="X236" i="1"/>
  <c r="W236" i="1"/>
  <c r="V236" i="1"/>
  <c r="R236" i="1"/>
  <c r="Q236" i="1"/>
  <c r="P236" i="1"/>
  <c r="O236" i="1"/>
  <c r="N236" i="1"/>
  <c r="M236" i="1"/>
  <c r="L236" i="1"/>
  <c r="C236" i="1"/>
  <c r="B236" i="1"/>
  <c r="AH235" i="1"/>
  <c r="AG235" i="1"/>
  <c r="AF235" i="1"/>
  <c r="W235" i="1"/>
  <c r="V235" i="1"/>
  <c r="R235" i="1"/>
  <c r="Q235" i="1"/>
  <c r="P235" i="1"/>
  <c r="O235" i="1"/>
  <c r="N235" i="1"/>
  <c r="M235" i="1"/>
  <c r="L235" i="1"/>
  <c r="H235" i="1"/>
  <c r="G235" i="1"/>
  <c r="F235" i="1"/>
  <c r="E235" i="1"/>
  <c r="D235" i="1"/>
  <c r="C235" i="1"/>
  <c r="B235" i="1"/>
  <c r="AH234" i="1"/>
  <c r="AG234" i="1"/>
  <c r="AF234" i="1"/>
  <c r="AB234" i="1"/>
  <c r="AA234" i="1"/>
  <c r="Z234" i="1"/>
  <c r="Y234" i="1"/>
  <c r="X234" i="1"/>
  <c r="W234" i="1"/>
  <c r="V234" i="1"/>
  <c r="N234" i="1"/>
  <c r="M234" i="1"/>
  <c r="L234" i="1"/>
  <c r="C234" i="1"/>
  <c r="B234" i="1"/>
  <c r="AH233" i="1"/>
  <c r="AG233" i="1"/>
  <c r="AF233" i="1"/>
  <c r="W233" i="1"/>
  <c r="V233" i="1"/>
  <c r="M233" i="1"/>
  <c r="I233" i="1"/>
  <c r="H233" i="1"/>
  <c r="G233" i="1"/>
  <c r="F233" i="1"/>
  <c r="E233" i="1"/>
  <c r="D233" i="1"/>
  <c r="C233" i="1"/>
  <c r="B233" i="1"/>
  <c r="AH232" i="1"/>
  <c r="AG232" i="1"/>
  <c r="AF232" i="1"/>
  <c r="AA232" i="1"/>
  <c r="Z232" i="1"/>
  <c r="Y232" i="1"/>
  <c r="X232" i="1"/>
  <c r="W232" i="1"/>
  <c r="V232" i="1"/>
  <c r="R232" i="1"/>
  <c r="Q232" i="1"/>
  <c r="P232" i="1"/>
  <c r="O232" i="1"/>
  <c r="N232" i="1"/>
  <c r="M232" i="1"/>
  <c r="L232" i="1"/>
  <c r="I232" i="1"/>
  <c r="H232" i="1"/>
  <c r="D232" i="1"/>
  <c r="C232" i="1"/>
  <c r="B232" i="1"/>
  <c r="AG231" i="1"/>
  <c r="AF231" i="1"/>
  <c r="Y231" i="1"/>
  <c r="X231" i="1"/>
  <c r="W231" i="1"/>
  <c r="V231" i="1"/>
  <c r="R231" i="1"/>
  <c r="Q231" i="1"/>
  <c r="P231" i="1"/>
  <c r="O231" i="1"/>
  <c r="N231" i="1"/>
  <c r="M231" i="1"/>
  <c r="L231" i="1"/>
  <c r="G231" i="1"/>
  <c r="F231" i="1"/>
  <c r="E231" i="1"/>
  <c r="D231" i="1"/>
  <c r="C231" i="1"/>
  <c r="B231" i="1"/>
  <c r="AH230" i="1"/>
  <c r="AG230" i="1"/>
  <c r="AF230" i="1"/>
  <c r="Z230" i="1"/>
  <c r="Y230" i="1"/>
  <c r="X230" i="1"/>
  <c r="W230" i="1"/>
  <c r="V230" i="1"/>
  <c r="M230" i="1"/>
  <c r="L230" i="1"/>
  <c r="G230" i="1"/>
  <c r="F230" i="1"/>
  <c r="E230" i="1"/>
  <c r="D230" i="1"/>
  <c r="C230" i="1"/>
  <c r="B230" i="1"/>
  <c r="AH229" i="1"/>
  <c r="AG229" i="1"/>
  <c r="AF229" i="1"/>
  <c r="X229" i="1"/>
  <c r="W229" i="1"/>
  <c r="V229" i="1"/>
  <c r="P229" i="1"/>
  <c r="O229" i="1"/>
  <c r="N229" i="1"/>
  <c r="M229" i="1"/>
  <c r="L229" i="1"/>
  <c r="D229" i="1"/>
  <c r="C229" i="1"/>
  <c r="B229" i="1"/>
  <c r="AH228" i="1"/>
  <c r="AG228" i="1"/>
  <c r="AF228" i="1"/>
  <c r="W228" i="1"/>
  <c r="V228" i="1"/>
  <c r="N228" i="1"/>
  <c r="M228" i="1"/>
  <c r="L228" i="1"/>
  <c r="C228" i="1"/>
  <c r="B228" i="1"/>
  <c r="AH227" i="1"/>
  <c r="AG227" i="1"/>
  <c r="AF227" i="1"/>
  <c r="V227" i="1"/>
  <c r="P227" i="1"/>
  <c r="O227" i="1"/>
  <c r="N227" i="1"/>
  <c r="M227" i="1"/>
  <c r="L227" i="1"/>
  <c r="D227" i="1"/>
  <c r="C227" i="1"/>
  <c r="AG226" i="1"/>
  <c r="AF226" i="1"/>
  <c r="V226" i="1"/>
  <c r="P226" i="1"/>
  <c r="O226" i="1"/>
  <c r="N226" i="1"/>
  <c r="M226" i="1"/>
  <c r="L226" i="1"/>
  <c r="E226" i="1"/>
  <c r="D226" i="1"/>
  <c r="C226" i="1"/>
  <c r="B226" i="1"/>
  <c r="AH225" i="1"/>
  <c r="AG225" i="1"/>
  <c r="AF225" i="1"/>
  <c r="O225" i="1"/>
  <c r="N225" i="1"/>
  <c r="M225" i="1"/>
  <c r="L225" i="1"/>
  <c r="F225" i="1"/>
  <c r="E225" i="1"/>
  <c r="D225" i="1"/>
  <c r="C225" i="1"/>
  <c r="B225" i="1"/>
  <c r="AH224" i="1"/>
  <c r="AG224" i="1"/>
  <c r="AF224" i="1"/>
  <c r="V224" i="1"/>
  <c r="P224" i="1"/>
  <c r="O224" i="1"/>
  <c r="N224" i="1"/>
  <c r="M224" i="1"/>
  <c r="L224" i="1"/>
  <c r="H224" i="1"/>
  <c r="G224" i="1"/>
  <c r="F224" i="1"/>
  <c r="E224" i="1"/>
  <c r="D224" i="1"/>
  <c r="C224" i="1"/>
  <c r="B224" i="1"/>
  <c r="AH223" i="1"/>
  <c r="AG223" i="1"/>
  <c r="AF223" i="1"/>
  <c r="W223" i="1"/>
  <c r="V223" i="1"/>
  <c r="N223" i="1"/>
  <c r="M223" i="1"/>
  <c r="L223" i="1"/>
  <c r="G223" i="1"/>
  <c r="F223" i="1"/>
  <c r="E223" i="1"/>
  <c r="D223" i="1"/>
  <c r="C223" i="1"/>
  <c r="B223" i="1"/>
  <c r="AH222" i="1"/>
  <c r="AG222" i="1"/>
  <c r="AF222" i="1"/>
  <c r="W222" i="1"/>
  <c r="V222" i="1"/>
  <c r="O222" i="1"/>
  <c r="N222" i="1"/>
  <c r="M222" i="1"/>
  <c r="L222" i="1"/>
  <c r="G222" i="1"/>
  <c r="F222" i="1"/>
  <c r="D222" i="1"/>
  <c r="C222" i="1"/>
  <c r="B222" i="1"/>
  <c r="AH221" i="1"/>
  <c r="AG221" i="1"/>
  <c r="AF221" i="1"/>
  <c r="AB221" i="1"/>
  <c r="AA221" i="1"/>
  <c r="Z221" i="1"/>
  <c r="Y221" i="1"/>
  <c r="X221" i="1"/>
  <c r="W221" i="1"/>
  <c r="V221" i="1"/>
  <c r="P221" i="1"/>
  <c r="O221" i="1"/>
  <c r="N221" i="1"/>
  <c r="M221" i="1"/>
  <c r="L221" i="1"/>
  <c r="D221" i="1"/>
  <c r="C221" i="1"/>
  <c r="B221" i="1"/>
  <c r="AH220" i="1"/>
  <c r="AG220" i="1"/>
  <c r="AF220" i="1"/>
  <c r="W220" i="1"/>
  <c r="V220" i="1"/>
  <c r="R220" i="1"/>
  <c r="Q220" i="1"/>
  <c r="P220" i="1"/>
  <c r="O220" i="1"/>
  <c r="N220" i="1"/>
  <c r="M220" i="1"/>
  <c r="L220" i="1"/>
  <c r="G220" i="1"/>
  <c r="F220" i="1"/>
  <c r="E220" i="1"/>
  <c r="D220" i="1"/>
  <c r="C220" i="1"/>
  <c r="B220" i="1"/>
  <c r="AG219" i="1"/>
  <c r="AF219" i="1"/>
  <c r="Z219" i="1"/>
  <c r="Y219" i="1"/>
  <c r="X219" i="1"/>
  <c r="W219" i="1"/>
  <c r="V219" i="1"/>
  <c r="Q219" i="1"/>
  <c r="P219" i="1"/>
  <c r="O219" i="1"/>
  <c r="N219" i="1"/>
  <c r="M219" i="1"/>
  <c r="L219" i="1"/>
  <c r="G219" i="1"/>
  <c r="F219" i="1"/>
  <c r="E219" i="1"/>
  <c r="D219" i="1"/>
  <c r="C219" i="1"/>
  <c r="B219" i="1"/>
  <c r="AH218" i="1"/>
  <c r="AG218" i="1"/>
  <c r="AF218" i="1"/>
  <c r="Y218" i="1"/>
  <c r="X218" i="1"/>
  <c r="W218" i="1"/>
  <c r="V218" i="1"/>
  <c r="T218" i="1"/>
  <c r="S218" i="1"/>
  <c r="R218" i="1"/>
  <c r="Q218" i="1"/>
  <c r="P218" i="1"/>
  <c r="O218" i="1"/>
  <c r="N218" i="1"/>
  <c r="M218" i="1"/>
  <c r="L218" i="1"/>
  <c r="G218" i="1"/>
  <c r="F218" i="1"/>
  <c r="E218" i="1"/>
  <c r="D218" i="1"/>
  <c r="C218" i="1"/>
  <c r="B218" i="1"/>
  <c r="AH217" i="1"/>
  <c r="AG217" i="1"/>
  <c r="AF217" i="1"/>
  <c r="Z217" i="1"/>
  <c r="Y217" i="1"/>
  <c r="X217" i="1"/>
  <c r="W217" i="1"/>
  <c r="V217" i="1"/>
  <c r="N217" i="1"/>
  <c r="M217" i="1"/>
  <c r="L217" i="1"/>
  <c r="J217" i="1"/>
  <c r="I217" i="1"/>
  <c r="H217" i="1"/>
  <c r="G217" i="1"/>
  <c r="F217" i="1"/>
  <c r="E217" i="1"/>
  <c r="D217" i="1"/>
  <c r="C217" i="1"/>
  <c r="B217" i="1"/>
  <c r="AH216" i="1"/>
  <c r="AG216" i="1"/>
  <c r="AF216" i="1"/>
  <c r="X216" i="1"/>
  <c r="W216" i="1"/>
  <c r="V216" i="1"/>
  <c r="N216" i="1"/>
  <c r="M216" i="1"/>
  <c r="L216" i="1"/>
  <c r="J216" i="1"/>
  <c r="I216" i="1"/>
  <c r="H216" i="1"/>
  <c r="G216" i="1"/>
  <c r="F216" i="1"/>
  <c r="E216" i="1"/>
  <c r="D216" i="1"/>
  <c r="C216" i="1"/>
  <c r="B216" i="1"/>
  <c r="AH215" i="1"/>
  <c r="AG215" i="1"/>
  <c r="AF215" i="1"/>
  <c r="Y215" i="1"/>
  <c r="X215" i="1"/>
  <c r="W215" i="1"/>
  <c r="V215" i="1"/>
  <c r="M215" i="1"/>
  <c r="L215" i="1"/>
  <c r="H215" i="1"/>
  <c r="G215" i="1"/>
  <c r="F215" i="1"/>
  <c r="E215" i="1"/>
  <c r="D215" i="1"/>
  <c r="C215" i="1"/>
  <c r="B215" i="1"/>
  <c r="AH214" i="1"/>
  <c r="AG214" i="1"/>
  <c r="AF214" i="1"/>
  <c r="V214" i="1"/>
  <c r="N214" i="1"/>
  <c r="M214" i="1"/>
  <c r="L214" i="1"/>
  <c r="D214" i="1"/>
  <c r="C214" i="1"/>
  <c r="B214" i="1"/>
  <c r="AH213" i="1"/>
  <c r="AG213" i="1"/>
  <c r="AF213" i="1"/>
  <c r="Z213" i="1"/>
  <c r="Y213" i="1"/>
  <c r="X213" i="1"/>
  <c r="W213" i="1"/>
  <c r="V213" i="1"/>
  <c r="N213" i="1"/>
  <c r="M213" i="1"/>
  <c r="L213" i="1"/>
  <c r="G213" i="1"/>
  <c r="F213" i="1"/>
  <c r="E213" i="1"/>
  <c r="D213" i="1"/>
  <c r="C213" i="1"/>
  <c r="B213" i="1"/>
  <c r="AH212" i="1"/>
  <c r="AG212" i="1"/>
  <c r="AF212" i="1"/>
  <c r="W212" i="1"/>
  <c r="V212" i="1"/>
  <c r="O212" i="1"/>
  <c r="N212" i="1"/>
  <c r="M212" i="1"/>
  <c r="L212" i="1"/>
  <c r="F212" i="1"/>
  <c r="E212" i="1"/>
  <c r="D212" i="1"/>
  <c r="C212" i="1"/>
  <c r="B212" i="1"/>
  <c r="AH211" i="1"/>
  <c r="AG211" i="1"/>
  <c r="AF211" i="1"/>
  <c r="V211" i="1"/>
  <c r="Q211" i="1"/>
  <c r="P211" i="1"/>
  <c r="O211" i="1"/>
  <c r="N211" i="1"/>
  <c r="M211" i="1"/>
  <c r="L211" i="1"/>
  <c r="G211" i="1"/>
  <c r="F211" i="1"/>
  <c r="E211" i="1"/>
  <c r="D211" i="1"/>
  <c r="C211" i="1"/>
  <c r="B211" i="1"/>
  <c r="AG210" i="1"/>
  <c r="AF210" i="1"/>
  <c r="W210" i="1"/>
  <c r="V210" i="1"/>
  <c r="P210" i="1"/>
  <c r="O210" i="1"/>
  <c r="N210" i="1"/>
  <c r="M210" i="1"/>
  <c r="L210" i="1"/>
  <c r="G210" i="1"/>
  <c r="F210" i="1"/>
  <c r="E210" i="1"/>
  <c r="D210" i="1"/>
  <c r="C210" i="1"/>
  <c r="B210" i="1"/>
  <c r="AH209" i="1"/>
  <c r="AG209" i="1"/>
  <c r="AF209" i="1"/>
  <c r="AC209" i="1"/>
  <c r="AB209" i="1"/>
  <c r="AA209" i="1"/>
  <c r="Z209" i="1"/>
  <c r="Y209" i="1"/>
  <c r="X209" i="1"/>
  <c r="W209" i="1"/>
  <c r="V209" i="1"/>
  <c r="P209" i="1"/>
  <c r="O209" i="1"/>
  <c r="N209" i="1"/>
  <c r="M209" i="1"/>
  <c r="L209" i="1"/>
  <c r="H209" i="1"/>
  <c r="G209" i="1"/>
  <c r="F209" i="1"/>
  <c r="E209" i="1"/>
  <c r="D209" i="1"/>
  <c r="C209" i="1"/>
  <c r="B209" i="1"/>
  <c r="AF208" i="1"/>
  <c r="W208" i="1"/>
  <c r="V208" i="1"/>
  <c r="O208" i="1"/>
  <c r="N208" i="1"/>
  <c r="M208" i="1"/>
  <c r="L208" i="1"/>
  <c r="H208" i="1"/>
  <c r="G208" i="1"/>
  <c r="F208" i="1"/>
  <c r="E208" i="1"/>
  <c r="D208" i="1"/>
  <c r="C208" i="1"/>
  <c r="B208" i="1"/>
  <c r="AH207" i="1"/>
  <c r="AG207" i="1"/>
  <c r="AF207" i="1"/>
  <c r="AA207" i="1"/>
  <c r="Z207" i="1"/>
  <c r="Y207" i="1"/>
  <c r="X207" i="1"/>
  <c r="W207" i="1"/>
  <c r="V207" i="1"/>
  <c r="P207" i="1"/>
  <c r="O207" i="1"/>
  <c r="N207" i="1"/>
  <c r="M207" i="1"/>
  <c r="L207" i="1"/>
  <c r="D207" i="1"/>
  <c r="C207" i="1"/>
  <c r="B207" i="1"/>
  <c r="AH206" i="1"/>
  <c r="AG206" i="1"/>
  <c r="AF206" i="1"/>
  <c r="W206" i="1"/>
  <c r="V206" i="1"/>
  <c r="P206" i="1"/>
  <c r="O206" i="1"/>
  <c r="N206" i="1"/>
  <c r="M206" i="1"/>
  <c r="L206" i="1"/>
  <c r="G206" i="1"/>
  <c r="F206" i="1"/>
  <c r="E206" i="1"/>
  <c r="D206" i="1"/>
  <c r="C206" i="1"/>
  <c r="B206" i="1"/>
  <c r="AH205" i="1"/>
  <c r="AG205" i="1"/>
  <c r="AF205" i="1"/>
  <c r="X205" i="1"/>
  <c r="W205" i="1"/>
  <c r="V205" i="1"/>
  <c r="P205" i="1"/>
  <c r="O205" i="1"/>
  <c r="N205" i="1"/>
  <c r="M205" i="1"/>
  <c r="L205" i="1"/>
  <c r="F205" i="1"/>
  <c r="E205" i="1"/>
  <c r="D205" i="1"/>
  <c r="C205" i="1"/>
  <c r="B205" i="1"/>
  <c r="AG204" i="1"/>
  <c r="AF204" i="1"/>
  <c r="Y204" i="1"/>
  <c r="X204" i="1"/>
  <c r="W204" i="1"/>
  <c r="V204" i="1"/>
  <c r="Q204" i="1"/>
  <c r="P204" i="1"/>
  <c r="O204" i="1"/>
  <c r="N204" i="1"/>
  <c r="M204" i="1"/>
  <c r="L204" i="1"/>
  <c r="H204" i="1"/>
  <c r="G204" i="1"/>
  <c r="F204" i="1"/>
  <c r="E204" i="1"/>
  <c r="D204" i="1"/>
  <c r="C204" i="1"/>
  <c r="B204" i="1"/>
  <c r="AH203" i="1"/>
  <c r="AG203" i="1"/>
  <c r="AF203" i="1"/>
  <c r="AD203" i="1"/>
  <c r="AA203" i="1"/>
  <c r="Z203" i="1"/>
  <c r="Y203" i="1"/>
  <c r="X203" i="1"/>
  <c r="W203" i="1"/>
  <c r="V203" i="1"/>
  <c r="Q203" i="1"/>
  <c r="P203" i="1"/>
  <c r="O203" i="1"/>
  <c r="N203" i="1"/>
  <c r="M203" i="1"/>
  <c r="L203" i="1"/>
  <c r="D203" i="1"/>
  <c r="C203" i="1"/>
  <c r="B203" i="1"/>
  <c r="AH202" i="1"/>
  <c r="AG202" i="1"/>
  <c r="AF202" i="1"/>
  <c r="Z202" i="1"/>
  <c r="Y202" i="1"/>
  <c r="X202" i="1"/>
  <c r="W202" i="1"/>
  <c r="V202" i="1"/>
  <c r="S202" i="1"/>
  <c r="R202" i="1"/>
  <c r="Q202" i="1"/>
  <c r="P202" i="1"/>
  <c r="O202" i="1"/>
  <c r="N202" i="1"/>
  <c r="M202" i="1"/>
  <c r="L202" i="1"/>
  <c r="I202" i="1"/>
  <c r="H202" i="1"/>
  <c r="G202" i="1"/>
  <c r="F202" i="1"/>
  <c r="E202" i="1"/>
  <c r="D202" i="1"/>
  <c r="C202" i="1"/>
  <c r="B202" i="1"/>
  <c r="AG201" i="1"/>
  <c r="AF201" i="1"/>
  <c r="Z201" i="1"/>
  <c r="Y201" i="1"/>
  <c r="X201" i="1"/>
  <c r="W201" i="1"/>
  <c r="V201" i="1"/>
  <c r="M201" i="1"/>
  <c r="L201" i="1"/>
  <c r="G201" i="1"/>
  <c r="F201" i="1"/>
  <c r="E201" i="1"/>
  <c r="D201" i="1"/>
  <c r="C201" i="1"/>
  <c r="B201" i="1"/>
  <c r="AH200" i="1"/>
  <c r="AG200" i="1"/>
  <c r="AF200" i="1"/>
  <c r="V200" i="1"/>
  <c r="R200" i="1"/>
  <c r="Q200" i="1"/>
  <c r="O200" i="1"/>
  <c r="M200" i="1"/>
  <c r="L200" i="1"/>
  <c r="G200" i="1"/>
  <c r="F200" i="1"/>
  <c r="E200" i="1"/>
  <c r="D200" i="1"/>
  <c r="C200" i="1"/>
  <c r="B200" i="1"/>
  <c r="AH199" i="1"/>
  <c r="AG199" i="1"/>
  <c r="AF199" i="1"/>
  <c r="W199" i="1"/>
  <c r="V199" i="1"/>
  <c r="P199" i="1"/>
  <c r="O199" i="1"/>
  <c r="N199" i="1"/>
  <c r="M199" i="1"/>
  <c r="L199" i="1"/>
  <c r="D199" i="1"/>
  <c r="C199" i="1"/>
  <c r="B199" i="1"/>
  <c r="AH198" i="1"/>
  <c r="AG198" i="1"/>
  <c r="AF198" i="1"/>
  <c r="V198" i="1"/>
  <c r="M198" i="1"/>
  <c r="L198" i="1"/>
  <c r="G198" i="1"/>
  <c r="C198" i="1"/>
  <c r="B198" i="1"/>
  <c r="AH197" i="1"/>
  <c r="AG197" i="1"/>
  <c r="AF197" i="1"/>
  <c r="AA197" i="1"/>
  <c r="Z197" i="1"/>
  <c r="Y197" i="1"/>
  <c r="X197" i="1"/>
  <c r="W197" i="1"/>
  <c r="V197" i="1"/>
  <c r="P197" i="1"/>
  <c r="O197" i="1"/>
  <c r="N197" i="1"/>
  <c r="M197" i="1"/>
  <c r="L197" i="1"/>
  <c r="H197" i="1"/>
  <c r="G197" i="1"/>
  <c r="F197" i="1"/>
  <c r="E197" i="1"/>
  <c r="D197" i="1"/>
  <c r="C197" i="1"/>
  <c r="B197" i="1"/>
  <c r="AH196" i="1"/>
  <c r="AG196" i="1"/>
  <c r="AF196" i="1"/>
  <c r="T196" i="1"/>
  <c r="S196" i="1"/>
  <c r="R196" i="1"/>
  <c r="Q196" i="1"/>
  <c r="P196" i="1"/>
  <c r="O196" i="1"/>
  <c r="N196" i="1"/>
  <c r="M196" i="1"/>
  <c r="L196" i="1"/>
  <c r="D196" i="1"/>
  <c r="C196" i="1"/>
  <c r="B196" i="1"/>
  <c r="AH195" i="1"/>
  <c r="AG195" i="1"/>
  <c r="AF195" i="1"/>
  <c r="V195" i="1"/>
  <c r="L195" i="1"/>
  <c r="D195" i="1"/>
  <c r="C195" i="1"/>
  <c r="B195" i="1"/>
  <c r="AH194" i="1"/>
  <c r="AG194" i="1"/>
  <c r="AF194" i="1"/>
  <c r="W194" i="1"/>
  <c r="V194" i="1"/>
  <c r="P194" i="1"/>
  <c r="O194" i="1"/>
  <c r="N194" i="1"/>
  <c r="M194" i="1"/>
  <c r="L194" i="1"/>
  <c r="I194" i="1"/>
  <c r="H194" i="1"/>
  <c r="G194" i="1"/>
  <c r="F194" i="1"/>
  <c r="E194" i="1"/>
  <c r="D194" i="1"/>
  <c r="C194" i="1"/>
  <c r="B194" i="1"/>
  <c r="AH193" i="1"/>
  <c r="AG193" i="1"/>
  <c r="AF193" i="1"/>
  <c r="X193" i="1"/>
  <c r="W193" i="1"/>
  <c r="V193" i="1"/>
  <c r="M193" i="1"/>
  <c r="L193" i="1"/>
  <c r="E193" i="1"/>
  <c r="D193" i="1"/>
  <c r="C193" i="1"/>
  <c r="B193" i="1"/>
  <c r="AH192" i="1"/>
  <c r="AG192" i="1"/>
  <c r="AF192" i="1"/>
  <c r="V192" i="1"/>
  <c r="P192" i="1"/>
  <c r="O192" i="1"/>
  <c r="N192" i="1"/>
  <c r="M192" i="1"/>
  <c r="L192" i="1"/>
  <c r="F192" i="1"/>
  <c r="E192" i="1"/>
  <c r="D192" i="1"/>
  <c r="C192" i="1"/>
  <c r="B192" i="1"/>
  <c r="AG191" i="1"/>
  <c r="AF191" i="1"/>
  <c r="V191" i="1"/>
  <c r="O191" i="1"/>
  <c r="N191" i="1"/>
  <c r="M191" i="1"/>
  <c r="L191" i="1"/>
  <c r="H191" i="1"/>
  <c r="G191" i="1"/>
  <c r="F191" i="1"/>
  <c r="E191" i="1"/>
  <c r="D191" i="1"/>
  <c r="C191" i="1"/>
  <c r="B191" i="1"/>
  <c r="AH190" i="1"/>
  <c r="AG190" i="1"/>
  <c r="AF190" i="1"/>
  <c r="Z190" i="1"/>
  <c r="Y190" i="1"/>
  <c r="X190" i="1"/>
  <c r="W190" i="1"/>
  <c r="V190" i="1"/>
  <c r="Q190" i="1"/>
  <c r="P190" i="1"/>
  <c r="O190" i="1"/>
  <c r="N190" i="1"/>
  <c r="M190" i="1"/>
  <c r="L190" i="1"/>
  <c r="D190" i="1"/>
  <c r="C190" i="1"/>
  <c r="B190" i="1"/>
  <c r="AH189" i="1"/>
  <c r="AG189" i="1"/>
  <c r="AF189" i="1"/>
  <c r="X189" i="1"/>
  <c r="W189" i="1"/>
  <c r="V189" i="1"/>
  <c r="N189" i="1"/>
  <c r="M189" i="1"/>
  <c r="L189" i="1"/>
  <c r="H189" i="1"/>
  <c r="G189" i="1"/>
  <c r="F189" i="1"/>
  <c r="E189" i="1"/>
  <c r="D189" i="1"/>
  <c r="C189" i="1"/>
  <c r="B189" i="1"/>
  <c r="AH188" i="1"/>
  <c r="AG188" i="1"/>
  <c r="AF188" i="1"/>
  <c r="V188" i="1"/>
  <c r="Q188" i="1"/>
  <c r="P188" i="1"/>
  <c r="O188" i="1"/>
  <c r="N188" i="1"/>
  <c r="M188" i="1"/>
  <c r="L188" i="1"/>
  <c r="G188" i="1"/>
  <c r="F188" i="1"/>
  <c r="E188" i="1"/>
  <c r="D188" i="1"/>
  <c r="C188" i="1"/>
  <c r="B188" i="1"/>
  <c r="AH187" i="1"/>
  <c r="AG187" i="1"/>
  <c r="AF187" i="1"/>
  <c r="Y187" i="1"/>
  <c r="X187" i="1"/>
  <c r="W187" i="1"/>
  <c r="V187" i="1"/>
  <c r="T187" i="1"/>
  <c r="S187" i="1"/>
  <c r="R187" i="1"/>
  <c r="Q187" i="1"/>
  <c r="P187" i="1"/>
  <c r="O187" i="1"/>
  <c r="N187" i="1"/>
  <c r="M187" i="1"/>
  <c r="L187" i="1"/>
  <c r="G187" i="1"/>
  <c r="F187" i="1"/>
  <c r="E187" i="1"/>
  <c r="D187" i="1"/>
  <c r="C187" i="1"/>
  <c r="B187" i="1"/>
  <c r="AD186" i="1"/>
  <c r="AC186" i="1"/>
  <c r="AB186" i="1"/>
  <c r="AA186" i="1"/>
  <c r="Z186" i="1"/>
  <c r="Y186" i="1"/>
  <c r="X186" i="1"/>
  <c r="W186" i="1"/>
  <c r="V186" i="1"/>
  <c r="N186" i="1"/>
  <c r="M186" i="1"/>
  <c r="L186" i="1"/>
  <c r="I186" i="1"/>
  <c r="H186" i="1"/>
  <c r="G186" i="1"/>
  <c r="F186" i="1"/>
  <c r="E186" i="1"/>
  <c r="D186" i="1"/>
  <c r="C186" i="1"/>
  <c r="B186" i="1"/>
  <c r="AH185" i="1"/>
  <c r="AG185" i="1"/>
  <c r="AF185" i="1"/>
  <c r="Y185" i="1"/>
  <c r="X185" i="1"/>
  <c r="W185" i="1"/>
  <c r="V185" i="1"/>
  <c r="P185" i="1"/>
  <c r="O185" i="1"/>
  <c r="N185" i="1"/>
  <c r="M185" i="1"/>
  <c r="L185" i="1"/>
  <c r="F185" i="1"/>
  <c r="E185" i="1"/>
  <c r="D185" i="1"/>
  <c r="C185" i="1"/>
  <c r="B185" i="1"/>
  <c r="AH184" i="1"/>
  <c r="AG184" i="1"/>
  <c r="AF184" i="1"/>
  <c r="AB184" i="1"/>
  <c r="AA184" i="1"/>
  <c r="Z184" i="1"/>
  <c r="Y184" i="1"/>
  <c r="X184" i="1"/>
  <c r="W184" i="1"/>
  <c r="V184" i="1"/>
  <c r="R184" i="1"/>
  <c r="Q184" i="1"/>
  <c r="P184" i="1"/>
  <c r="O184" i="1"/>
  <c r="N184" i="1"/>
  <c r="M184" i="1"/>
  <c r="L184" i="1"/>
  <c r="F184" i="1"/>
  <c r="E184" i="1"/>
  <c r="D184" i="1"/>
  <c r="C184" i="1"/>
  <c r="B184" i="1"/>
  <c r="AH183" i="1"/>
  <c r="AG183" i="1"/>
  <c r="AF183" i="1"/>
  <c r="X183" i="1"/>
  <c r="W183" i="1"/>
  <c r="V183" i="1"/>
  <c r="N183" i="1"/>
  <c r="M183" i="1"/>
  <c r="L183" i="1"/>
  <c r="E183" i="1"/>
  <c r="D183" i="1"/>
  <c r="C183" i="1"/>
  <c r="B183" i="1"/>
  <c r="AH182" i="1"/>
  <c r="AG182" i="1"/>
  <c r="AF182" i="1"/>
  <c r="Z182" i="1"/>
  <c r="Y182" i="1"/>
  <c r="X182" i="1"/>
  <c r="W182" i="1"/>
  <c r="V182" i="1"/>
  <c r="O182" i="1"/>
  <c r="N182" i="1"/>
  <c r="M182" i="1"/>
  <c r="L182" i="1"/>
  <c r="D182" i="1"/>
  <c r="C182" i="1"/>
  <c r="B182" i="1"/>
  <c r="AH181" i="1"/>
  <c r="AG181" i="1"/>
  <c r="AF181" i="1"/>
  <c r="W181" i="1"/>
  <c r="V181" i="1"/>
  <c r="M181" i="1"/>
  <c r="L181" i="1"/>
  <c r="F181" i="1"/>
  <c r="E181" i="1"/>
  <c r="D181" i="1"/>
  <c r="C181" i="1"/>
  <c r="B181" i="1"/>
  <c r="AH180" i="1"/>
  <c r="AG180" i="1"/>
  <c r="AF180" i="1"/>
  <c r="V180" i="1"/>
  <c r="N180" i="1"/>
  <c r="M180" i="1"/>
  <c r="L180" i="1"/>
  <c r="D180" i="1"/>
  <c r="C180" i="1"/>
  <c r="B180" i="1"/>
  <c r="AH179" i="1"/>
  <c r="AG179" i="1"/>
  <c r="AF179" i="1"/>
  <c r="X179" i="1"/>
  <c r="W179" i="1"/>
  <c r="V179" i="1"/>
  <c r="N179" i="1"/>
  <c r="M179" i="1"/>
  <c r="L179" i="1"/>
  <c r="G179" i="1"/>
  <c r="F179" i="1"/>
  <c r="E179" i="1"/>
  <c r="D179" i="1"/>
  <c r="C179" i="1"/>
  <c r="B179" i="1"/>
  <c r="AH178" i="1"/>
  <c r="AG178" i="1"/>
  <c r="AF178" i="1"/>
  <c r="X178" i="1"/>
  <c r="W178" i="1"/>
  <c r="V178" i="1"/>
  <c r="Q178" i="1"/>
  <c r="P178" i="1"/>
  <c r="O178" i="1"/>
  <c r="N178" i="1"/>
  <c r="M178" i="1"/>
  <c r="L178" i="1"/>
  <c r="H178" i="1"/>
  <c r="G178" i="1"/>
  <c r="F178" i="1"/>
  <c r="E178" i="1"/>
  <c r="D178" i="1"/>
  <c r="C178" i="1"/>
  <c r="B178" i="1"/>
  <c r="AH177" i="1"/>
  <c r="AG177" i="1"/>
  <c r="AF177" i="1"/>
  <c r="AB177" i="1"/>
  <c r="AA177" i="1"/>
  <c r="Z177" i="1"/>
  <c r="Y177" i="1"/>
  <c r="X177" i="1"/>
  <c r="W177" i="1"/>
  <c r="V177" i="1"/>
  <c r="N177" i="1"/>
  <c r="M177" i="1"/>
  <c r="L177" i="1"/>
  <c r="H177" i="1"/>
  <c r="G177" i="1"/>
  <c r="F177" i="1"/>
  <c r="E177" i="1"/>
  <c r="D177" i="1"/>
  <c r="C177" i="1"/>
  <c r="B177" i="1"/>
  <c r="AH176" i="1"/>
  <c r="AG176" i="1"/>
  <c r="AF176" i="1"/>
  <c r="X176" i="1"/>
  <c r="W176" i="1"/>
  <c r="V176" i="1"/>
  <c r="Q176" i="1"/>
  <c r="P176" i="1"/>
  <c r="O176" i="1"/>
  <c r="N176" i="1"/>
  <c r="M176" i="1"/>
  <c r="L176" i="1"/>
  <c r="H176" i="1"/>
  <c r="F176" i="1"/>
  <c r="E176" i="1"/>
  <c r="D176" i="1"/>
  <c r="C176" i="1"/>
  <c r="B176" i="1"/>
  <c r="AH175" i="1"/>
  <c r="AG175" i="1"/>
  <c r="AF175" i="1"/>
  <c r="W175" i="1"/>
  <c r="V175" i="1"/>
  <c r="P175" i="1"/>
  <c r="O175" i="1"/>
  <c r="N175" i="1"/>
  <c r="M175" i="1"/>
  <c r="L175" i="1"/>
  <c r="H175" i="1"/>
  <c r="G175" i="1"/>
  <c r="F175" i="1"/>
  <c r="E175" i="1"/>
  <c r="D175" i="1"/>
  <c r="C175" i="1"/>
  <c r="B175" i="1"/>
  <c r="AH174" i="1"/>
  <c r="AG174" i="1"/>
  <c r="AF174" i="1"/>
  <c r="X174" i="1"/>
  <c r="W174" i="1"/>
  <c r="V174" i="1"/>
  <c r="R174" i="1"/>
  <c r="Q174" i="1"/>
  <c r="P174" i="1"/>
  <c r="O174" i="1"/>
  <c r="N174" i="1"/>
  <c r="M174" i="1"/>
  <c r="L174" i="1"/>
  <c r="G174" i="1"/>
  <c r="F174" i="1"/>
  <c r="E174" i="1"/>
  <c r="D174" i="1"/>
  <c r="C174" i="1"/>
  <c r="B174" i="1"/>
  <c r="AG173" i="1"/>
  <c r="AF173" i="1"/>
  <c r="X173" i="1"/>
  <c r="W173" i="1"/>
  <c r="V173" i="1"/>
  <c r="L173" i="1"/>
  <c r="H173" i="1"/>
  <c r="G173" i="1"/>
  <c r="F173" i="1"/>
  <c r="E173" i="1"/>
  <c r="D173" i="1"/>
  <c r="C173" i="1"/>
  <c r="B173" i="1"/>
  <c r="AH172" i="1"/>
  <c r="AG172" i="1"/>
  <c r="AF172" i="1"/>
  <c r="W172" i="1"/>
  <c r="V172" i="1"/>
  <c r="T172" i="1"/>
  <c r="S172" i="1"/>
  <c r="R172" i="1"/>
  <c r="Q172" i="1"/>
  <c r="P172" i="1"/>
  <c r="O172" i="1"/>
  <c r="N172" i="1"/>
  <c r="M172" i="1"/>
  <c r="L172" i="1"/>
  <c r="E172" i="1"/>
  <c r="D172" i="1"/>
  <c r="C172" i="1"/>
  <c r="B172" i="1"/>
  <c r="AH171" i="1"/>
  <c r="AG171" i="1"/>
  <c r="AF171" i="1"/>
  <c r="W171" i="1"/>
  <c r="V171" i="1"/>
  <c r="M171" i="1"/>
  <c r="L171" i="1"/>
  <c r="H171" i="1"/>
  <c r="G171" i="1"/>
  <c r="F171" i="1"/>
  <c r="E171" i="1"/>
  <c r="D171" i="1"/>
  <c r="C171" i="1"/>
  <c r="B171" i="1"/>
  <c r="AH170" i="1"/>
  <c r="AG170" i="1"/>
  <c r="AF170" i="1"/>
  <c r="X170" i="1"/>
  <c r="W170" i="1"/>
  <c r="V170" i="1"/>
  <c r="R170" i="1"/>
  <c r="Q170" i="1"/>
  <c r="P170" i="1"/>
  <c r="N170" i="1"/>
  <c r="M170" i="1"/>
  <c r="L170" i="1"/>
  <c r="F170" i="1"/>
  <c r="E170" i="1"/>
  <c r="D170" i="1"/>
  <c r="C170" i="1"/>
  <c r="B170" i="1"/>
  <c r="AH169" i="1"/>
  <c r="AG169" i="1"/>
  <c r="AF169" i="1"/>
  <c r="W169" i="1"/>
  <c r="V169" i="1"/>
  <c r="N169" i="1"/>
  <c r="L169" i="1"/>
  <c r="H169" i="1"/>
  <c r="G169" i="1"/>
  <c r="F169" i="1"/>
  <c r="E169" i="1"/>
  <c r="D169" i="1"/>
  <c r="C169" i="1"/>
  <c r="B169" i="1"/>
  <c r="AH168" i="1"/>
  <c r="AG168" i="1"/>
  <c r="AF168" i="1"/>
  <c r="X168" i="1"/>
  <c r="W168" i="1"/>
  <c r="V168" i="1"/>
  <c r="O168" i="1"/>
  <c r="N168" i="1"/>
  <c r="M168" i="1"/>
  <c r="L168" i="1"/>
  <c r="F168" i="1"/>
  <c r="E168" i="1"/>
  <c r="D168" i="1"/>
  <c r="C168" i="1"/>
  <c r="B168" i="1"/>
  <c r="AH167" i="1"/>
  <c r="AG167" i="1"/>
  <c r="AF167" i="1"/>
  <c r="Y167" i="1"/>
  <c r="X167" i="1"/>
  <c r="W167" i="1"/>
  <c r="V167" i="1"/>
  <c r="M167" i="1"/>
  <c r="L167" i="1"/>
  <c r="H167" i="1"/>
  <c r="G167" i="1"/>
  <c r="F167" i="1"/>
  <c r="E167" i="1"/>
  <c r="D167" i="1"/>
  <c r="C167" i="1"/>
  <c r="B167" i="1"/>
  <c r="AH166" i="1"/>
  <c r="AG166" i="1"/>
  <c r="AF166" i="1"/>
  <c r="W166" i="1"/>
  <c r="V166" i="1"/>
  <c r="N166" i="1"/>
  <c r="M166" i="1"/>
  <c r="L166" i="1"/>
  <c r="C166" i="1"/>
  <c r="B166" i="1"/>
  <c r="AH165" i="1"/>
  <c r="AG165" i="1"/>
  <c r="AF165" i="1"/>
  <c r="X165" i="1"/>
  <c r="V165" i="1"/>
  <c r="O165" i="1"/>
  <c r="N165" i="1"/>
  <c r="M165" i="1"/>
  <c r="L165" i="1"/>
  <c r="E165" i="1"/>
  <c r="D165" i="1"/>
  <c r="C165" i="1"/>
  <c r="B165" i="1"/>
  <c r="AH164" i="1"/>
  <c r="AG164" i="1"/>
  <c r="AF164" i="1"/>
  <c r="Z164" i="1"/>
  <c r="Y164" i="1"/>
  <c r="X164" i="1"/>
  <c r="W164" i="1"/>
  <c r="V164" i="1"/>
  <c r="N164" i="1"/>
  <c r="M164" i="1"/>
  <c r="L164" i="1"/>
  <c r="C164" i="1"/>
  <c r="B164" i="1"/>
  <c r="AH163" i="1"/>
  <c r="AG163" i="1"/>
  <c r="AF163" i="1"/>
  <c r="AB163" i="1"/>
  <c r="AA163" i="1"/>
  <c r="Z163" i="1"/>
  <c r="Y163" i="1"/>
  <c r="X163" i="1"/>
  <c r="W163" i="1"/>
  <c r="V163" i="1"/>
  <c r="P163" i="1"/>
  <c r="O163" i="1"/>
  <c r="N163" i="1"/>
  <c r="M163" i="1"/>
  <c r="L163" i="1"/>
  <c r="G163" i="1"/>
  <c r="F163" i="1"/>
  <c r="E163" i="1"/>
  <c r="D163" i="1"/>
  <c r="C163" i="1"/>
  <c r="B163" i="1"/>
  <c r="AH162" i="1"/>
  <c r="AG162" i="1"/>
  <c r="AF162" i="1"/>
  <c r="X162" i="1"/>
  <c r="W162" i="1"/>
  <c r="V162" i="1"/>
  <c r="N162" i="1"/>
  <c r="M162" i="1"/>
  <c r="L162" i="1"/>
  <c r="F162" i="1"/>
  <c r="E162" i="1"/>
  <c r="D162" i="1"/>
  <c r="C162" i="1"/>
  <c r="B162" i="1"/>
  <c r="AH161" i="1"/>
  <c r="AG161" i="1"/>
  <c r="AF161" i="1"/>
  <c r="Z161" i="1"/>
  <c r="Y161" i="1"/>
  <c r="X161" i="1"/>
  <c r="W161" i="1"/>
  <c r="V161" i="1"/>
  <c r="O161" i="1"/>
  <c r="N161" i="1"/>
  <c r="M161" i="1"/>
  <c r="L161" i="1"/>
  <c r="D161" i="1"/>
  <c r="C161" i="1"/>
  <c r="B161" i="1"/>
  <c r="AH160" i="1"/>
  <c r="AG160" i="1"/>
  <c r="AF160" i="1"/>
  <c r="W160" i="1"/>
  <c r="V160" i="1"/>
  <c r="N160" i="1"/>
  <c r="M160" i="1"/>
  <c r="L160" i="1"/>
  <c r="C160" i="1"/>
  <c r="B160" i="1"/>
  <c r="AH159" i="1"/>
  <c r="AG159" i="1"/>
  <c r="AF159" i="1"/>
  <c r="W159" i="1"/>
  <c r="V159" i="1"/>
  <c r="O159" i="1"/>
  <c r="N159" i="1"/>
  <c r="M159" i="1"/>
  <c r="L159" i="1"/>
  <c r="H159" i="1"/>
  <c r="F159" i="1"/>
  <c r="E159" i="1"/>
  <c r="D159" i="1"/>
  <c r="C159" i="1"/>
  <c r="B159" i="1"/>
  <c r="AH158" i="1"/>
  <c r="AG158" i="1"/>
  <c r="AF158" i="1"/>
  <c r="Z158" i="1"/>
  <c r="Y158" i="1"/>
  <c r="X158" i="1"/>
  <c r="W158" i="1"/>
  <c r="V158" i="1"/>
  <c r="R158" i="1"/>
  <c r="Q158" i="1"/>
  <c r="P158" i="1"/>
  <c r="O158" i="1"/>
  <c r="N158" i="1"/>
  <c r="M158" i="1"/>
  <c r="L158" i="1"/>
  <c r="F158" i="1"/>
  <c r="E158" i="1"/>
  <c r="D158" i="1"/>
  <c r="C158" i="1"/>
  <c r="B158" i="1"/>
  <c r="AH157" i="1"/>
  <c r="AG157" i="1"/>
  <c r="AF157" i="1"/>
  <c r="AD157" i="1"/>
  <c r="AC157" i="1"/>
  <c r="AB157" i="1"/>
  <c r="AA157" i="1"/>
  <c r="Z157" i="1"/>
  <c r="Y157" i="1"/>
  <c r="X157" i="1"/>
  <c r="W157" i="1"/>
  <c r="V157" i="1"/>
  <c r="M157" i="1"/>
  <c r="L157" i="1"/>
  <c r="F157" i="1"/>
  <c r="E157" i="1"/>
  <c r="D157" i="1"/>
  <c r="C157" i="1"/>
  <c r="B157" i="1"/>
  <c r="AH156" i="1"/>
  <c r="AG156" i="1"/>
  <c r="AF156" i="1"/>
  <c r="O156" i="1"/>
  <c r="N156" i="1"/>
  <c r="M156" i="1"/>
  <c r="L156" i="1"/>
  <c r="C156" i="1"/>
  <c r="B156" i="1"/>
  <c r="AH155" i="1"/>
  <c r="AG155" i="1"/>
  <c r="AF155" i="1"/>
  <c r="Y155" i="1"/>
  <c r="X155" i="1"/>
  <c r="W155" i="1"/>
  <c r="V155" i="1"/>
  <c r="S155" i="1"/>
  <c r="R155" i="1"/>
  <c r="Q155" i="1"/>
  <c r="P155" i="1"/>
  <c r="O155" i="1"/>
  <c r="N155" i="1"/>
  <c r="M155" i="1"/>
  <c r="L155" i="1"/>
  <c r="I155" i="1"/>
  <c r="H155" i="1"/>
  <c r="G155" i="1"/>
  <c r="F155" i="1"/>
  <c r="E155" i="1"/>
  <c r="D155" i="1"/>
  <c r="C155" i="1"/>
  <c r="B155" i="1"/>
  <c r="AG154" i="1"/>
  <c r="AF154" i="1"/>
  <c r="V154" i="1"/>
  <c r="O154" i="1"/>
  <c r="N154" i="1"/>
  <c r="M154" i="1"/>
  <c r="L154" i="1"/>
  <c r="D154" i="1"/>
  <c r="C154" i="1"/>
  <c r="B154" i="1"/>
  <c r="AG153" i="1"/>
  <c r="AF153" i="1"/>
  <c r="V153" i="1"/>
  <c r="T153" i="1"/>
  <c r="S153" i="1"/>
  <c r="R153" i="1"/>
  <c r="Q153" i="1"/>
  <c r="P153" i="1"/>
  <c r="O153" i="1"/>
  <c r="N153" i="1"/>
  <c r="M153" i="1"/>
  <c r="L153" i="1"/>
  <c r="H153" i="1"/>
  <c r="G153" i="1"/>
  <c r="F153" i="1"/>
  <c r="E153" i="1"/>
  <c r="D153" i="1"/>
  <c r="C153" i="1"/>
  <c r="B153" i="1"/>
  <c r="AH152" i="1"/>
  <c r="AG152" i="1"/>
  <c r="AF152" i="1"/>
  <c r="AB152" i="1"/>
  <c r="AA152" i="1"/>
  <c r="Z152" i="1"/>
  <c r="Y152" i="1"/>
  <c r="X152" i="1"/>
  <c r="W152" i="1"/>
  <c r="V152" i="1"/>
  <c r="N152" i="1"/>
  <c r="M152" i="1"/>
  <c r="F152" i="1"/>
  <c r="E152" i="1"/>
  <c r="D152" i="1"/>
  <c r="C152" i="1"/>
  <c r="B152" i="1"/>
  <c r="AG151" i="1"/>
  <c r="AF151" i="1"/>
  <c r="V151" i="1"/>
  <c r="Q151" i="1"/>
  <c r="P151" i="1"/>
  <c r="O151" i="1"/>
  <c r="N151" i="1"/>
  <c r="M151" i="1"/>
  <c r="L151" i="1"/>
  <c r="E151" i="1"/>
  <c r="D151" i="1"/>
  <c r="C151" i="1"/>
  <c r="B151" i="1"/>
  <c r="AH150" i="1"/>
  <c r="AG150" i="1"/>
  <c r="AF150" i="1"/>
  <c r="AB150" i="1"/>
  <c r="AA150" i="1"/>
  <c r="Z150" i="1"/>
  <c r="Y150" i="1"/>
  <c r="X150" i="1"/>
  <c r="W150" i="1"/>
  <c r="V150" i="1"/>
  <c r="P150" i="1"/>
  <c r="O150" i="1"/>
  <c r="N150" i="1"/>
  <c r="M150" i="1"/>
  <c r="L150" i="1"/>
  <c r="D150" i="1"/>
  <c r="C150" i="1"/>
  <c r="B150" i="1"/>
  <c r="AH149" i="1"/>
  <c r="AG149" i="1"/>
  <c r="AF149" i="1"/>
  <c r="Y149" i="1"/>
  <c r="X149" i="1"/>
  <c r="W149" i="1"/>
  <c r="V149" i="1"/>
  <c r="P149" i="1"/>
  <c r="M149" i="1"/>
  <c r="C149" i="1"/>
  <c r="B149" i="1"/>
  <c r="AH148" i="1"/>
  <c r="AG148" i="1"/>
  <c r="AF148" i="1"/>
  <c r="X148" i="1"/>
  <c r="W148" i="1"/>
  <c r="V148" i="1"/>
  <c r="R148" i="1"/>
  <c r="Q148" i="1"/>
  <c r="P148" i="1"/>
  <c r="O148" i="1"/>
  <c r="N148" i="1"/>
  <c r="M148" i="1"/>
  <c r="L148" i="1"/>
  <c r="D148" i="1"/>
  <c r="C148" i="1"/>
  <c r="B148" i="1"/>
  <c r="AH147" i="1"/>
  <c r="AG147" i="1"/>
  <c r="AF147" i="1"/>
  <c r="X147" i="1"/>
  <c r="W147" i="1"/>
  <c r="V147" i="1"/>
  <c r="P147" i="1"/>
  <c r="O147" i="1"/>
  <c r="N147" i="1"/>
  <c r="M147" i="1"/>
  <c r="L147" i="1"/>
  <c r="G147" i="1"/>
  <c r="F147" i="1"/>
  <c r="E147" i="1"/>
  <c r="D147" i="1"/>
  <c r="C147" i="1"/>
  <c r="B147" i="1"/>
  <c r="AH146" i="1"/>
  <c r="AG146" i="1"/>
  <c r="AF146" i="1"/>
  <c r="AA146" i="1"/>
  <c r="Z146" i="1"/>
  <c r="Y146" i="1"/>
  <c r="X146" i="1"/>
  <c r="W146" i="1"/>
  <c r="V146" i="1"/>
  <c r="R146" i="1"/>
  <c r="Q146" i="1"/>
  <c r="P146" i="1"/>
  <c r="O146" i="1"/>
  <c r="N146" i="1"/>
  <c r="M146" i="1"/>
  <c r="L146" i="1"/>
  <c r="H146" i="1"/>
  <c r="G146" i="1"/>
  <c r="F146" i="1"/>
  <c r="E146" i="1"/>
  <c r="D146" i="1"/>
  <c r="C146" i="1"/>
  <c r="B146" i="1"/>
  <c r="AH145" i="1"/>
  <c r="AG145" i="1"/>
  <c r="AF145" i="1"/>
  <c r="W145" i="1"/>
  <c r="V145" i="1"/>
  <c r="M145" i="1"/>
  <c r="L145" i="1"/>
  <c r="H145" i="1"/>
  <c r="G145" i="1"/>
  <c r="F145" i="1"/>
  <c r="E145" i="1"/>
  <c r="D145" i="1"/>
  <c r="C145" i="1"/>
  <c r="B145" i="1"/>
  <c r="AH144" i="1"/>
  <c r="AG144" i="1"/>
  <c r="AF144" i="1"/>
  <c r="AD144" i="1"/>
  <c r="AC144" i="1"/>
  <c r="AB144" i="1"/>
  <c r="AA144" i="1"/>
  <c r="Z144" i="1"/>
  <c r="Y144" i="1"/>
  <c r="X144" i="1"/>
  <c r="W144" i="1"/>
  <c r="V144" i="1"/>
  <c r="N144" i="1"/>
  <c r="M144" i="1"/>
  <c r="L144" i="1"/>
  <c r="C144" i="1"/>
  <c r="B144" i="1"/>
  <c r="AH143" i="1"/>
  <c r="AG143" i="1"/>
  <c r="AF143" i="1"/>
  <c r="V143" i="1"/>
  <c r="R143" i="1"/>
  <c r="Q143" i="1"/>
  <c r="P143" i="1"/>
  <c r="O143" i="1"/>
  <c r="N143" i="1"/>
  <c r="M143" i="1"/>
  <c r="L143" i="1"/>
  <c r="G143" i="1"/>
  <c r="F143" i="1"/>
  <c r="E143" i="1"/>
  <c r="D143" i="1"/>
  <c r="C143" i="1"/>
  <c r="B143" i="1"/>
  <c r="AH142" i="1"/>
  <c r="AG142" i="1"/>
  <c r="AF142" i="1"/>
  <c r="AC142" i="1"/>
  <c r="AB142" i="1"/>
  <c r="X142" i="1"/>
  <c r="W142" i="1"/>
  <c r="V142" i="1"/>
  <c r="S142" i="1"/>
  <c r="R142" i="1"/>
  <c r="Q142" i="1"/>
  <c r="P142" i="1"/>
  <c r="O142" i="1"/>
  <c r="N142" i="1"/>
  <c r="M142" i="1"/>
  <c r="L142" i="1"/>
  <c r="D142" i="1"/>
  <c r="C142" i="1"/>
  <c r="B142" i="1"/>
  <c r="AF141" i="1"/>
  <c r="AD141" i="1"/>
  <c r="AB141" i="1"/>
  <c r="AA141" i="1"/>
  <c r="Z141" i="1"/>
  <c r="Y141" i="1"/>
  <c r="X141" i="1"/>
  <c r="W141" i="1"/>
  <c r="V141" i="1"/>
  <c r="N141" i="1"/>
  <c r="M141" i="1"/>
  <c r="L141" i="1"/>
  <c r="J141" i="1"/>
  <c r="I141" i="1"/>
  <c r="H141" i="1"/>
  <c r="G141" i="1"/>
  <c r="F141" i="1"/>
  <c r="E141" i="1"/>
  <c r="D141" i="1"/>
  <c r="C141" i="1"/>
  <c r="B141" i="1"/>
  <c r="AH140" i="1"/>
  <c r="AG140" i="1"/>
  <c r="AF140" i="1"/>
  <c r="AA140" i="1"/>
  <c r="X140" i="1"/>
  <c r="W140" i="1"/>
  <c r="V140" i="1"/>
  <c r="P140" i="1"/>
  <c r="O140" i="1"/>
  <c r="N140" i="1"/>
  <c r="M140" i="1"/>
  <c r="L140" i="1"/>
  <c r="E140" i="1"/>
  <c r="D140" i="1"/>
  <c r="C140" i="1"/>
  <c r="B140" i="1"/>
  <c r="AG139" i="1"/>
  <c r="AF139" i="1"/>
  <c r="V139" i="1"/>
  <c r="N139" i="1"/>
  <c r="M139" i="1"/>
  <c r="L139" i="1"/>
  <c r="E139" i="1"/>
  <c r="D139" i="1"/>
  <c r="C139" i="1"/>
  <c r="B139" i="1"/>
  <c r="AG138" i="1"/>
  <c r="AF138" i="1"/>
  <c r="AB138" i="1"/>
  <c r="AA138" i="1"/>
  <c r="Z138" i="1"/>
  <c r="Y138" i="1"/>
  <c r="X138" i="1"/>
  <c r="W138" i="1"/>
  <c r="V138" i="1"/>
  <c r="O138" i="1"/>
  <c r="N138" i="1"/>
  <c r="M138" i="1"/>
  <c r="L138" i="1"/>
  <c r="E138" i="1"/>
  <c r="D138" i="1"/>
  <c r="C138" i="1"/>
  <c r="B138" i="1"/>
  <c r="AH137" i="1"/>
  <c r="AG137" i="1"/>
  <c r="AF137" i="1"/>
  <c r="W137" i="1"/>
  <c r="V137" i="1"/>
  <c r="Q137" i="1"/>
  <c r="P137" i="1"/>
  <c r="O137" i="1"/>
  <c r="N137" i="1"/>
  <c r="M137" i="1"/>
  <c r="L137" i="1"/>
  <c r="G137" i="1"/>
  <c r="F137" i="1"/>
  <c r="E137" i="1"/>
  <c r="D137" i="1"/>
  <c r="C137" i="1"/>
  <c r="B137" i="1"/>
  <c r="AH136" i="1"/>
  <c r="AG136" i="1"/>
  <c r="AF136" i="1"/>
  <c r="Y136" i="1"/>
  <c r="X136" i="1"/>
  <c r="W136" i="1"/>
  <c r="V136" i="1"/>
  <c r="T136" i="1"/>
  <c r="S136" i="1"/>
  <c r="R136" i="1"/>
  <c r="Q136" i="1"/>
  <c r="P136" i="1"/>
  <c r="O136" i="1"/>
  <c r="N136" i="1"/>
  <c r="M136" i="1"/>
  <c r="L136" i="1"/>
  <c r="E136" i="1"/>
  <c r="D136" i="1"/>
  <c r="C136" i="1"/>
  <c r="B136" i="1"/>
  <c r="AH135" i="1"/>
  <c r="AG135" i="1"/>
  <c r="AF135" i="1"/>
  <c r="X135" i="1"/>
  <c r="W135" i="1"/>
  <c r="V135" i="1"/>
  <c r="O135" i="1"/>
  <c r="N135" i="1"/>
  <c r="M135" i="1"/>
  <c r="L135" i="1"/>
  <c r="G135" i="1"/>
  <c r="F135" i="1"/>
  <c r="E135" i="1"/>
  <c r="D135" i="1"/>
  <c r="C135" i="1"/>
  <c r="B135" i="1"/>
  <c r="AH134" i="1"/>
  <c r="AG134" i="1"/>
  <c r="AF134" i="1"/>
  <c r="W134" i="1"/>
  <c r="V134" i="1"/>
  <c r="M134" i="1"/>
  <c r="L134" i="1"/>
  <c r="D134" i="1"/>
  <c r="C134" i="1"/>
  <c r="B134" i="1"/>
  <c r="AH133" i="1"/>
  <c r="AF133" i="1"/>
  <c r="V133" i="1"/>
  <c r="P133" i="1"/>
  <c r="O133" i="1"/>
  <c r="N133" i="1"/>
  <c r="M133" i="1"/>
  <c r="L133" i="1"/>
  <c r="D133" i="1"/>
  <c r="C133" i="1"/>
  <c r="B133" i="1"/>
  <c r="AH132" i="1"/>
  <c r="AG132" i="1"/>
  <c r="AF132" i="1"/>
  <c r="AB132" i="1"/>
  <c r="AA132" i="1"/>
  <c r="Z132" i="1"/>
  <c r="Y132" i="1"/>
  <c r="X132" i="1"/>
  <c r="W132" i="1"/>
  <c r="V132" i="1"/>
  <c r="O132" i="1"/>
  <c r="N132" i="1"/>
  <c r="M132" i="1"/>
  <c r="L132" i="1"/>
  <c r="D132" i="1"/>
  <c r="C132" i="1"/>
  <c r="B132" i="1"/>
  <c r="AH131" i="1"/>
  <c r="AG131" i="1"/>
  <c r="AF131" i="1"/>
  <c r="Z131" i="1"/>
  <c r="Y131" i="1"/>
  <c r="X131" i="1"/>
  <c r="W131" i="1"/>
  <c r="V131" i="1"/>
  <c r="P131" i="1"/>
  <c r="O131" i="1"/>
  <c r="N131" i="1"/>
  <c r="M131" i="1"/>
  <c r="L131" i="1"/>
  <c r="J131" i="1"/>
  <c r="I131" i="1"/>
  <c r="H131" i="1"/>
  <c r="G131" i="1"/>
  <c r="F131" i="1"/>
  <c r="E131" i="1"/>
  <c r="D131" i="1"/>
  <c r="C131" i="1"/>
  <c r="B131" i="1"/>
  <c r="AG130" i="1"/>
  <c r="AF130" i="1"/>
  <c r="Y130" i="1"/>
  <c r="X130" i="1"/>
  <c r="W130" i="1"/>
  <c r="V130" i="1"/>
  <c r="M130" i="1"/>
  <c r="L130" i="1"/>
  <c r="F130" i="1"/>
  <c r="E130" i="1"/>
  <c r="D130" i="1"/>
  <c r="C130" i="1"/>
  <c r="B130" i="1"/>
  <c r="Y129" i="1"/>
  <c r="X129" i="1"/>
  <c r="W129" i="1"/>
  <c r="V129" i="1"/>
  <c r="P129" i="1"/>
  <c r="O129" i="1"/>
  <c r="N129" i="1"/>
  <c r="M129" i="1"/>
  <c r="L129" i="1"/>
  <c r="C129" i="1"/>
  <c r="B129" i="1"/>
  <c r="AH128" i="1"/>
  <c r="AG128" i="1"/>
  <c r="AF128" i="1"/>
  <c r="AA128" i="1"/>
  <c r="Z128" i="1"/>
  <c r="Y128" i="1"/>
  <c r="X128" i="1"/>
  <c r="W128" i="1"/>
  <c r="V128" i="1"/>
  <c r="Q128" i="1"/>
  <c r="P128" i="1"/>
  <c r="O128" i="1"/>
  <c r="N128" i="1"/>
  <c r="M128" i="1"/>
  <c r="L128" i="1"/>
  <c r="G128" i="1"/>
  <c r="F128" i="1"/>
  <c r="E128" i="1"/>
  <c r="D128" i="1"/>
  <c r="C128" i="1"/>
  <c r="B128" i="1"/>
  <c r="AG127" i="1"/>
  <c r="AF127" i="1"/>
  <c r="AD127" i="1"/>
  <c r="AC127" i="1"/>
  <c r="AB127" i="1"/>
  <c r="AA127" i="1"/>
  <c r="Z127" i="1"/>
  <c r="Y127" i="1"/>
  <c r="X127" i="1"/>
  <c r="W127" i="1"/>
  <c r="V127" i="1"/>
  <c r="P127" i="1"/>
  <c r="O127" i="1"/>
  <c r="N127" i="1"/>
  <c r="M127" i="1"/>
  <c r="L127" i="1"/>
  <c r="C127" i="1"/>
  <c r="B127" i="1"/>
  <c r="AH126" i="1"/>
  <c r="AG126" i="1"/>
  <c r="AF126" i="1"/>
  <c r="Z126" i="1"/>
  <c r="Y126" i="1"/>
  <c r="X126" i="1"/>
  <c r="W126" i="1"/>
  <c r="V126" i="1"/>
  <c r="T126" i="1"/>
  <c r="S126" i="1"/>
  <c r="R126" i="1"/>
  <c r="Q126" i="1"/>
  <c r="P126" i="1"/>
  <c r="O126" i="1"/>
  <c r="N126" i="1"/>
  <c r="M126" i="1"/>
  <c r="L126" i="1"/>
  <c r="I126" i="1"/>
  <c r="H126" i="1"/>
  <c r="G126" i="1"/>
  <c r="F126" i="1"/>
  <c r="E126" i="1"/>
  <c r="D126" i="1"/>
  <c r="C126" i="1"/>
  <c r="B126" i="1"/>
  <c r="AH125" i="1"/>
  <c r="AG125" i="1"/>
  <c r="AF125" i="1"/>
  <c r="Z125" i="1"/>
  <c r="Y125" i="1"/>
  <c r="X125" i="1"/>
  <c r="W125" i="1"/>
  <c r="V125" i="1"/>
  <c r="P125" i="1"/>
  <c r="O125" i="1"/>
  <c r="N125" i="1"/>
  <c r="M125" i="1"/>
  <c r="L125" i="1"/>
  <c r="G125" i="1"/>
  <c r="F125" i="1"/>
  <c r="E125" i="1"/>
  <c r="D125" i="1"/>
  <c r="C125" i="1"/>
  <c r="B125" i="1"/>
  <c r="AH124" i="1"/>
  <c r="AG124" i="1"/>
  <c r="AF124" i="1"/>
  <c r="W124" i="1"/>
  <c r="V124" i="1"/>
  <c r="P124" i="1"/>
  <c r="O124" i="1"/>
  <c r="N124" i="1"/>
  <c r="M124" i="1"/>
  <c r="L124" i="1"/>
  <c r="G124" i="1"/>
  <c r="F124" i="1"/>
  <c r="E124" i="1"/>
  <c r="D124" i="1"/>
  <c r="C124" i="1"/>
  <c r="B124" i="1"/>
  <c r="AH123" i="1"/>
  <c r="AG123" i="1"/>
  <c r="AF123" i="1"/>
  <c r="AC123" i="1"/>
  <c r="AB123" i="1"/>
  <c r="AA123" i="1"/>
  <c r="Z123" i="1"/>
  <c r="Y123" i="1"/>
  <c r="X123" i="1"/>
  <c r="W123" i="1"/>
  <c r="V123" i="1"/>
  <c r="R123" i="1"/>
  <c r="Q123" i="1"/>
  <c r="P123" i="1"/>
  <c r="O123" i="1"/>
  <c r="N123" i="1"/>
  <c r="M123" i="1"/>
  <c r="L123" i="1"/>
  <c r="H123" i="1"/>
  <c r="G123" i="1"/>
  <c r="F123" i="1"/>
  <c r="E123" i="1"/>
  <c r="D123" i="1"/>
  <c r="C123" i="1"/>
  <c r="B123" i="1"/>
  <c r="AH122" i="1"/>
  <c r="AG122" i="1"/>
  <c r="AF122" i="1"/>
  <c r="W122" i="1"/>
  <c r="V122" i="1"/>
  <c r="P122" i="1"/>
  <c r="O122" i="1"/>
  <c r="N122" i="1"/>
  <c r="M122" i="1"/>
  <c r="L122" i="1"/>
  <c r="H122" i="1"/>
  <c r="G122" i="1"/>
  <c r="F122" i="1"/>
  <c r="E122" i="1"/>
  <c r="D122" i="1"/>
  <c r="C122" i="1"/>
  <c r="B122" i="1"/>
  <c r="AH121" i="1"/>
  <c r="AG121" i="1"/>
  <c r="AF121" i="1"/>
  <c r="W121" i="1"/>
  <c r="V121" i="1"/>
  <c r="O121" i="1"/>
  <c r="N121" i="1"/>
  <c r="M121" i="1"/>
  <c r="L121" i="1"/>
  <c r="F121" i="1"/>
  <c r="E121" i="1"/>
  <c r="D121" i="1"/>
  <c r="C121" i="1"/>
  <c r="B121" i="1"/>
  <c r="AH120" i="1"/>
  <c r="AG120" i="1"/>
  <c r="AF120" i="1"/>
  <c r="X120" i="1"/>
  <c r="W120" i="1"/>
  <c r="V120" i="1"/>
  <c r="M120" i="1"/>
  <c r="L120" i="1"/>
  <c r="I120" i="1"/>
  <c r="H120" i="1"/>
  <c r="G120" i="1"/>
  <c r="F120" i="1"/>
  <c r="E120" i="1"/>
  <c r="D120" i="1"/>
  <c r="C120" i="1"/>
  <c r="B120" i="1"/>
  <c r="AH119" i="1"/>
  <c r="AG119" i="1"/>
  <c r="AF119" i="1"/>
  <c r="Y119" i="1"/>
  <c r="X119" i="1"/>
  <c r="W119" i="1"/>
  <c r="V119" i="1"/>
  <c r="O119" i="1"/>
  <c r="N119" i="1"/>
  <c r="M119" i="1"/>
  <c r="L119" i="1"/>
  <c r="D119" i="1"/>
  <c r="C119" i="1"/>
  <c r="B119" i="1"/>
  <c r="AG118" i="1"/>
  <c r="AF118" i="1"/>
  <c r="X118" i="1"/>
  <c r="W118" i="1"/>
  <c r="V118" i="1"/>
  <c r="N118" i="1"/>
  <c r="M118" i="1"/>
  <c r="L118" i="1"/>
  <c r="H118" i="1"/>
  <c r="G118" i="1"/>
  <c r="F118" i="1"/>
  <c r="E118" i="1"/>
  <c r="D118" i="1"/>
  <c r="C118" i="1"/>
  <c r="B118" i="1"/>
  <c r="AH117" i="1"/>
  <c r="AG117" i="1"/>
  <c r="AF117" i="1"/>
  <c r="X117" i="1"/>
  <c r="W117" i="1"/>
  <c r="V117" i="1"/>
  <c r="Q117" i="1"/>
  <c r="P117" i="1"/>
  <c r="O117" i="1"/>
  <c r="N117" i="1"/>
  <c r="M117" i="1"/>
  <c r="L117" i="1"/>
  <c r="C117" i="1"/>
  <c r="B117" i="1"/>
  <c r="AH116" i="1"/>
  <c r="AG116" i="1"/>
  <c r="AF116" i="1"/>
  <c r="W116" i="1"/>
  <c r="V116" i="1"/>
  <c r="P116" i="1"/>
  <c r="O116" i="1"/>
  <c r="N116" i="1"/>
  <c r="M116" i="1"/>
  <c r="L116" i="1"/>
  <c r="H116" i="1"/>
  <c r="G116" i="1"/>
  <c r="F116" i="1"/>
  <c r="E116" i="1"/>
  <c r="D116" i="1"/>
  <c r="C116" i="1"/>
  <c r="B116" i="1"/>
  <c r="AH115" i="1"/>
  <c r="AG115" i="1"/>
  <c r="AF115" i="1"/>
  <c r="X115" i="1"/>
  <c r="W115" i="1"/>
  <c r="V115" i="1"/>
  <c r="N115" i="1"/>
  <c r="M115" i="1"/>
  <c r="L115" i="1"/>
  <c r="D115" i="1"/>
  <c r="C115" i="1"/>
  <c r="B115" i="1"/>
  <c r="AH114" i="1"/>
  <c r="AG114" i="1"/>
  <c r="AF114" i="1"/>
  <c r="V114" i="1"/>
  <c r="P114" i="1"/>
  <c r="O114" i="1"/>
  <c r="N114" i="1"/>
  <c r="M114" i="1"/>
  <c r="L114" i="1"/>
  <c r="G114" i="1"/>
  <c r="F114" i="1"/>
  <c r="B114" i="1"/>
  <c r="AH113" i="1"/>
  <c r="AG113" i="1"/>
  <c r="AF113" i="1"/>
  <c r="Z113" i="1"/>
  <c r="Y113" i="1"/>
  <c r="X113" i="1"/>
  <c r="W113" i="1"/>
  <c r="V113" i="1"/>
  <c r="P113" i="1"/>
  <c r="O113" i="1"/>
  <c r="N113" i="1"/>
  <c r="M113" i="1"/>
  <c r="L113" i="1"/>
  <c r="J113" i="1"/>
  <c r="I113" i="1"/>
  <c r="H113" i="1"/>
  <c r="G113" i="1"/>
  <c r="F113" i="1"/>
  <c r="E113" i="1"/>
  <c r="D113" i="1"/>
  <c r="C113" i="1"/>
  <c r="B113" i="1"/>
  <c r="AH112" i="1"/>
  <c r="AG112" i="1"/>
  <c r="AF112" i="1"/>
  <c r="L112" i="1"/>
  <c r="C112" i="1"/>
  <c r="B112" i="1"/>
  <c r="AH111" i="1"/>
  <c r="AG111" i="1"/>
  <c r="AF111" i="1"/>
  <c r="W111" i="1"/>
  <c r="V111" i="1"/>
  <c r="Q111" i="1"/>
  <c r="P111" i="1"/>
  <c r="O111" i="1"/>
  <c r="N111" i="1"/>
  <c r="M111" i="1"/>
  <c r="L111" i="1"/>
  <c r="I111" i="1"/>
  <c r="H111" i="1"/>
  <c r="G111" i="1"/>
  <c r="F111" i="1"/>
  <c r="E111" i="1"/>
  <c r="D111" i="1"/>
  <c r="C111" i="1"/>
  <c r="B111" i="1"/>
  <c r="AH110" i="1"/>
  <c r="AG110" i="1"/>
  <c r="AF110" i="1"/>
  <c r="AC110" i="1"/>
  <c r="AA110" i="1"/>
  <c r="Z110" i="1"/>
  <c r="Y110" i="1"/>
  <c r="X110" i="1"/>
  <c r="W110" i="1"/>
  <c r="V110" i="1"/>
  <c r="N110" i="1"/>
  <c r="M110" i="1"/>
  <c r="L110" i="1"/>
  <c r="D110" i="1"/>
  <c r="C110" i="1"/>
  <c r="B110" i="1"/>
  <c r="AH109" i="1"/>
  <c r="AG109" i="1"/>
  <c r="AF109" i="1"/>
  <c r="X109" i="1"/>
  <c r="W109" i="1"/>
  <c r="V109" i="1"/>
  <c r="M109" i="1"/>
  <c r="L109" i="1"/>
  <c r="F109" i="1"/>
  <c r="E109" i="1"/>
  <c r="D109" i="1"/>
  <c r="C109" i="1"/>
  <c r="B109" i="1"/>
  <c r="AH108" i="1"/>
  <c r="AG108" i="1"/>
  <c r="AF108" i="1"/>
  <c r="AA108" i="1"/>
  <c r="Z108" i="1"/>
  <c r="Y108" i="1"/>
  <c r="X108" i="1"/>
  <c r="W108" i="1"/>
  <c r="V108" i="1"/>
  <c r="R108" i="1"/>
  <c r="Q108" i="1"/>
  <c r="P108" i="1"/>
  <c r="O108" i="1"/>
  <c r="N108" i="1"/>
  <c r="M108" i="1"/>
  <c r="L108" i="1"/>
  <c r="D108" i="1"/>
  <c r="C108" i="1"/>
  <c r="B108" i="1"/>
  <c r="AH107" i="1"/>
  <c r="AG107" i="1"/>
  <c r="AF107" i="1"/>
  <c r="V107" i="1"/>
  <c r="R107" i="1"/>
  <c r="Q107" i="1"/>
  <c r="P107" i="1"/>
  <c r="O107" i="1"/>
  <c r="N107" i="1"/>
  <c r="M107" i="1"/>
  <c r="L107" i="1"/>
  <c r="H107" i="1"/>
  <c r="G107" i="1"/>
  <c r="F107" i="1"/>
  <c r="E107" i="1"/>
  <c r="D107" i="1"/>
  <c r="C107" i="1"/>
  <c r="B107" i="1"/>
  <c r="AH106" i="1"/>
  <c r="AG106" i="1"/>
  <c r="AF106" i="1"/>
  <c r="W106" i="1"/>
  <c r="V106" i="1"/>
  <c r="N106" i="1"/>
  <c r="M106" i="1"/>
  <c r="L106" i="1"/>
  <c r="H106" i="1"/>
  <c r="G106" i="1"/>
  <c r="F106" i="1"/>
  <c r="E106" i="1"/>
  <c r="D106" i="1"/>
  <c r="C106" i="1"/>
  <c r="B106" i="1"/>
  <c r="AG105" i="1"/>
  <c r="AF105" i="1"/>
  <c r="V105" i="1"/>
  <c r="Q105" i="1"/>
  <c r="P105" i="1"/>
  <c r="O105" i="1"/>
  <c r="N105" i="1"/>
  <c r="M105" i="1"/>
  <c r="L105" i="1"/>
  <c r="D105" i="1"/>
  <c r="C105" i="1"/>
  <c r="B105" i="1"/>
  <c r="AH104" i="1"/>
  <c r="AG104" i="1"/>
  <c r="AF104" i="1"/>
  <c r="W104" i="1"/>
  <c r="V104" i="1"/>
  <c r="N104" i="1"/>
  <c r="M104" i="1"/>
  <c r="L104" i="1"/>
  <c r="H104" i="1"/>
  <c r="G104" i="1"/>
  <c r="F104" i="1"/>
  <c r="E104" i="1"/>
  <c r="D104" i="1"/>
  <c r="C104" i="1"/>
  <c r="B104" i="1"/>
  <c r="AH103" i="1"/>
  <c r="AG103" i="1"/>
  <c r="AF103" i="1"/>
  <c r="W103" i="1"/>
  <c r="V103" i="1"/>
  <c r="R103" i="1"/>
  <c r="Q103" i="1"/>
  <c r="P103" i="1"/>
  <c r="O103" i="1"/>
  <c r="N103" i="1"/>
  <c r="M103" i="1"/>
  <c r="L103" i="1"/>
  <c r="D103" i="1"/>
  <c r="C103" i="1"/>
  <c r="B103" i="1"/>
  <c r="AH102" i="1"/>
  <c r="AG102" i="1"/>
  <c r="AF102" i="1"/>
  <c r="X102" i="1"/>
  <c r="W102" i="1"/>
  <c r="V102" i="1"/>
  <c r="P102" i="1"/>
  <c r="O102" i="1"/>
  <c r="N102" i="1"/>
  <c r="M102" i="1"/>
  <c r="L102" i="1"/>
  <c r="G102" i="1"/>
  <c r="F102" i="1"/>
  <c r="E102" i="1"/>
  <c r="D102" i="1"/>
  <c r="C102" i="1"/>
  <c r="B102" i="1"/>
  <c r="AH101" i="1"/>
  <c r="AG101" i="1"/>
  <c r="AF101" i="1"/>
  <c r="X101" i="1"/>
  <c r="W101" i="1"/>
  <c r="V101" i="1"/>
  <c r="O101" i="1"/>
  <c r="N101" i="1"/>
  <c r="M101" i="1"/>
  <c r="L101" i="1"/>
  <c r="G101" i="1"/>
  <c r="F101" i="1"/>
  <c r="E101" i="1"/>
  <c r="D101" i="1"/>
  <c r="C101" i="1"/>
  <c r="B101" i="1"/>
  <c r="AH100" i="1"/>
  <c r="AG100" i="1"/>
  <c r="AF100" i="1"/>
  <c r="W100" i="1"/>
  <c r="V100" i="1"/>
  <c r="R100" i="1"/>
  <c r="Q100" i="1"/>
  <c r="P100" i="1"/>
  <c r="O100" i="1"/>
  <c r="N100" i="1"/>
  <c r="M100" i="1"/>
  <c r="L100" i="1"/>
  <c r="E100" i="1"/>
  <c r="D100" i="1"/>
  <c r="C100" i="1"/>
  <c r="B100" i="1"/>
  <c r="AG99" i="1"/>
  <c r="AF99" i="1"/>
  <c r="AA99" i="1"/>
  <c r="Z99" i="1"/>
  <c r="Y99" i="1"/>
  <c r="X99" i="1"/>
  <c r="W99" i="1"/>
  <c r="V99" i="1"/>
  <c r="R99" i="1"/>
  <c r="Q99" i="1"/>
  <c r="P99" i="1"/>
  <c r="O99" i="1"/>
  <c r="N99" i="1"/>
  <c r="M99" i="1"/>
  <c r="L99" i="1"/>
  <c r="F99" i="1"/>
  <c r="E99" i="1"/>
  <c r="D99" i="1"/>
  <c r="C99" i="1"/>
  <c r="B99" i="1"/>
  <c r="AH98" i="1"/>
  <c r="AG98" i="1"/>
  <c r="AF98" i="1"/>
  <c r="W98" i="1"/>
  <c r="V98" i="1"/>
  <c r="Q98" i="1"/>
  <c r="P98" i="1"/>
  <c r="O98" i="1"/>
  <c r="N98" i="1"/>
  <c r="M98" i="1"/>
  <c r="L98" i="1"/>
  <c r="F98" i="1"/>
  <c r="E98" i="1"/>
  <c r="D98" i="1"/>
  <c r="C98" i="1"/>
  <c r="B98" i="1"/>
  <c r="AG97" i="1"/>
  <c r="AF97" i="1"/>
  <c r="W97" i="1"/>
  <c r="V97" i="1"/>
  <c r="R97" i="1"/>
  <c r="P97" i="1"/>
  <c r="O97" i="1"/>
  <c r="N97" i="1"/>
  <c r="M97" i="1"/>
  <c r="L97" i="1"/>
  <c r="H97" i="1"/>
  <c r="G97" i="1"/>
  <c r="F97" i="1"/>
  <c r="E97" i="1"/>
  <c r="D97" i="1"/>
  <c r="C97" i="1"/>
  <c r="B97" i="1"/>
  <c r="AH96" i="1"/>
  <c r="AG96" i="1"/>
  <c r="AF96" i="1"/>
  <c r="Y96" i="1"/>
  <c r="X96" i="1"/>
  <c r="W96" i="1"/>
  <c r="V96" i="1"/>
  <c r="Q96" i="1"/>
  <c r="P96" i="1"/>
  <c r="O96" i="1"/>
  <c r="N96" i="1"/>
  <c r="M96" i="1"/>
  <c r="L96" i="1"/>
  <c r="D96" i="1"/>
  <c r="C96" i="1"/>
  <c r="B96" i="1"/>
  <c r="AH95" i="1"/>
  <c r="AG95" i="1"/>
  <c r="AF95" i="1"/>
  <c r="Y95" i="1"/>
  <c r="X95" i="1"/>
  <c r="W95" i="1"/>
  <c r="V95" i="1"/>
  <c r="O95" i="1"/>
  <c r="N95" i="1"/>
  <c r="M95" i="1"/>
  <c r="L95" i="1"/>
  <c r="G95" i="1"/>
  <c r="F95" i="1"/>
  <c r="E95" i="1"/>
  <c r="D95" i="1"/>
  <c r="C95" i="1"/>
  <c r="B95" i="1"/>
  <c r="AH94" i="1"/>
  <c r="AG94" i="1"/>
  <c r="AF94" i="1"/>
  <c r="Y94" i="1"/>
  <c r="X94" i="1"/>
  <c r="W94" i="1"/>
  <c r="V94" i="1"/>
  <c r="R94" i="1"/>
  <c r="Q94" i="1"/>
  <c r="P94" i="1"/>
  <c r="O94" i="1"/>
  <c r="N94" i="1"/>
  <c r="M94" i="1"/>
  <c r="L94" i="1"/>
  <c r="H94" i="1"/>
  <c r="G94" i="1"/>
  <c r="F94" i="1"/>
  <c r="E94" i="1"/>
  <c r="D94" i="1"/>
  <c r="C94" i="1"/>
  <c r="B94" i="1"/>
  <c r="AH93" i="1"/>
  <c r="AG93" i="1"/>
  <c r="AF93" i="1"/>
  <c r="AA93" i="1"/>
  <c r="Z93" i="1"/>
  <c r="Y93" i="1"/>
  <c r="X93" i="1"/>
  <c r="W93" i="1"/>
  <c r="V93" i="1"/>
  <c r="N93" i="1"/>
  <c r="M93" i="1"/>
  <c r="L93" i="1"/>
  <c r="H93" i="1"/>
  <c r="G93" i="1"/>
  <c r="F93" i="1"/>
  <c r="E93" i="1"/>
  <c r="D93" i="1"/>
  <c r="C93" i="1"/>
  <c r="B93" i="1"/>
  <c r="AF92" i="1"/>
  <c r="V92" i="1"/>
  <c r="P92" i="1"/>
  <c r="O92" i="1"/>
  <c r="N92" i="1"/>
  <c r="M92" i="1"/>
  <c r="L92" i="1"/>
  <c r="F92" i="1"/>
  <c r="E92" i="1"/>
  <c r="D92" i="1"/>
  <c r="C92" i="1"/>
  <c r="B92" i="1"/>
  <c r="AH91" i="1"/>
  <c r="AG91" i="1"/>
  <c r="AF91" i="1"/>
  <c r="W91" i="1"/>
  <c r="V91" i="1"/>
  <c r="N91" i="1"/>
  <c r="M91" i="1"/>
  <c r="L91" i="1"/>
  <c r="J91" i="1"/>
  <c r="I91" i="1"/>
  <c r="H91" i="1"/>
  <c r="G91" i="1"/>
  <c r="F91" i="1"/>
  <c r="E91" i="1"/>
  <c r="D91" i="1"/>
  <c r="C91" i="1"/>
  <c r="B91" i="1"/>
  <c r="AH90" i="1"/>
  <c r="AG90" i="1"/>
  <c r="AF90" i="1"/>
  <c r="W90" i="1"/>
  <c r="V90" i="1"/>
  <c r="N90" i="1"/>
  <c r="M90" i="1"/>
  <c r="L90" i="1"/>
  <c r="G90" i="1"/>
  <c r="F90" i="1"/>
  <c r="E90" i="1"/>
  <c r="D90" i="1"/>
  <c r="C90" i="1"/>
  <c r="B90" i="1"/>
  <c r="AH89" i="1"/>
  <c r="AG89" i="1"/>
  <c r="AF89" i="1"/>
  <c r="X89" i="1"/>
  <c r="W89" i="1"/>
  <c r="V89" i="1"/>
  <c r="N89" i="1"/>
  <c r="M89" i="1"/>
  <c r="L89" i="1"/>
  <c r="G89" i="1"/>
  <c r="F89" i="1"/>
  <c r="E89" i="1"/>
  <c r="D89" i="1"/>
  <c r="C89" i="1"/>
  <c r="B89" i="1"/>
  <c r="AH88" i="1"/>
  <c r="AG88" i="1"/>
  <c r="AF88" i="1"/>
  <c r="V88" i="1"/>
  <c r="N88" i="1"/>
  <c r="M88" i="1"/>
  <c r="L88" i="1"/>
  <c r="D88" i="1"/>
  <c r="C88" i="1"/>
  <c r="B88" i="1"/>
  <c r="AG87" i="1"/>
  <c r="AF87" i="1"/>
  <c r="AA87" i="1"/>
  <c r="Z87" i="1"/>
  <c r="Y87" i="1"/>
  <c r="X87" i="1"/>
  <c r="W87" i="1"/>
  <c r="V87" i="1"/>
  <c r="L87" i="1"/>
  <c r="D87" i="1"/>
  <c r="C87" i="1"/>
  <c r="B87" i="1"/>
  <c r="AH86" i="1"/>
  <c r="AG86" i="1"/>
  <c r="AF86" i="1"/>
  <c r="Z86" i="1"/>
  <c r="Y86" i="1"/>
  <c r="X86" i="1"/>
  <c r="W86" i="1"/>
  <c r="V86" i="1"/>
  <c r="Q86" i="1"/>
  <c r="P86" i="1"/>
  <c r="O86" i="1"/>
  <c r="N86" i="1"/>
  <c r="M86" i="1"/>
  <c r="L86" i="1"/>
  <c r="F86" i="1"/>
  <c r="E86" i="1"/>
  <c r="D86" i="1"/>
  <c r="C86" i="1"/>
  <c r="B86" i="1"/>
  <c r="AH85" i="1"/>
  <c r="AG85" i="1"/>
  <c r="AF85" i="1"/>
  <c r="AA85" i="1"/>
  <c r="Y85" i="1"/>
  <c r="X85" i="1"/>
  <c r="W85" i="1"/>
  <c r="V85" i="1"/>
  <c r="P85" i="1"/>
  <c r="O85" i="1"/>
  <c r="N85" i="1"/>
  <c r="M85" i="1"/>
  <c r="L85" i="1"/>
  <c r="G85" i="1"/>
  <c r="F85" i="1"/>
  <c r="E85" i="1"/>
  <c r="D85" i="1"/>
  <c r="C85" i="1"/>
  <c r="B85" i="1"/>
  <c r="AH84" i="1"/>
  <c r="AG84" i="1"/>
  <c r="AF84" i="1"/>
  <c r="Y84" i="1"/>
  <c r="X84" i="1"/>
  <c r="W84" i="1"/>
  <c r="V84" i="1"/>
  <c r="P84" i="1"/>
  <c r="O84" i="1"/>
  <c r="N84" i="1"/>
  <c r="M84" i="1"/>
  <c r="L84" i="1"/>
  <c r="F84" i="1"/>
  <c r="E84" i="1"/>
  <c r="D84" i="1"/>
  <c r="C84" i="1"/>
  <c r="B84" i="1"/>
  <c r="AH83" i="1"/>
  <c r="AG83" i="1"/>
  <c r="AF83" i="1"/>
  <c r="W83" i="1"/>
  <c r="V83" i="1"/>
  <c r="O83" i="1"/>
  <c r="N83" i="1"/>
  <c r="M83" i="1"/>
  <c r="L83" i="1"/>
  <c r="H83" i="1"/>
  <c r="G83" i="1"/>
  <c r="F83" i="1"/>
  <c r="E83" i="1"/>
  <c r="D83" i="1"/>
  <c r="C83" i="1"/>
  <c r="B83" i="1"/>
  <c r="AH82" i="1"/>
  <c r="AG82" i="1"/>
  <c r="AF82" i="1"/>
  <c r="X82" i="1"/>
  <c r="W82" i="1"/>
  <c r="V82" i="1"/>
  <c r="R82" i="1"/>
  <c r="Q82" i="1"/>
  <c r="P82" i="1"/>
  <c r="O82" i="1"/>
  <c r="N82" i="1"/>
  <c r="M82" i="1"/>
  <c r="L82" i="1"/>
  <c r="H82" i="1"/>
  <c r="G82" i="1"/>
  <c r="F82" i="1"/>
  <c r="E82" i="1"/>
  <c r="D82" i="1"/>
  <c r="C82" i="1"/>
  <c r="B82" i="1"/>
  <c r="AH81" i="1"/>
  <c r="AG81" i="1"/>
  <c r="AF81" i="1"/>
  <c r="AB81" i="1"/>
  <c r="AA81" i="1"/>
  <c r="Z81" i="1"/>
  <c r="Y81" i="1"/>
  <c r="X81" i="1"/>
  <c r="W81" i="1"/>
  <c r="V81" i="1"/>
  <c r="Q81" i="1"/>
  <c r="P81" i="1"/>
  <c r="O81" i="1"/>
  <c r="N81" i="1"/>
  <c r="M81" i="1"/>
  <c r="L81" i="1"/>
  <c r="G81" i="1"/>
  <c r="F81" i="1"/>
  <c r="E81" i="1"/>
  <c r="D81" i="1"/>
  <c r="C81" i="1"/>
  <c r="B81" i="1"/>
  <c r="AH80" i="1"/>
  <c r="AG80" i="1"/>
  <c r="AF80" i="1"/>
  <c r="V80" i="1"/>
  <c r="P80" i="1"/>
  <c r="O80" i="1"/>
  <c r="N80" i="1"/>
  <c r="M80" i="1"/>
  <c r="L80" i="1"/>
  <c r="H80" i="1"/>
  <c r="G80" i="1"/>
  <c r="F80" i="1"/>
  <c r="E80" i="1"/>
  <c r="D80" i="1"/>
  <c r="C80" i="1"/>
  <c r="B80" i="1"/>
  <c r="AH79" i="1"/>
  <c r="AG79" i="1"/>
  <c r="AF79" i="1"/>
  <c r="V79" i="1"/>
  <c r="N79" i="1"/>
  <c r="M79" i="1"/>
  <c r="L79" i="1"/>
  <c r="H79" i="1"/>
  <c r="G79" i="1"/>
  <c r="F79" i="1"/>
  <c r="E79" i="1"/>
  <c r="D79" i="1"/>
  <c r="C79" i="1"/>
  <c r="B79" i="1"/>
  <c r="AH78" i="1"/>
  <c r="AG78" i="1"/>
  <c r="AF78" i="1"/>
  <c r="AB78" i="1"/>
  <c r="AA78" i="1"/>
  <c r="W78" i="1"/>
  <c r="V78" i="1"/>
  <c r="T78" i="1"/>
  <c r="S78" i="1"/>
  <c r="R78" i="1"/>
  <c r="Q78" i="1"/>
  <c r="P78" i="1"/>
  <c r="O78" i="1"/>
  <c r="N78" i="1"/>
  <c r="M78" i="1"/>
  <c r="L78" i="1"/>
  <c r="D78" i="1"/>
  <c r="C78" i="1"/>
  <c r="B78" i="1"/>
  <c r="AH77" i="1"/>
  <c r="AG77" i="1"/>
  <c r="AF77" i="1"/>
  <c r="W77" i="1"/>
  <c r="V77" i="1"/>
  <c r="R77" i="1"/>
  <c r="Q77" i="1"/>
  <c r="P77" i="1"/>
  <c r="O77" i="1"/>
  <c r="N77" i="1"/>
  <c r="M77" i="1"/>
  <c r="L77" i="1"/>
  <c r="F77" i="1"/>
  <c r="E77" i="1"/>
  <c r="D77" i="1"/>
  <c r="C77" i="1"/>
  <c r="B77" i="1"/>
  <c r="AH76" i="1"/>
  <c r="AG76" i="1"/>
  <c r="AF76" i="1"/>
  <c r="X76" i="1"/>
  <c r="W76" i="1"/>
  <c r="V76" i="1"/>
  <c r="T76" i="1"/>
  <c r="P76" i="1"/>
  <c r="O76" i="1"/>
  <c r="N76" i="1"/>
  <c r="M76" i="1"/>
  <c r="L76" i="1"/>
  <c r="D76" i="1"/>
  <c r="C76" i="1"/>
  <c r="B76" i="1"/>
  <c r="AH75" i="1"/>
  <c r="AG75" i="1"/>
  <c r="AF75" i="1"/>
  <c r="X75" i="1"/>
  <c r="W75" i="1"/>
  <c r="V75" i="1"/>
  <c r="N75" i="1"/>
  <c r="M75" i="1"/>
  <c r="L75" i="1"/>
  <c r="D75" i="1"/>
  <c r="C75" i="1"/>
  <c r="B75" i="1"/>
  <c r="AH74" i="1"/>
  <c r="AG74" i="1"/>
  <c r="AF74" i="1"/>
  <c r="Y74" i="1"/>
  <c r="X74" i="1"/>
  <c r="W74" i="1"/>
  <c r="V74" i="1"/>
  <c r="T74" i="1"/>
  <c r="S74" i="1"/>
  <c r="Q74" i="1"/>
  <c r="P74" i="1"/>
  <c r="O74" i="1"/>
  <c r="N74" i="1"/>
  <c r="M74" i="1"/>
  <c r="L74" i="1"/>
  <c r="F74" i="1"/>
  <c r="E74" i="1"/>
  <c r="D74" i="1"/>
  <c r="C74" i="1"/>
  <c r="B74" i="1"/>
  <c r="AH73" i="1"/>
  <c r="AG73" i="1"/>
  <c r="AF73" i="1"/>
  <c r="X73" i="1"/>
  <c r="W73" i="1"/>
  <c r="V73" i="1"/>
  <c r="R73" i="1"/>
  <c r="Q73" i="1"/>
  <c r="P73" i="1"/>
  <c r="O73" i="1"/>
  <c r="N73" i="1"/>
  <c r="M73" i="1"/>
  <c r="L73" i="1"/>
  <c r="F73" i="1"/>
  <c r="E73" i="1"/>
  <c r="D73" i="1"/>
  <c r="C73" i="1"/>
  <c r="B73" i="1"/>
  <c r="AH72" i="1"/>
  <c r="AG72" i="1"/>
  <c r="AF72" i="1"/>
  <c r="Y72" i="1"/>
  <c r="X72" i="1"/>
  <c r="W72" i="1"/>
  <c r="V72" i="1"/>
  <c r="O72" i="1"/>
  <c r="N72" i="1"/>
  <c r="M72" i="1"/>
  <c r="L72" i="1"/>
  <c r="F72" i="1"/>
  <c r="E72" i="1"/>
  <c r="D72" i="1"/>
  <c r="C72" i="1"/>
  <c r="B72" i="1"/>
  <c r="AH71" i="1"/>
  <c r="AG71" i="1"/>
  <c r="AF71" i="1"/>
  <c r="AB71" i="1"/>
  <c r="AA71" i="1"/>
  <c r="Z71" i="1"/>
  <c r="Y71" i="1"/>
  <c r="X71" i="1"/>
  <c r="W71" i="1"/>
  <c r="V71" i="1"/>
  <c r="T71" i="1"/>
  <c r="R71" i="1"/>
  <c r="Q71" i="1"/>
  <c r="P71" i="1"/>
  <c r="O71" i="1"/>
  <c r="N71" i="1"/>
  <c r="M71" i="1"/>
  <c r="L71" i="1"/>
  <c r="F71" i="1"/>
  <c r="E71" i="1"/>
  <c r="D71" i="1"/>
  <c r="C71" i="1"/>
  <c r="B71" i="1"/>
  <c r="AH70" i="1"/>
  <c r="AG70" i="1"/>
  <c r="AF70" i="1"/>
  <c r="W70" i="1"/>
  <c r="V70" i="1"/>
  <c r="Q70" i="1"/>
  <c r="P70" i="1"/>
  <c r="O70" i="1"/>
  <c r="N70" i="1"/>
  <c r="M70" i="1"/>
  <c r="L70" i="1"/>
  <c r="C70" i="1"/>
  <c r="B70" i="1"/>
  <c r="AH69" i="1"/>
  <c r="AG69" i="1"/>
  <c r="AF69" i="1"/>
  <c r="AA69" i="1"/>
  <c r="Z69" i="1"/>
  <c r="Y69" i="1"/>
  <c r="X69" i="1"/>
  <c r="W69" i="1"/>
  <c r="V69" i="1"/>
  <c r="R69" i="1"/>
  <c r="Q69" i="1"/>
  <c r="P69" i="1"/>
  <c r="O69" i="1"/>
  <c r="N69" i="1"/>
  <c r="M69" i="1"/>
  <c r="L69" i="1"/>
  <c r="F69" i="1"/>
  <c r="E69" i="1"/>
  <c r="D69" i="1"/>
  <c r="C69" i="1"/>
  <c r="B69" i="1"/>
  <c r="AH68" i="1"/>
  <c r="AG68" i="1"/>
  <c r="AF68" i="1"/>
  <c r="Y68" i="1"/>
  <c r="X68" i="1"/>
  <c r="W68" i="1"/>
  <c r="V68" i="1"/>
  <c r="R68" i="1"/>
  <c r="Q68" i="1"/>
  <c r="P68" i="1"/>
  <c r="O68" i="1"/>
  <c r="N68" i="1"/>
  <c r="M68" i="1"/>
  <c r="L68" i="1"/>
  <c r="C68" i="1"/>
  <c r="B68" i="1"/>
  <c r="AH67" i="1"/>
  <c r="AG67" i="1"/>
  <c r="AF67" i="1"/>
  <c r="AC67" i="1"/>
  <c r="AA67" i="1"/>
  <c r="Z67" i="1"/>
  <c r="Y67" i="1"/>
  <c r="X67" i="1"/>
  <c r="W67" i="1"/>
  <c r="V67" i="1"/>
  <c r="R67" i="1"/>
  <c r="Q67" i="1"/>
  <c r="P67" i="1"/>
  <c r="O67" i="1"/>
  <c r="N67" i="1"/>
  <c r="M67" i="1"/>
  <c r="L67" i="1"/>
  <c r="H67" i="1"/>
  <c r="G67" i="1"/>
  <c r="F67" i="1"/>
  <c r="E67" i="1"/>
  <c r="D67" i="1"/>
  <c r="C67" i="1"/>
  <c r="B67" i="1"/>
  <c r="AH66" i="1"/>
  <c r="AG66" i="1"/>
  <c r="AF66" i="1"/>
  <c r="AC66" i="1"/>
  <c r="AA66" i="1"/>
  <c r="Z66" i="1"/>
  <c r="Y66" i="1"/>
  <c r="X66" i="1"/>
  <c r="W66" i="1"/>
  <c r="V66" i="1"/>
  <c r="P66" i="1"/>
  <c r="O66" i="1"/>
  <c r="N66" i="1"/>
  <c r="M66" i="1"/>
  <c r="L66" i="1"/>
  <c r="C66" i="1"/>
  <c r="B66" i="1"/>
  <c r="AH65" i="1"/>
  <c r="AG65" i="1"/>
  <c r="AF65" i="1"/>
  <c r="AA65" i="1"/>
  <c r="Z65" i="1"/>
  <c r="Y65" i="1"/>
  <c r="X65" i="1"/>
  <c r="W65" i="1"/>
  <c r="V65" i="1"/>
  <c r="P65" i="1"/>
  <c r="O65" i="1"/>
  <c r="N65" i="1"/>
  <c r="M65" i="1"/>
  <c r="L65" i="1"/>
  <c r="G65" i="1"/>
  <c r="F65" i="1"/>
  <c r="E65" i="1"/>
  <c r="D65" i="1"/>
  <c r="C65" i="1"/>
  <c r="B65" i="1"/>
  <c r="AH64" i="1"/>
  <c r="AG64" i="1"/>
  <c r="AF64" i="1"/>
  <c r="Y64" i="1"/>
  <c r="X64" i="1"/>
  <c r="W64" i="1"/>
  <c r="V64" i="1"/>
  <c r="O64" i="1"/>
  <c r="N64" i="1"/>
  <c r="M64" i="1"/>
  <c r="L64" i="1"/>
  <c r="D64" i="1"/>
  <c r="C64" i="1"/>
  <c r="B64" i="1"/>
  <c r="AH63" i="1"/>
  <c r="AG63" i="1"/>
  <c r="AF63" i="1"/>
  <c r="Z63" i="1"/>
  <c r="Y63" i="1"/>
  <c r="X63" i="1"/>
  <c r="W63" i="1"/>
  <c r="V63" i="1"/>
  <c r="S63" i="1"/>
  <c r="R63" i="1"/>
  <c r="Q63" i="1"/>
  <c r="P63" i="1"/>
  <c r="O63" i="1"/>
  <c r="N63" i="1"/>
  <c r="M63" i="1"/>
  <c r="L63" i="1"/>
  <c r="H63" i="1"/>
  <c r="G63" i="1"/>
  <c r="F63" i="1"/>
  <c r="E63" i="1"/>
  <c r="D63" i="1"/>
  <c r="C63" i="1"/>
  <c r="B63" i="1"/>
  <c r="AH62" i="1"/>
  <c r="AG62" i="1"/>
  <c r="AF62" i="1"/>
  <c r="W62" i="1"/>
  <c r="V62" i="1"/>
  <c r="N62" i="1"/>
  <c r="M62" i="1"/>
  <c r="L62" i="1"/>
  <c r="H62" i="1"/>
  <c r="G62" i="1"/>
  <c r="F62" i="1"/>
  <c r="E62" i="1"/>
  <c r="D62" i="1"/>
  <c r="C62" i="1"/>
  <c r="B62" i="1"/>
  <c r="AH61" i="1"/>
  <c r="AG61" i="1"/>
  <c r="AF61" i="1"/>
  <c r="X61" i="1"/>
  <c r="W61" i="1"/>
  <c r="V61" i="1"/>
  <c r="N61" i="1"/>
  <c r="M61" i="1"/>
  <c r="L61" i="1"/>
  <c r="F61" i="1"/>
  <c r="E61" i="1"/>
  <c r="D61" i="1"/>
  <c r="C61" i="1"/>
  <c r="B61" i="1"/>
  <c r="AH60" i="1"/>
  <c r="AG60" i="1"/>
  <c r="AF60" i="1"/>
  <c r="O60" i="1"/>
  <c r="N60" i="1"/>
  <c r="M60" i="1"/>
  <c r="L60" i="1"/>
  <c r="D60" i="1"/>
  <c r="C60" i="1"/>
  <c r="B60" i="1"/>
  <c r="AH59" i="1"/>
  <c r="AG59" i="1"/>
  <c r="AF59" i="1"/>
  <c r="X59" i="1"/>
  <c r="W59" i="1"/>
  <c r="V59" i="1"/>
  <c r="Q59" i="1"/>
  <c r="P59" i="1"/>
  <c r="O59" i="1"/>
  <c r="N59" i="1"/>
  <c r="M59" i="1"/>
  <c r="L59" i="1"/>
  <c r="D59" i="1"/>
  <c r="C59" i="1"/>
  <c r="B59" i="1"/>
  <c r="AH58" i="1"/>
  <c r="AG58" i="1"/>
  <c r="AF58" i="1"/>
  <c r="W58" i="1"/>
  <c r="V58" i="1"/>
  <c r="N58" i="1"/>
  <c r="M58" i="1"/>
  <c r="L58" i="1"/>
  <c r="H58" i="1"/>
  <c r="G58" i="1"/>
  <c r="F58" i="1"/>
  <c r="E58" i="1"/>
  <c r="D58" i="1"/>
  <c r="C58" i="1"/>
  <c r="B58" i="1"/>
  <c r="AH57" i="1"/>
  <c r="AG57" i="1"/>
  <c r="AF57" i="1"/>
  <c r="W57" i="1"/>
  <c r="V57" i="1"/>
  <c r="P57" i="1"/>
  <c r="O57" i="1"/>
  <c r="N57" i="1"/>
  <c r="M57" i="1"/>
  <c r="L57" i="1"/>
  <c r="F57" i="1"/>
  <c r="E57" i="1"/>
  <c r="D57" i="1"/>
  <c r="C57" i="1"/>
  <c r="B57" i="1"/>
  <c r="AH56" i="1"/>
  <c r="AG56" i="1"/>
  <c r="AF56" i="1"/>
  <c r="AB56" i="1"/>
  <c r="AA56" i="1"/>
  <c r="Z56" i="1"/>
  <c r="Y56" i="1"/>
  <c r="X56" i="1"/>
  <c r="W56" i="1"/>
  <c r="V56" i="1"/>
  <c r="T56" i="1"/>
  <c r="S56" i="1"/>
  <c r="R56" i="1"/>
  <c r="Q56" i="1"/>
  <c r="P56" i="1"/>
  <c r="O56" i="1"/>
  <c r="N56" i="1"/>
  <c r="M56" i="1"/>
  <c r="L56" i="1"/>
  <c r="G56" i="1"/>
  <c r="F56" i="1"/>
  <c r="E56" i="1"/>
  <c r="D56" i="1"/>
  <c r="C56" i="1"/>
  <c r="B56" i="1"/>
  <c r="AH55" i="1"/>
  <c r="AG55" i="1"/>
  <c r="AF55" i="1"/>
  <c r="AA55" i="1"/>
  <c r="Z55" i="1"/>
  <c r="Y55" i="1"/>
  <c r="X55" i="1"/>
  <c r="W55" i="1"/>
  <c r="V55" i="1"/>
  <c r="P55" i="1"/>
  <c r="O55" i="1"/>
  <c r="N55" i="1"/>
  <c r="M55" i="1"/>
  <c r="L55" i="1"/>
  <c r="C55" i="1"/>
  <c r="B55" i="1"/>
  <c r="AH54" i="1"/>
  <c r="AG54" i="1"/>
  <c r="AF54" i="1"/>
  <c r="W54" i="1"/>
  <c r="V54" i="1"/>
  <c r="Q54" i="1"/>
  <c r="P54" i="1"/>
  <c r="O54" i="1"/>
  <c r="N54" i="1"/>
  <c r="M54" i="1"/>
  <c r="L54" i="1"/>
  <c r="H54" i="1"/>
  <c r="G54" i="1"/>
  <c r="F54" i="1"/>
  <c r="E54" i="1"/>
  <c r="D54" i="1"/>
  <c r="C54" i="1"/>
  <c r="B54" i="1"/>
  <c r="AH53" i="1"/>
  <c r="AG53" i="1"/>
  <c r="AF53" i="1"/>
  <c r="Y53" i="1"/>
  <c r="X53" i="1"/>
  <c r="W53" i="1"/>
  <c r="V53" i="1"/>
  <c r="R53" i="1"/>
  <c r="Q53" i="1"/>
  <c r="P53" i="1"/>
  <c r="O53" i="1"/>
  <c r="N53" i="1"/>
  <c r="M53" i="1"/>
  <c r="L53" i="1"/>
  <c r="C53" i="1"/>
  <c r="B53" i="1"/>
  <c r="AH52" i="1"/>
  <c r="AG52" i="1"/>
  <c r="AF52" i="1"/>
  <c r="W52" i="1"/>
  <c r="V52" i="1"/>
  <c r="N52" i="1"/>
  <c r="M52" i="1"/>
  <c r="L52" i="1"/>
  <c r="D52" i="1"/>
  <c r="C52" i="1"/>
  <c r="B52" i="1"/>
  <c r="AH51" i="1"/>
  <c r="AG51" i="1"/>
  <c r="AF51" i="1"/>
  <c r="Y51" i="1"/>
  <c r="X51" i="1"/>
  <c r="W51" i="1"/>
  <c r="V51" i="1"/>
  <c r="T51" i="1"/>
  <c r="R51" i="1"/>
  <c r="Q51" i="1"/>
  <c r="P51" i="1"/>
  <c r="O51" i="1"/>
  <c r="N51" i="1"/>
  <c r="M51" i="1"/>
  <c r="L51" i="1"/>
  <c r="F51" i="1"/>
  <c r="E51" i="1"/>
  <c r="D51" i="1"/>
  <c r="C51" i="1"/>
  <c r="B51" i="1"/>
  <c r="AH50" i="1"/>
  <c r="AG50" i="1"/>
  <c r="AF50" i="1"/>
  <c r="W50" i="1"/>
  <c r="V50" i="1"/>
  <c r="N50" i="1"/>
  <c r="M50" i="1"/>
  <c r="L50" i="1"/>
  <c r="D50" i="1"/>
  <c r="C50" i="1"/>
  <c r="B50" i="1"/>
  <c r="AH49" i="1"/>
  <c r="AG49" i="1"/>
  <c r="AF49" i="1"/>
  <c r="AB49" i="1"/>
  <c r="AA49" i="1"/>
  <c r="Z49" i="1"/>
  <c r="Y49" i="1"/>
  <c r="X49" i="1"/>
  <c r="W49" i="1"/>
  <c r="V49" i="1"/>
  <c r="N49" i="1"/>
  <c r="M49" i="1"/>
  <c r="L49" i="1"/>
  <c r="D49" i="1"/>
  <c r="C49" i="1"/>
  <c r="B49" i="1"/>
  <c r="AH48" i="1"/>
  <c r="AG48" i="1"/>
  <c r="AF48" i="1"/>
  <c r="X48" i="1"/>
  <c r="W48" i="1"/>
  <c r="V48" i="1"/>
  <c r="O48" i="1"/>
  <c r="N48" i="1"/>
  <c r="M48" i="1"/>
  <c r="L48" i="1"/>
  <c r="C48" i="1"/>
  <c r="B48" i="1"/>
  <c r="AH47" i="1"/>
  <c r="AG47" i="1"/>
  <c r="AF47" i="1"/>
  <c r="W47" i="1"/>
  <c r="V47" i="1"/>
  <c r="P47" i="1"/>
  <c r="O47" i="1"/>
  <c r="N47" i="1"/>
  <c r="M47" i="1"/>
  <c r="L47" i="1"/>
  <c r="F47" i="1"/>
  <c r="E47" i="1"/>
  <c r="D47" i="1"/>
  <c r="C47" i="1"/>
  <c r="B47" i="1"/>
  <c r="AH46" i="1"/>
  <c r="AG46" i="1"/>
  <c r="AF46" i="1"/>
  <c r="Z46" i="1"/>
  <c r="Y46" i="1"/>
  <c r="X46" i="1"/>
  <c r="W46" i="1"/>
  <c r="V46" i="1"/>
  <c r="O46" i="1"/>
  <c r="N46" i="1"/>
  <c r="M46" i="1"/>
  <c r="L46" i="1"/>
  <c r="F46" i="1"/>
  <c r="E46" i="1"/>
  <c r="D46" i="1"/>
  <c r="C46" i="1"/>
  <c r="B46" i="1"/>
  <c r="AH45" i="1"/>
  <c r="AG45" i="1"/>
  <c r="AF45" i="1"/>
  <c r="AB45" i="1"/>
  <c r="AA45" i="1"/>
  <c r="W45" i="1"/>
  <c r="V45" i="1"/>
  <c r="P45" i="1"/>
  <c r="O45" i="1"/>
  <c r="N45" i="1"/>
  <c r="M45" i="1"/>
  <c r="L45" i="1"/>
  <c r="F45" i="1"/>
  <c r="E45" i="1"/>
  <c r="D45" i="1"/>
  <c r="C45" i="1"/>
  <c r="B45" i="1"/>
  <c r="AH44" i="1"/>
  <c r="AG44" i="1"/>
  <c r="AF44" i="1"/>
  <c r="W44" i="1"/>
  <c r="V44" i="1"/>
  <c r="Q44" i="1"/>
  <c r="P44" i="1"/>
  <c r="O44" i="1"/>
  <c r="N44" i="1"/>
  <c r="M44" i="1"/>
  <c r="L44" i="1"/>
  <c r="G44" i="1"/>
  <c r="F44" i="1"/>
  <c r="E44" i="1"/>
  <c r="D44" i="1"/>
  <c r="C44" i="1"/>
  <c r="B44" i="1"/>
  <c r="AG43" i="1"/>
  <c r="AF43" i="1"/>
  <c r="W43" i="1"/>
  <c r="V43" i="1"/>
  <c r="O43" i="1"/>
  <c r="N43" i="1"/>
  <c r="M43" i="1"/>
  <c r="L43" i="1"/>
  <c r="H43" i="1"/>
  <c r="G43" i="1"/>
  <c r="F43" i="1"/>
  <c r="E43" i="1"/>
  <c r="D43" i="1"/>
  <c r="C43" i="1"/>
  <c r="B43" i="1"/>
  <c r="AH42" i="1"/>
  <c r="AG42" i="1"/>
  <c r="AF42" i="1"/>
  <c r="X42" i="1"/>
  <c r="W42" i="1"/>
  <c r="V42" i="1"/>
  <c r="R42" i="1"/>
  <c r="Q42" i="1"/>
  <c r="P42" i="1"/>
  <c r="O42" i="1"/>
  <c r="N42" i="1"/>
  <c r="M42" i="1"/>
  <c r="L42" i="1"/>
  <c r="E42" i="1"/>
  <c r="D42" i="1"/>
  <c r="C42" i="1"/>
  <c r="B42" i="1"/>
  <c r="AH41" i="1"/>
  <c r="AG41" i="1"/>
  <c r="AF41" i="1"/>
  <c r="X41" i="1"/>
  <c r="W41" i="1"/>
  <c r="V41" i="1"/>
  <c r="L41" i="1"/>
  <c r="G41" i="1"/>
  <c r="F41" i="1"/>
  <c r="E41" i="1"/>
  <c r="D41" i="1"/>
  <c r="C41" i="1"/>
  <c r="B41" i="1"/>
  <c r="AH40" i="1"/>
  <c r="AG40" i="1"/>
  <c r="AF40" i="1"/>
  <c r="W40" i="1"/>
  <c r="V40" i="1"/>
  <c r="N40" i="1"/>
  <c r="M40" i="1"/>
  <c r="L40" i="1"/>
  <c r="H40" i="1"/>
  <c r="G40" i="1"/>
  <c r="F40" i="1"/>
  <c r="E40" i="1"/>
  <c r="D40" i="1"/>
  <c r="C40" i="1"/>
  <c r="B40" i="1"/>
  <c r="AH39" i="1"/>
  <c r="AG39" i="1"/>
  <c r="AF39" i="1"/>
  <c r="AA39" i="1"/>
  <c r="Z39" i="1"/>
  <c r="Y39" i="1"/>
  <c r="X39" i="1"/>
  <c r="W39" i="1"/>
  <c r="V39" i="1"/>
  <c r="N39" i="1"/>
  <c r="M39" i="1"/>
  <c r="L39" i="1"/>
  <c r="E39" i="1"/>
  <c r="D39" i="1"/>
  <c r="C39" i="1"/>
  <c r="B39" i="1"/>
  <c r="AH38" i="1"/>
  <c r="AG38" i="1"/>
  <c r="AF38" i="1"/>
  <c r="X38" i="1"/>
  <c r="W38" i="1"/>
  <c r="V38" i="1"/>
  <c r="N38" i="1"/>
  <c r="M38" i="1"/>
  <c r="L38" i="1"/>
  <c r="H38" i="1"/>
  <c r="G38" i="1"/>
  <c r="F38" i="1"/>
  <c r="E38" i="1"/>
  <c r="D38" i="1"/>
  <c r="C38" i="1"/>
  <c r="B38" i="1"/>
  <c r="AH37" i="1"/>
  <c r="AG37" i="1"/>
  <c r="AF37" i="1"/>
  <c r="V37" i="1"/>
  <c r="N37" i="1"/>
  <c r="M37" i="1"/>
  <c r="L37" i="1"/>
  <c r="G37" i="1"/>
  <c r="F37" i="1"/>
  <c r="E37" i="1"/>
  <c r="D37" i="1"/>
  <c r="C37" i="1"/>
  <c r="B37" i="1"/>
  <c r="AG36" i="1"/>
  <c r="AF36" i="1"/>
  <c r="AD36" i="1"/>
  <c r="AC36" i="1"/>
  <c r="AB36" i="1"/>
  <c r="AA36" i="1"/>
  <c r="Z36" i="1"/>
  <c r="Y36" i="1"/>
  <c r="X36" i="1"/>
  <c r="W36" i="1"/>
  <c r="V36" i="1"/>
  <c r="N36" i="1"/>
  <c r="M36" i="1"/>
  <c r="L36" i="1"/>
  <c r="H36" i="1"/>
  <c r="G36" i="1"/>
  <c r="F36" i="1"/>
  <c r="E36" i="1"/>
  <c r="D36" i="1"/>
  <c r="C36" i="1"/>
  <c r="B36" i="1"/>
  <c r="AH35" i="1"/>
  <c r="AG35" i="1"/>
  <c r="AF35" i="1"/>
  <c r="Z35" i="1"/>
  <c r="Y35" i="1"/>
  <c r="X35" i="1"/>
  <c r="W35" i="1"/>
  <c r="V35" i="1"/>
  <c r="Q35" i="1"/>
  <c r="P35" i="1"/>
  <c r="O35" i="1"/>
  <c r="N35" i="1"/>
  <c r="M35" i="1"/>
  <c r="L35" i="1"/>
  <c r="F35" i="1"/>
  <c r="E35" i="1"/>
  <c r="D35" i="1"/>
  <c r="C35" i="1"/>
  <c r="B35" i="1"/>
  <c r="AH34" i="1"/>
  <c r="AG34" i="1"/>
  <c r="AF34" i="1"/>
  <c r="Y34" i="1"/>
  <c r="X34" i="1"/>
  <c r="W34" i="1"/>
  <c r="V34" i="1"/>
  <c r="R34" i="1"/>
  <c r="Q34" i="1"/>
  <c r="P34" i="1"/>
  <c r="O34" i="1"/>
  <c r="N34" i="1"/>
  <c r="M34" i="1"/>
  <c r="L34" i="1"/>
  <c r="C34" i="1"/>
  <c r="B34" i="1"/>
  <c r="AH33" i="1"/>
  <c r="AG33" i="1"/>
  <c r="AF33" i="1"/>
  <c r="W33" i="1"/>
  <c r="V33" i="1"/>
  <c r="S33" i="1"/>
  <c r="R33" i="1"/>
  <c r="Q33" i="1"/>
  <c r="P33" i="1"/>
  <c r="O33" i="1"/>
  <c r="N33" i="1"/>
  <c r="M33" i="1"/>
  <c r="L33" i="1"/>
  <c r="F33" i="1"/>
  <c r="E33" i="1"/>
  <c r="D33" i="1"/>
  <c r="C33" i="1"/>
  <c r="B33" i="1"/>
  <c r="AH32" i="1"/>
  <c r="AG32" i="1"/>
  <c r="AF32" i="1"/>
  <c r="X32" i="1"/>
  <c r="W32" i="1"/>
  <c r="V32" i="1"/>
  <c r="R32" i="1"/>
  <c r="Q32" i="1"/>
  <c r="P32" i="1"/>
  <c r="S32" i="1"/>
  <c r="O32" i="1"/>
  <c r="N32" i="1"/>
  <c r="M32" i="1"/>
  <c r="L32" i="1"/>
  <c r="F32" i="1"/>
  <c r="E32" i="1"/>
  <c r="D32" i="1"/>
  <c r="C32" i="1"/>
  <c r="B32" i="1"/>
  <c r="AH31" i="1"/>
  <c r="AG31" i="1"/>
  <c r="AF31" i="1"/>
  <c r="V31" i="1"/>
  <c r="Q31" i="1"/>
  <c r="P31" i="1"/>
  <c r="O31" i="1"/>
  <c r="N31" i="1"/>
  <c r="M31" i="1"/>
  <c r="L31" i="1"/>
  <c r="D31" i="1"/>
  <c r="C31" i="1"/>
  <c r="B31" i="1"/>
  <c r="AH30" i="1"/>
  <c r="AG30" i="1"/>
  <c r="AF30" i="1"/>
  <c r="V30" i="1"/>
  <c r="O30" i="1"/>
  <c r="N30" i="1"/>
  <c r="M30" i="1"/>
  <c r="L30" i="1"/>
  <c r="H30" i="1"/>
  <c r="G30" i="1"/>
  <c r="F30" i="1"/>
  <c r="E30" i="1"/>
  <c r="D30" i="1"/>
  <c r="C30" i="1"/>
  <c r="B30" i="1"/>
  <c r="AH29" i="1"/>
  <c r="AG29" i="1"/>
  <c r="AF29" i="1"/>
  <c r="Z29" i="1"/>
  <c r="Y29" i="1"/>
  <c r="X29" i="1"/>
  <c r="W29" i="1"/>
  <c r="V29" i="1"/>
  <c r="O29" i="1"/>
  <c r="N29" i="1"/>
  <c r="M29" i="1"/>
  <c r="L29" i="1"/>
  <c r="C29" i="1"/>
  <c r="B29" i="1"/>
  <c r="AH28" i="1"/>
  <c r="AG28" i="1"/>
  <c r="AF28" i="1"/>
  <c r="AA28" i="1"/>
  <c r="Z28" i="1"/>
  <c r="Y28" i="1"/>
  <c r="X28" i="1"/>
  <c r="W28" i="1"/>
  <c r="V28" i="1"/>
  <c r="N28" i="1"/>
  <c r="M28" i="1"/>
  <c r="L28" i="1"/>
  <c r="E28" i="1"/>
  <c r="D28" i="1"/>
  <c r="C28" i="1"/>
  <c r="B28" i="1"/>
  <c r="AH27" i="1"/>
  <c r="AG27" i="1"/>
  <c r="AB27" i="1"/>
  <c r="AA27" i="1"/>
  <c r="Z27" i="1"/>
  <c r="Y27" i="1"/>
  <c r="X27" i="1"/>
  <c r="W27" i="1"/>
  <c r="V27" i="1"/>
  <c r="N27" i="1"/>
  <c r="M27" i="1"/>
  <c r="L27" i="1"/>
  <c r="D27" i="1"/>
  <c r="C27" i="1"/>
  <c r="B27" i="1"/>
  <c r="AH26" i="1"/>
  <c r="AG26" i="1"/>
  <c r="AF26" i="1"/>
  <c r="X26" i="1"/>
  <c r="W26" i="1"/>
  <c r="V26" i="1"/>
  <c r="P26" i="1"/>
  <c r="O26" i="1"/>
  <c r="N26" i="1"/>
  <c r="M26" i="1"/>
  <c r="L26" i="1"/>
  <c r="H26" i="1"/>
  <c r="G26" i="1"/>
  <c r="F26" i="1"/>
  <c r="E26" i="1"/>
  <c r="D26" i="1"/>
  <c r="C26" i="1"/>
  <c r="B26" i="1"/>
  <c r="AH25" i="1"/>
  <c r="AG25" i="1"/>
  <c r="AF25" i="1"/>
  <c r="M25" i="1"/>
  <c r="L25" i="1"/>
  <c r="C25" i="1"/>
  <c r="B25" i="1"/>
  <c r="AH24" i="1"/>
  <c r="AG24" i="1"/>
  <c r="AF24" i="1"/>
  <c r="V24" i="1"/>
  <c r="O24" i="1"/>
  <c r="N24" i="1"/>
  <c r="M24" i="1"/>
  <c r="L24" i="1"/>
  <c r="D24" i="1"/>
  <c r="C24" i="1"/>
  <c r="B24" i="1"/>
  <c r="AH23" i="1"/>
  <c r="AG23" i="1"/>
  <c r="AF23" i="1"/>
  <c r="AA23" i="1"/>
  <c r="Z23" i="1"/>
  <c r="Y23" i="1"/>
  <c r="X23" i="1"/>
  <c r="W23" i="1"/>
  <c r="V23" i="1"/>
  <c r="Q23" i="1"/>
  <c r="P23" i="1"/>
  <c r="O23" i="1"/>
  <c r="N23" i="1"/>
  <c r="M23" i="1"/>
  <c r="L23" i="1"/>
  <c r="G23" i="1"/>
  <c r="F23" i="1"/>
  <c r="E23" i="1"/>
  <c r="I23" i="1"/>
  <c r="D23" i="1"/>
  <c r="C23" i="1"/>
  <c r="J23" i="1"/>
  <c r="B23" i="1"/>
  <c r="H23" i="1"/>
  <c r="AH22" i="1"/>
  <c r="AG22" i="1"/>
  <c r="AF22" i="1"/>
  <c r="AA22" i="1"/>
  <c r="Z22" i="1"/>
  <c r="Y22" i="1"/>
  <c r="X22" i="1"/>
  <c r="AD22" i="1"/>
  <c r="AB22" i="1"/>
  <c r="V22" i="1"/>
  <c r="AC22" i="1"/>
  <c r="W22" i="1"/>
  <c r="P22" i="1"/>
  <c r="O22" i="1"/>
  <c r="N22" i="1"/>
  <c r="M22" i="1"/>
  <c r="L22" i="1"/>
  <c r="D22" i="1"/>
  <c r="C22" i="1"/>
  <c r="B22" i="1"/>
  <c r="AH21" i="1"/>
  <c r="AG21" i="1"/>
  <c r="AF21" i="1"/>
  <c r="N21" i="1"/>
  <c r="M21" i="1"/>
  <c r="L21" i="1"/>
  <c r="F21" i="1"/>
  <c r="E21" i="1"/>
  <c r="D21" i="1"/>
  <c r="C21" i="1"/>
  <c r="B21" i="1"/>
  <c r="Y20" i="1"/>
  <c r="X20" i="1"/>
  <c r="W20" i="1"/>
  <c r="V20" i="1"/>
  <c r="M20" i="1"/>
  <c r="L20" i="1"/>
  <c r="G20" i="1"/>
  <c r="F20" i="1"/>
  <c r="E20" i="1"/>
  <c r="D20" i="1"/>
  <c r="C20" i="1"/>
  <c r="B20" i="1"/>
  <c r="AH19" i="1"/>
  <c r="AG19" i="1"/>
  <c r="AF19" i="1"/>
  <c r="V19" i="1"/>
  <c r="Q19" i="1"/>
  <c r="O19" i="1"/>
  <c r="M19" i="1"/>
  <c r="P19" i="1"/>
  <c r="L19" i="1"/>
  <c r="R19" i="1"/>
  <c r="D19" i="1"/>
  <c r="C19" i="1"/>
  <c r="B19" i="1"/>
  <c r="AA18" i="1"/>
  <c r="Y18" i="1"/>
  <c r="X18" i="1"/>
  <c r="W18" i="1"/>
  <c r="V18" i="1"/>
  <c r="N18" i="1"/>
  <c r="M18" i="1"/>
  <c r="L18" i="1"/>
  <c r="B18" i="1"/>
  <c r="AH17" i="1"/>
  <c r="AG17" i="1"/>
  <c r="AF17" i="1"/>
  <c r="W17" i="1"/>
  <c r="V17" i="1"/>
  <c r="N17" i="1"/>
  <c r="T17" i="1"/>
  <c r="S17" i="1"/>
  <c r="R17" i="1"/>
  <c r="Q17" i="1"/>
  <c r="O17" i="1"/>
  <c r="L17" i="1"/>
  <c r="P17" i="1"/>
  <c r="M17" i="1"/>
  <c r="D17" i="1"/>
  <c r="G17" i="1"/>
  <c r="F17" i="1"/>
  <c r="C17" i="1"/>
  <c r="E17" i="1"/>
  <c r="B17" i="1"/>
  <c r="AG16" i="1"/>
  <c r="AF16" i="1"/>
  <c r="W16" i="1"/>
  <c r="AD16" i="1"/>
  <c r="AA16" i="1"/>
  <c r="X16" i="1"/>
  <c r="V16" i="1"/>
  <c r="AC16" i="1"/>
  <c r="AB16" i="1"/>
  <c r="Z16" i="1"/>
  <c r="Y16" i="1"/>
  <c r="P16" i="1"/>
  <c r="O16" i="1"/>
  <c r="N16" i="1"/>
  <c r="S16" i="1"/>
  <c r="Q16" i="1"/>
  <c r="M16" i="1"/>
  <c r="L16" i="1"/>
  <c r="R16" i="1"/>
  <c r="C16" i="1"/>
  <c r="B16" i="1"/>
  <c r="AH15" i="1"/>
  <c r="AG15" i="1"/>
  <c r="AF15" i="1"/>
  <c r="X15" i="1"/>
  <c r="W15" i="1"/>
  <c r="V15" i="1"/>
  <c r="N15" i="1"/>
  <c r="M15" i="1"/>
  <c r="L15" i="1"/>
  <c r="D15" i="1"/>
  <c r="C15" i="1"/>
  <c r="B15" i="1"/>
  <c r="AH14" i="1"/>
  <c r="AG14" i="1"/>
  <c r="AF14" i="1"/>
  <c r="N14" i="1"/>
  <c r="M14" i="1"/>
  <c r="L14" i="1"/>
  <c r="D14" i="1"/>
  <c r="C14" i="1"/>
  <c r="I14" i="1"/>
  <c r="G14" i="1"/>
  <c r="B14" i="1"/>
  <c r="H14" i="1"/>
  <c r="AH13" i="1"/>
  <c r="AG13" i="1"/>
  <c r="AF13" i="1"/>
  <c r="X13" i="1"/>
  <c r="W13" i="1"/>
  <c r="V13" i="1"/>
  <c r="AA13" i="1"/>
  <c r="Z13" i="1"/>
  <c r="Y13" i="1"/>
  <c r="L13" i="1"/>
  <c r="E13" i="1"/>
  <c r="D13" i="1"/>
  <c r="C13" i="1"/>
  <c r="J13" i="1"/>
  <c r="F13" i="1"/>
  <c r="B13" i="1"/>
  <c r="I13" i="1"/>
  <c r="H13" i="1"/>
  <c r="G13" i="1"/>
  <c r="AH12" i="1"/>
  <c r="AG12" i="1"/>
  <c r="AF12" i="1"/>
  <c r="N12" i="1"/>
  <c r="M12" i="1"/>
  <c r="L12" i="1"/>
  <c r="P12" i="1"/>
  <c r="O12" i="1"/>
  <c r="G12" i="1"/>
  <c r="F12" i="1"/>
  <c r="E12" i="1"/>
  <c r="B12" i="1"/>
  <c r="J12" i="1"/>
  <c r="I12" i="1"/>
  <c r="H12" i="1"/>
  <c r="D12" i="1"/>
  <c r="C12" i="1"/>
  <c r="AF11" i="1"/>
  <c r="AH11" i="1"/>
  <c r="AG11" i="1"/>
  <c r="W11" i="1"/>
  <c r="V11" i="1"/>
  <c r="Z11" i="1"/>
  <c r="Y11" i="1"/>
  <c r="X11" i="1"/>
  <c r="N11" i="1"/>
  <c r="M11" i="1"/>
  <c r="T11" i="1"/>
  <c r="Q11" i="1"/>
  <c r="L11" i="1"/>
  <c r="S11" i="1"/>
  <c r="R11" i="1"/>
  <c r="P11" i="1"/>
  <c r="O11" i="1"/>
  <c r="D11" i="1"/>
  <c r="I11" i="1"/>
  <c r="G11" i="1"/>
  <c r="B11" i="1"/>
  <c r="J11" i="1"/>
  <c r="H11" i="1"/>
  <c r="F11" i="1"/>
  <c r="E11" i="1"/>
  <c r="C11" i="1"/>
  <c r="AH10" i="1"/>
  <c r="AG10" i="1"/>
  <c r="AF10" i="1"/>
  <c r="T10" i="1"/>
  <c r="S10" i="1"/>
  <c r="R10" i="1"/>
  <c r="Q10" i="1"/>
  <c r="P10" i="1"/>
  <c r="O10" i="1"/>
  <c r="N10" i="1"/>
  <c r="M10" i="1"/>
  <c r="L10" i="1"/>
  <c r="C10" i="1"/>
  <c r="H10" i="1"/>
  <c r="B10" i="1"/>
  <c r="J10" i="1"/>
  <c r="I10" i="1"/>
  <c r="G10" i="1"/>
  <c r="F10" i="1"/>
  <c r="E10" i="1"/>
  <c r="D10" i="1"/>
  <c r="AG9" i="1"/>
  <c r="AF9" i="1"/>
  <c r="AH9" i="1"/>
  <c r="V9" i="1"/>
  <c r="AD9" i="1"/>
  <c r="AC9" i="1"/>
  <c r="AB9" i="1"/>
  <c r="AA9" i="1"/>
  <c r="Z9" i="1"/>
  <c r="Y9" i="1"/>
  <c r="X9" i="1"/>
  <c r="W9" i="1"/>
  <c r="P9" i="1"/>
  <c r="O9" i="1"/>
  <c r="N9" i="1"/>
  <c r="M9" i="1"/>
  <c r="L9" i="1"/>
  <c r="I9" i="1"/>
  <c r="H9" i="1"/>
  <c r="G9" i="1"/>
  <c r="E9" i="1"/>
  <c r="B9" i="1"/>
  <c r="J9" i="1"/>
  <c r="F9" i="1"/>
  <c r="D9" i="1"/>
  <c r="C9" i="1"/>
  <c r="AG8" i="1"/>
  <c r="AF8" i="1"/>
  <c r="AH8" i="1"/>
  <c r="V8" i="1"/>
  <c r="AD8" i="1"/>
  <c r="AC8" i="1"/>
  <c r="AB8" i="1"/>
  <c r="AA8" i="1"/>
  <c r="Z8" i="1"/>
  <c r="Y8" i="1"/>
  <c r="X8" i="1"/>
  <c r="W8" i="1"/>
  <c r="L8" i="1"/>
  <c r="T8" i="1"/>
  <c r="S8" i="1"/>
  <c r="R8" i="1"/>
  <c r="Q8" i="1"/>
  <c r="P8" i="1"/>
  <c r="O8" i="1"/>
  <c r="N8" i="1"/>
  <c r="M8" i="1"/>
  <c r="C8" i="1"/>
  <c r="J8" i="1"/>
  <c r="H8" i="1"/>
  <c r="F8" i="1"/>
  <c r="E8" i="1"/>
  <c r="D8" i="1"/>
  <c r="B8" i="1"/>
  <c r="I8" i="1"/>
  <c r="G8" i="1"/>
  <c r="AF7" i="1"/>
  <c r="AH7" i="1"/>
  <c r="AG7" i="1"/>
  <c r="V7" i="1"/>
  <c r="Y7" i="1"/>
  <c r="X7" i="1"/>
  <c r="W7" i="1"/>
  <c r="N7" i="1"/>
  <c r="M7" i="1"/>
  <c r="K7" i="1"/>
  <c r="T7" i="1"/>
  <c r="S7" i="1"/>
  <c r="R7" i="1"/>
  <c r="Q7" i="1"/>
  <c r="P7" i="1"/>
  <c r="O7" i="1"/>
  <c r="I7" i="1"/>
  <c r="G7" i="1"/>
  <c r="E7" i="1"/>
  <c r="C7" i="1"/>
  <c r="B7" i="1"/>
  <c r="J7" i="1"/>
  <c r="H7" i="1"/>
  <c r="F7" i="1"/>
  <c r="D7" i="1"/>
  <c r="AG6" i="1"/>
  <c r="AF6" i="1"/>
  <c r="AH6" i="1"/>
  <c r="W6" i="1"/>
  <c r="AC6" i="1"/>
  <c r="Z6" i="1"/>
  <c r="V6" i="1"/>
  <c r="AD6" i="1"/>
  <c r="AB6" i="1"/>
  <c r="AA6" i="1"/>
  <c r="Y6" i="1"/>
  <c r="X6" i="1"/>
  <c r="S6" i="1"/>
  <c r="R6" i="1"/>
  <c r="O6" i="1"/>
  <c r="L6" i="1"/>
  <c r="T6" i="1"/>
  <c r="Q6" i="1"/>
  <c r="P6" i="1"/>
  <c r="N6" i="1"/>
  <c r="M6" i="1"/>
  <c r="I6" i="1"/>
  <c r="B6" i="1"/>
  <c r="J6" i="1"/>
  <c r="H6" i="1"/>
  <c r="G6" i="1"/>
  <c r="F6" i="1"/>
  <c r="E6" i="1"/>
  <c r="D6" i="1"/>
  <c r="C6" i="1"/>
  <c r="AG5" i="1"/>
  <c r="AF5" i="1"/>
  <c r="AH5" i="1"/>
  <c r="AD5" i="1"/>
  <c r="AA5" i="1"/>
  <c r="Y5" i="1"/>
  <c r="X5" i="1"/>
  <c r="AC5" i="1"/>
  <c r="AB5" i="1"/>
  <c r="Z5" i="1"/>
  <c r="W5" i="1"/>
  <c r="V5" i="1"/>
  <c r="L5" i="1"/>
  <c r="T5" i="1"/>
  <c r="S5" i="1"/>
  <c r="R5" i="1"/>
  <c r="Q5" i="1"/>
  <c r="P5" i="1"/>
  <c r="O5" i="1"/>
  <c r="N5" i="1"/>
  <c r="M5" i="1"/>
  <c r="I5" i="1"/>
  <c r="H5" i="1"/>
  <c r="D5" i="1"/>
  <c r="B5" i="1"/>
  <c r="J5" i="1"/>
  <c r="G5" i="1"/>
  <c r="F5" i="1"/>
  <c r="E5" i="1"/>
  <c r="C5" i="1"/>
  <c r="AF4" i="1"/>
  <c r="AH4" i="1"/>
  <c r="AG4" i="1"/>
  <c r="AD4" i="1"/>
  <c r="AC4" i="1"/>
  <c r="AB4" i="1"/>
  <c r="AA4" i="1"/>
  <c r="Z4" i="1"/>
  <c r="Y4" i="1"/>
  <c r="X4" i="1"/>
  <c r="W4" i="1"/>
  <c r="V4" i="1"/>
  <c r="M4" i="1"/>
  <c r="L4" i="1"/>
  <c r="T4" i="1"/>
  <c r="S4" i="1"/>
  <c r="R4" i="1"/>
  <c r="Q4" i="1"/>
  <c r="P4" i="1"/>
  <c r="O4" i="1"/>
  <c r="N4" i="1"/>
  <c r="B4" i="1"/>
  <c r="J4" i="1"/>
  <c r="I4" i="1"/>
  <c r="H4" i="1"/>
  <c r="G4" i="1"/>
  <c r="F4" i="1"/>
  <c r="E4" i="1"/>
  <c r="D4" i="1"/>
  <c r="C4" i="1"/>
  <c r="AG3" i="1"/>
  <c r="AH3" i="1"/>
  <c r="AF3" i="1"/>
  <c r="AC3" i="1"/>
  <c r="V3" i="1"/>
  <c r="AD3" i="1"/>
  <c r="AB3" i="1"/>
  <c r="AA3" i="1"/>
  <c r="Z3" i="1"/>
  <c r="Y3" i="1"/>
  <c r="X3" i="1"/>
  <c r="W3" i="1"/>
  <c r="T3" i="1"/>
  <c r="S3" i="1"/>
  <c r="Q3" i="1"/>
  <c r="L3" i="1"/>
  <c r="R3" i="1"/>
  <c r="P3" i="1"/>
  <c r="O3" i="1"/>
  <c r="N3" i="1"/>
  <c r="M3" i="1"/>
  <c r="I3" i="1"/>
  <c r="G3" i="1"/>
  <c r="F3" i="1"/>
  <c r="C3" i="1"/>
  <c r="J3" i="1"/>
  <c r="H3" i="1"/>
  <c r="D3" i="1"/>
  <c r="B3" i="1"/>
  <c r="E3" i="1"/>
  <c r="AH2" i="1"/>
  <c r="AG2" i="1"/>
  <c r="AF2" i="1"/>
  <c r="AD2" i="1"/>
  <c r="AC2" i="1"/>
  <c r="AB2" i="1"/>
  <c r="AA2" i="1"/>
  <c r="Z2" i="1"/>
  <c r="Y2" i="1"/>
  <c r="X2" i="1"/>
  <c r="W2" i="1"/>
  <c r="V2" i="1"/>
  <c r="T2" i="1"/>
  <c r="S2" i="1"/>
  <c r="R2" i="1"/>
  <c r="Q2" i="1"/>
  <c r="P2" i="1"/>
  <c r="O2" i="1"/>
  <c r="N2" i="1"/>
  <c r="M2" i="1"/>
  <c r="L2" i="1"/>
  <c r="H2" i="1"/>
  <c r="F2" i="1"/>
  <c r="E2" i="1"/>
  <c r="C2" i="1"/>
  <c r="B2" i="1"/>
  <c r="J2" i="1"/>
  <c r="I2" i="1"/>
  <c r="G2" i="1"/>
  <c r="D2" i="1"/>
</calcChain>
</file>

<file path=xl/sharedStrings.xml><?xml version="1.0" encoding="utf-8"?>
<sst xmlns="http://schemas.openxmlformats.org/spreadsheetml/2006/main" count="34" uniqueCount="33">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</sst>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2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2022/08/03</val>
          </value>
          <value t="str">
            <val>2.50</val>
          </value>
          <value>
            <val>5.26</val>
          </value>
          <value t="str">
            <val>3.04</val>
          </value>
          <value t="str">
            <val>0.35</val>
          </value>
          <value t="str">
            <val>茂生農經</val>
          </value>
          <value t="str">
            <val>上櫃農業科技業</val>
          </value>
          <value t="str">
            <val>家禽家畜飼料、大宗原料供應商</val>
          </value>
        </values>
      </ddeItem>
      <ddeItem name="1240.TW-CName,InvestorConferenceDate,DateofMeetingofShareHolders,TradingDate" advise="1">
        <values cols="4">
          <value t="str">
            <val>茂生農經</val>
          </value>
          <value t="str">
            <val>2021/11/11</val>
          </value>
          <value t="str">
            <val>2022/06/27</val>
          </value>
          <value t="str">
            <val>2022/08/01</val>
          </value>
        </values>
      </ddeItem>
      <ddeItem name="1240.TW-ID,Name,MarketValue,Capital,NetIncomeGrowthRate,OperIncomeGrowthRate,FinancialStatementsTime,TFXRatio,MonthlyNetSalesYoY,RevenueMonth" advise="1">
        <values cols="10">
          <value t="str">
            <val>1240</val>
          </value>
          <value t="str">
            <val>茂生農經</val>
          </value>
          <value t="str">
            <val>17.5</val>
          </value>
          <value t="str">
            <val>3.68</val>
          </value>
          <value t="str">
            <val>-82.48</val>
          </value>
          <value t="str">
            <val>-32.53</val>
          </value>
          <value t="str">
            <val>2022/03</val>
          </value>
          <value t="str">
            <val>0.01</val>
          </value>
          <value t="str">
            <val>17.85</val>
          </value>
          <value t="str">
            <val>2022/06</val>
          </value>
        </values>
      </ddeItem>
      <ddeItem name="1240.TW-OperatingProfitRatio,Price,PriceChangeRatio,InOutRatioNumber,Value,YearReturn,MonthReturn,WeekReturn,FinanceBalanceDif,ChipsField2" advise="1">
        <values cols="10">
          <value t="str">
            <val>2.42</val>
          </value>
          <value>
            <val>47.5</val>
          </value>
          <value>
            <val>1.39</val>
          </value>
          <value t="str">
            <val>77.78%</val>
          </value>
          <value t="str">
            <val>383萬</val>
          </value>
          <value t="str">
            <val>-3.94</val>
          </value>
          <value t="str">
            <val>+8.32</val>
          </value>
          <value t="str">
            <val>+1.71</val>
          </value>
          <value>
            <val>0</val>
          </value>
          <value>
            <val>0</val>
          </value>
        </values>
      </ddeItem>
      <ddeItem name="125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21</val>
          </value>
          <value t="str">
            <val>--</val>
          </value>
          <value t="str">
            <val>0.00</val>
          </value>
          <value>
            <val>0</val>
          </value>
          <value t="str">
            <val>2.07</val>
          </value>
          <value t="str">
            <val>0.51</val>
          </value>
          <value t="str">
            <val>其祥-KY</val>
          </value>
          <value t="str">
            <val>上櫃食品</val>
          </value>
          <value t="str">
            <val>新加坡雞肉肉品市場主要供應商</val>
          </value>
        </values>
      </ddeItem>
      <ddeItem name="1258.TW-CName,InvestorConferenceDate,DateofMeetingofShareHolders,TradingDate" advise="1">
        <values cols="4">
          <value t="str">
            <val>其祥-KY</val>
          </value>
          <value t="str">
            <val>2021/11/18</val>
          </value>
          <value t="str">
            <val>2022/08/19</val>
          </value>
          <value t="str">
            <val>2022/08/01</val>
          </value>
        </values>
      </ddeItem>
      <ddeItem name="1258.TW-ID,Name,MarketValue,Capital,NetIncomeGrowthRate,OperIncomeGrowthRate,FinancialStatementsTime,TFXRatio,MonthlyNetSalesYoY,RevenueMonth" advise="1">
        <values cols="10">
          <value t="str">
            <val>1258</val>
          </value>
          <value t="str">
            <val>其祥-KY</val>
          </value>
          <value t="str">
            <val>9.1</val>
          </value>
          <value t="str">
            <val>3.68</val>
          </value>
          <value t="str">
            <val>-9.74</val>
          </value>
          <value t="str">
            <val>32.31</val>
          </value>
          <value t="str">
            <val>2022/03</val>
          </value>
          <value t="str">
            <val>8.23</val>
          </value>
          <value t="str">
            <val>36.05</val>
          </value>
          <value t="str">
            <val>2022/06</val>
          </value>
        </values>
      </ddeItem>
      <ddeItem name="1258.TW-OperatingProfitRatio,Price,PriceChangeRatio,InOutRatioNumber,Value,YearReturn,MonthReturn,WeekReturn,FinanceBalanceDif,ChipsField2" advise="1">
        <values cols="10">
          <value t="str">
            <val>5.37</val>
          </value>
          <value>
            <val>24.7</val>
          </value>
          <value>
            <val>2.2799999999999998</val>
          </value>
          <value t="str">
            <val>44.48%</val>
          </value>
          <value t="str">
            <val>2688萬</val>
          </value>
          <value t="str">
            <val>+55.84</val>
          </value>
          <value t="str">
            <val>+15.69</val>
          </value>
          <value t="str">
            <val>+13.56</val>
          </value>
          <value>
            <val>12</val>
          </value>
          <value>
            <val>0</val>
          </value>
        </values>
      </ddeItem>
      <ddeItem name="125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2022/03/16</val>
          </value>
          <value t="str">
            <val>2.30</val>
          </value>
          <value>
            <val>3.23</val>
          </value>
          <value t="str">
            <val>2.84</val>
          </value>
          <value t="str">
            <val>0.41</val>
          </value>
          <value t="str">
            <val>安心</val>
          </value>
          <value t="str">
            <val>上櫃觀光</val>
          </value>
          <value t="str">
            <val>東元旗下，以摩斯為速食餐飲連鎖品牌</val>
          </value>
        </values>
      </ddeItem>
      <ddeItem name="1259.TW-CName,InvestorConferenceDate,DateofMeetingofShareHolders,TradingDate" advise="1">
        <values cols="4">
          <value t="str">
            <val>安心</val>
          </value>
          <value t="str">
            <val>2021/12/30</val>
          </value>
          <value t="str">
            <val>2022/05/31</val>
          </value>
          <value t="str">
            <val>2022/08/01</val>
          </value>
        </values>
      </ddeItem>
      <ddeItem name="1259.TW-ID,Name,MarketValue,Capital,NetIncomeGrowthRate,OperIncomeGrowthRate,FinancialStatementsTime,TFXRatio,MonthlyNetSalesYoY,RevenueMonth" advise="1">
        <values cols="10">
          <value t="str">
            <val>1259</val>
          </value>
          <value t="str">
            <val>安心</val>
          </value>
          <value t="str">
            <val>23.1</val>
          </value>
          <value t="str">
            <val>3.24</val>
          </value>
          <value t="str">
            <val>-53.53</val>
          </value>
          <value t="str">
            <val>-7.83</val>
          </value>
          <value t="str">
            <val>2022/03</val>
          </value>
          <value t="str">
            <val>0.04</val>
          </value>
          <value t="str">
            <val>35.74</val>
          </value>
          <value t="str">
            <val>2022/06</val>
          </value>
        </values>
      </ddeItem>
      <ddeItem name="1259.TW-OperatingProfitRatio,Price,PriceChangeRatio,InOutRatioNumber,Value,YearReturn,MonthReturn,WeekReturn,FinanceBalanceDif,ChipsField2" advise="1">
        <values cols="10">
          <value t="str">
            <val>1.18</val>
          </value>
          <value>
            <val>71.3</val>
          </value>
          <value>
            <val>-0.14000000000000001</val>
          </value>
          <value t="str">
            <val>42.86%</val>
          </value>
          <value t="str">
            <val>49.9萬</val>
          </value>
          <value t="str">
            <val>+10.22</val>
          </value>
          <value t="str">
            <val>+5.63</val>
          </value>
          <value t="str">
            <val>+1.28</val>
          </value>
          <value>
            <val>0</val>
          </value>
          <value>
            <val>0</val>
          </value>
        </values>
      </ddeItem>
      <ddeItem name="12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2022/06/29</val>
          </value>
          <value t="str">
            <val>12.00</val>
          </value>
          <value>
            <val>4.63</val>
          </value>
          <value t="str">
            <val>16.92</val>
          </value>
          <value t="str">
            <val>4.43</val>
          </value>
          <value t="str">
            <val>德麥</val>
          </value>
          <value t="str">
            <val>上櫃食品</val>
          </value>
          <value t="str">
            <val>台灣最大烘焙原物料供應商</val>
          </value>
        </values>
      </ddeItem>
      <ddeItem name="1264.TW-CName,InvestorConferenceDate,DateofMeetingofShareHolders,TradingDate" advise="1">
        <values cols="4">
          <value t="str">
            <val>德麥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1264.TW-ID,Name,MarketValue,Capital,NetIncomeGrowthRate,OperIncomeGrowthRate,FinancialStatementsTime,TFXRatio,MonthlyNetSalesYoY,RevenueMonth" advise="1">
        <values cols="10">
          <value t="str">
            <val>1264</val>
          </value>
          <value t="str">
            <val>德麥</val>
          </value>
          <value t="str">
            <val>96.0</val>
          </value>
          <value t="str">
            <val>3.71</val>
          </value>
          <value t="str">
            <val>1.62</val>
          </value>
          <value t="str">
            <val>0.80</val>
          </value>
          <value t="str">
            <val>2022/03</val>
          </value>
          <value t="str">
            <val>0.83</val>
          </value>
          <value t="str">
            <val>16.79</val>
          </value>
          <value t="str">
            <val>2022/06</val>
          </value>
        </values>
      </ddeItem>
      <ddeItem name="1264.TW-OperatingProfitRatio,Price,PriceChangeRatio,InOutRatioNumber,Value,YearReturn,MonthReturn,WeekReturn,FinanceBalanceDif,ChipsField2" advise="1">
        <values cols="10">
          <value t="str">
            <val>19.47</val>
          </value>
          <value>
            <val>259</val>
          </value>
          <value>
            <val>0.57999999999999996</val>
          </value>
          <value t="str">
            <val>100.00%</val>
          </value>
          <value t="str">
            <val>25.9萬</val>
          </value>
          <value t="str">
            <val>-9.48</val>
          </value>
          <value t="str">
            <val>+2.17</val>
          </value>
          <value t="str">
            <val>+0.19</val>
          </value>
          <value>
            <val>0</val>
          </value>
          <value>
            <val>0</val>
          </value>
        </values>
      </ddeItem>
      <ddeItem name="12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3.00</val>
          </value>
          <value>
            <val>2.8</val>
          </value>
          <value t="str">
            <val>1.09</val>
          </value>
          <value t="str">
            <val>1.01</val>
          </value>
          <value t="str">
            <val>漢來美食</val>
          </value>
          <value t="str">
            <val>上櫃觀光</val>
          </value>
          <value t="str">
            <val>創始於高雄，為南台灣餐飲龍頭</val>
          </value>
        </values>
      </ddeItem>
      <ddeItem name="1268.TW-CName,InvestorConferenceDate,DateofMeetingofShareHolders,TradingDate" advise="1">
        <values cols="4">
          <value t="str">
            <val>漢來美食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1268.TW-ID,Name,MarketValue,Capital,NetIncomeGrowthRate,OperIncomeGrowthRate,FinancialStatementsTime,TFXRatio,MonthlyNetSalesYoY,RevenueMonth" advise="1">
        <values cols="10">
          <value t="str">
            <val>1268</val>
          </value>
          <value t="str">
            <val>漢來美食</val>
          </value>
          <value t="str">
            <val>45.7</val>
          </value>
          <value t="str">
            <val>4.27</val>
          </value>
          <value t="str">
            <val>-43.91</val>
          </value>
          <value t="str">
            <val>-40.79</val>
          </value>
          <value t="str">
            <val>2022/03</val>
          </value>
          <value t="str">
            <val>33.14</val>
          </value>
          <value t="str">
            <val>254.06</val>
          </value>
          <value t="str">
            <val>2022/06</val>
          </value>
        </values>
      </ddeItem>
      <ddeItem name="1268.TW-OperatingProfitRatio,Price,PriceChangeRatio,InOutRatioNumber,Value,YearReturn,MonthReturn,WeekReturn,FinanceBalanceDif,ChipsField2" advise="1">
        <values cols="10">
          <value t="str">
            <val>5.21</val>
          </value>
          <value>
            <val>107</val>
          </value>
          <value>
            <val>0</val>
          </value>
          <value t="str">
            <val>83.33%</val>
          </value>
          <value t="str">
            <val>64.0萬</val>
          </value>
          <value t="str">
            <val>-15.99</val>
          </value>
          <value t="str">
            <val>+3.88</val>
          </value>
          <value t="str">
            <val>+0.47</val>
          </value>
          <value>
            <val>0</val>
          </value>
          <value>
            <val>0</val>
          </value>
        </values>
      </ddeItem>
      <ddeItem name="133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-37</val>
          </value>
          <value t="str">
            <val>2022/08/02</val>
          </value>
          <value t="str">
            <val>0.40</val>
          </value>
          <value>
            <val>1.92</val>
          </value>
          <value t="str">
            <val>1.28</val>
          </value>
          <value t="str">
            <val>0.34</val>
          </value>
          <value t="str">
            <val>台翰</val>
          </value>
          <value t="str">
            <val>上櫃電子零組件</val>
          </value>
          <value t="str">
            <val>公司主要為日系大廠Brother的模具供應商</val>
          </value>
        </values>
      </ddeItem>
      <ddeItem name="1336.TW-CName,InvestorConferenceDate,DateofMeetingofShareHolders,TradingDate" advise="1">
        <values cols="4">
          <value t="str">
            <val>台翰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1336.TW-ID,Name,MarketValue,Capital,NetIncomeGrowthRate,OperIncomeGrowthRate,FinancialStatementsTime,TFXRatio,MonthlyNetSalesYoY,RevenueMonth" advise="1">
        <values cols="10">
          <value t="str">
            <val>1336</val>
          </value>
          <value t="str">
            <val>台翰</val>
          </value>
          <value t="str">
            <val>16.0</val>
          </value>
          <value t="str">
            <val>7.71</val>
          </value>
          <value t="str">
            <val>432.14</val>
          </value>
          <value t="str">
            <val>243.05</val>
          </value>
          <value t="str">
            <val>2022/03</val>
          </value>
          <value t="str">
            <val>8.28</val>
          </value>
          <value t="str">
            <val>16.45</val>
          </value>
          <value t="str">
            <val>2022/06</val>
          </value>
        </values>
      </ddeItem>
      <ddeItem name="1336.TW-OperatingProfitRatio,Price,PriceChangeRatio,InOutRatioNumber,Value,YearReturn,MonthReturn,WeekReturn,FinanceBalanceDif,ChipsField2" advise="1">
        <values cols="10">
          <value t="str">
            <val>7.35</val>
          </value>
          <value>
            <val>20.8</val>
          </value>
          <value>
            <val>-0.24</val>
          </value>
          <value t="str">
            <val>59.46%</val>
          </value>
          <value t="str">
            <val>233萬</val>
          </value>
          <value t="str">
            <val>-7.70</val>
          </value>
          <value t="str">
            <val>+9.47</val>
          </value>
          <value t="str">
            <val>-0.72</val>
          </value>
          <value>
            <val>28</val>
          </value>
          <value>
            <val>0</val>
          </value>
        </values>
      </ddeItem>
      <ddeItem name="15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--</val>
          </value>
          <value t="str">
            <val>15.00</val>
          </value>
          <value>
            <val>5.7</val>
          </value>
          <value t="str">
            <val>20.19</val>
          </value>
          <value t="str">
            <val>5.88</val>
          </value>
          <value t="str">
            <val>精華</val>
          </value>
          <value t="str">
            <val>上櫃生技醫療</val>
          </value>
          <value t="str">
            <val>亞洲第一大，全球第五大隱形眼鏡製造廠</val>
          </value>
        </values>
      </ddeItem>
      <ddeItem name="1565.TW-CName,InvestorConferenceDate,DateofMeetingofShareHolders,TradingDate" advise="1">
        <values cols="4">
          <value t="str">
            <val>精華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1565.TW-ID,Name,MarketValue,Capital,NetIncomeGrowthRate,OperIncomeGrowthRate,FinancialStatementsTime,TFXRatio,MonthlyNetSalesYoY,RevenueMonth" advise="1">
        <values cols="10">
          <value t="str">
            <val>1565</val>
          </value>
          <value t="str">
            <val>精華</val>
          </value>
          <value t="str">
            <val>132.6</val>
          </value>
          <value t="str">
            <val>5.04</val>
          </value>
          <value t="str">
            <val>30.85</val>
          </value>
          <value t="str">
            <val>2.17</val>
          </value>
          <value t="str">
            <val>2022/03</val>
          </value>
          <value t="str">
            <val>22.16</val>
          </value>
          <value t="str">
            <val>-6.48</val>
          </value>
          <value t="str">
            <val>2022/06</val>
          </value>
        </values>
      </ddeItem>
      <ddeItem name="1565.TW-OperatingProfitRatio,Price,PriceChangeRatio,InOutRatioNumber,Value,YearReturn,MonthReturn,WeekReturn,FinanceBalanceDif,ChipsField2" advise="1">
        <values cols="10">
          <value t="str">
            <val>22.23</val>
          </value>
          <value>
            <val>263</val>
          </value>
          <value>
            <val>0.38</val>
          </value>
          <value t="str">
            <val>36.84%</val>
          </value>
          <value t="str">
            <val>1526萬</val>
          </value>
          <value t="str">
            <val>-29.08</val>
          </value>
          <value t="str">
            <val>+4.16</val>
          </value>
          <value t="str">
            <val>0.00</val>
          </value>
          <value>
            <val>19</val>
          </value>
          <value>
            <val>0</val>
          </value>
        </values>
      </ddeItem>
      <ddeItem name="156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23</val>
          </value>
          <value t="str">
            <val>2022/08/11</val>
          </value>
          <value t="str">
            <val>1.60</val>
          </value>
          <value>
            <val>6.21</val>
          </value>
          <value t="str">
            <val>3.23</val>
          </value>
          <value t="str">
            <val>1.21</val>
          </value>
          <value t="str">
            <val>濱川</val>
          </value>
          <value t="str">
            <val>上櫃電腦及週邊設備</val>
          </value>
          <value t="str">
            <val>全球NB鍵盤支架最大供應商</val>
          </value>
        </values>
      </ddeItem>
      <ddeItem name="1569.TW-CName,InvestorConferenceDate,DateofMeetingofShareHolders,TradingDate" advise="1">
        <values cols="4">
          <value t="str">
            <val>濱川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1569.TW-ID,Name,MarketValue,Capital,NetIncomeGrowthRate,OperIncomeGrowthRate,FinancialStatementsTime,TFXRatio,MonthlyNetSalesYoY,RevenueMonth" advise="1">
        <values cols="10">
          <value t="str">
            <val>1569</val>
          </value>
          <value t="str">
            <val>濱川</val>
          </value>
          <value t="str">
            <val>31.3</val>
          </value>
          <value t="str">
            <val>12.14</val>
          </value>
          <value t="str">
            <val>117.14</val>
          </value>
          <value t="str">
            <val>43.42</val>
          </value>
          <value t="str">
            <val>2022/03</val>
          </value>
          <value t="str">
            <val>12.65</val>
          </value>
          <value t="str">
            <val>21.14</val>
          </value>
          <value t="str">
            <val>2022/06</val>
          </value>
        </values>
      </ddeItem>
      <ddeItem name="1569.TW-OperatingProfitRatio,Price,PriceChangeRatio,InOutRatioNumber,Value,YearReturn,MonthReturn,WeekReturn,FinanceBalanceDif,ChipsField2" advise="1">
        <values cols="10">
          <value t="str">
            <val>10.00</val>
          </value>
          <value>
            <val>25.75</val>
          </value>
          <value>
            <val>0.19</val>
          </value>
          <value t="str">
            <val>42.91%</val>
          </value>
          <value t="str">
            <val>767萬</val>
          </value>
          <value t="str">
            <val>-3.77</val>
          </value>
          <value t="str">
            <val>+11.23</val>
          </value>
          <value t="str">
            <val>0.00</val>
          </value>
          <value>
            <val>1</val>
          </value>
          <value>
            <val>0</val>
          </value>
        </values>
      </ddeItem>
      <ddeItem name="15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</val>
          </value>
          <value t="str">
            <val>2022/06/30</val>
          </value>
          <value t="str">
            <val>1.00</val>
          </value>
          <value>
            <val>6.02</val>
          </value>
          <value t="str">
            <val>2.83</val>
          </value>
          <value t="str">
            <val>0.54</val>
          </value>
          <value t="str">
            <val>力肯</val>
          </value>
          <value t="str">
            <val>上櫃電機機械</val>
          </value>
          <value t="str">
            <val>台灣氣動釘槍製造廠商</val>
          </value>
        </values>
      </ddeItem>
      <ddeItem name="1570.TW-CName,InvestorConferenceDate,DateofMeetingofShareHolders,TradingDate" advise="1">
        <values cols="4">
          <value t="str">
            <val>力肯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1570.TW-ID,Name,MarketValue,Capital,NetIncomeGrowthRate,OperIncomeGrowthRate,FinancialStatementsTime,TFXRatio,MonthlyNetSalesYoY,RevenueMonth" advise="1">
        <values cols="10">
          <value t="str">
            <val>1570</val>
          </value>
          <value t="str">
            <val>力肯</val>
          </value>
          <value t="str">
            <val>8.5</val>
          </value>
          <value t="str">
            <val>5.15</val>
          </value>
          <value t="str">
            <val>67.74</val>
          </value>
          <value t="str">
            <val>28.02</val>
          </value>
          <value t="str">
            <val>2022/03</val>
          </value>
          <value t="str">
            <val>-25.68</val>
          </value>
          <value t="str">
            <val>-0.85</val>
          </value>
          <value t="str">
            <val>2022/06</val>
          </value>
        </values>
      </ddeItem>
      <ddeItem name="1570.TW-OperatingProfitRatio,Price,PriceChangeRatio,InOutRatioNumber,Value,YearReturn,MonthReturn,WeekReturn,FinanceBalanceDif,ChipsField2" advise="1">
        <values cols="10">
          <value t="str">
            <val>16.40</val>
          </value>
          <value>
            <val>16.600000000000001</val>
          </value>
          <value>
            <val>2.4700000000000002</val>
          </value>
          <value t="str">
            <val>83.52%</val>
          </value>
          <value t="str">
            <val>149萬</val>
          </value>
          <value t="str">
            <val>+14.14</val>
          </value>
          <value t="str">
            <val>+4.40</val>
          </value>
          <value t="str">
            <val>+3.43</val>
          </value>
          <value>
            <val>-2</val>
          </value>
          <value>
            <val>0</val>
          </value>
        </values>
      </ddeItem>
      <ddeItem name="158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2022/06/27</val>
          </value>
          <value t="str">
            <val>7.00</val>
          </value>
          <value>
            <val>7.65</val>
          </value>
          <value t="str">
            <val>9.83</val>
          </value>
          <value t="str">
            <val>1.15</val>
          </value>
          <value t="str">
            <val>新麥</val>
          </value>
          <value t="str">
            <val>上櫃電機機械</val>
          </value>
          <value t="str">
            <val>全球前6大烘焙設備商</val>
          </value>
        </values>
      </ddeItem>
      <ddeItem name="1580.TW-CName,InvestorConferenceDate,DateofMeetingofShareHolders,TradingDate" advise="1">
        <values cols="4">
          <value t="str">
            <val>新麥</val>
          </value>
          <value t="str">
            <val>2021/09/14</val>
          </value>
          <value t="str">
            <val>2022/05/31</val>
          </value>
          <value t="str">
            <val>2022/08/01</val>
          </value>
        </values>
      </ddeItem>
      <ddeItem name="1580.TW-ID,Name,MarketValue,Capital,NetIncomeGrowthRate,OperIncomeGrowthRate,FinancialStatementsTime,TFXRatio,MonthlyNetSalesYoY,RevenueMonth" advise="1">
        <values cols="10">
          <value t="str">
            <val>1580</val>
          </value>
          <value t="str">
            <val>新麥</val>
          </value>
          <value t="str">
            <val>46.0</val>
          </value>
          <value t="str">
            <val>5.02</val>
          </value>
          <value t="str">
            <val>-23.06</val>
          </value>
          <value t="str">
            <val>-28.77</val>
          </value>
          <value t="str">
            <val>2022/03</val>
          </value>
          <value t="str">
            <val>-0.77</val>
          </value>
          <value t="str">
            <val>-0.42</val>
          </value>
          <value t="str">
            <val>2022/06</val>
          </value>
        </values>
      </ddeItem>
      <ddeItem name="1580.TW-OperatingProfitRatio,Price,PriceChangeRatio,InOutRatioNumber,Value,YearReturn,MonthReturn,WeekReturn,FinanceBalanceDif,ChipsField2" advise="1">
        <values cols="10">
          <value t="str">
            <val>9.96</val>
          </value>
          <value>
            <val>91.5</val>
          </value>
          <value>
            <val>-0.11</val>
          </value>
          <value t="str">
            <val>46.55%</val>
          </value>
          <value t="str">
            <val>619萬</val>
          </value>
          <value t="str">
            <val>-4.94</val>
          </value>
          <value t="str">
            <val>+1.89</val>
          </value>
          <value t="str">
            <val>-0.33</val>
          </value>
          <value>
            <val>0</val>
          </value>
          <value>
            <val>0</val>
          </value>
        </values>
      </ddeItem>
      <ddeItem name="15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821</val>
          </value>
          <value t="str">
            <val>2022/06/14</val>
          </value>
          <value t="str">
            <val>0.20</val>
          </value>
          <value>
            <val>0.92</val>
          </value>
          <value t="str">
            <val>0.68</val>
          </value>
          <value t="str">
            <val>0.27</val>
          </value>
          <value t="str">
            <val>精剛</val>
          </value>
          <value t="str">
            <val>上櫃其他</val>
          </value>
          <value t="str">
            <val>榮剛旗下合金鋼廠</val>
          </value>
        </values>
      </ddeItem>
      <ddeItem name="1584.TW-CName,InvestorConferenceDate,DateofMeetingofShareHolders,TradingDate" advise="1">
        <values cols="4">
          <value t="str">
            <val>精剛</val>
          </value>
          <value t="str">
            <val>2021/11/30</val>
          </value>
          <value t="str">
            <val>2022/05/26</val>
          </value>
          <value t="str">
            <val>2022/08/01</val>
          </value>
        </values>
      </ddeItem>
      <ddeItem name="1584.TW-ID,Name,MarketValue,Capital,NetIncomeGrowthRate,OperIncomeGrowthRate,FinancialStatementsTime,TFXRatio,MonthlyNetSalesYoY,RevenueMonth" advise="1">
        <values cols="10">
          <value t="str">
            <val>1584</val>
          </value>
          <value t="str">
            <val>精剛</val>
          </value>
          <value t="str">
            <val>26.6</val>
          </value>
          <value t="str">
            <val>12.25</val>
          </value>
          <value t="str">
            <val>596.98</val>
          </value>
          <value t="str">
            <val>464.64</val>
          </value>
          <value t="str">
            <val>2022/03</val>
          </value>
          <value t="str">
            <val>15.65</val>
          </value>
          <value t="str">
            <val>102.52</val>
          </value>
          <value t="str">
            <val>2022/06</val>
          </value>
        </values>
      </ddeItem>
      <ddeItem name="1584.TW-OperatingProfitRatio,Price,PriceChangeRatio,InOutRatioNumber,Value,YearReturn,MonthReturn,WeekReturn,FinanceBalanceDif,ChipsField2" advise="1">
        <values cols="10">
          <value t="str">
            <val>8.13</val>
          </value>
          <value>
            <val>21.7</val>
          </value>
          <value>
            <val>5.08</val>
          </value>
          <value t="str">
            <val>57.36%</val>
          </value>
          <value t="str">
            <val>1.24億</val>
          </value>
          <value t="str">
            <val>+49.53</val>
          </value>
          <value t="str">
            <val>+27.27</val>
          </value>
          <value t="str">
            <val>+10.15</val>
          </value>
          <value>
            <val>-104</val>
          </value>
          <value>
            <val>0</val>
          </value>
        </values>
      </ddeItem>
      <ddeItem name="158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--</val>
          </value>
          <value t="str">
            <val>0.65</val>
          </value>
          <value>
            <val>1.71</val>
          </value>
          <value t="str">
            <val>1.15</val>
          </value>
          <value t="str">
            <val>0.32</val>
          </value>
          <value t="str">
            <val>和勤</val>
          </value>
          <value t="str">
            <val>上櫃電機機械</val>
          </value>
          <value t="str">
            <val>台灣汽車及硬碟零件雙核心精沖技術大廠</val>
          </value>
        </values>
      </ddeItem>
      <ddeItem name="1586.TW-CName,InvestorConferenceDate,DateofMeetingofShareHolders,TradingDate" advise="1">
        <values cols="4">
          <value t="str">
            <val>和勤</val>
          </value>
          <value t="str">
            <val>2022/04/19</val>
          </value>
          <value t="str">
            <val>2022/05/27</val>
          </value>
          <value t="str">
            <val>2022/08/01</val>
          </value>
        </values>
      </ddeItem>
      <ddeItem name="1586.TW-ID,Name,MarketValue,Capital,NetIncomeGrowthRate,OperIncomeGrowthRate,FinancialStatementsTime,TFXRatio,MonthlyNetSalesYoY,RevenueMonth" advise="1">
        <values cols="10">
          <value t="str">
            <val>1586</val>
          </value>
          <value t="str">
            <val>和勤</val>
          </value>
          <value t="str">
            <val>32.6</val>
          </value>
          <value t="str">
            <val>8.58</val>
          </value>
          <value t="str">
            <val>-32.97</val>
          </value>
          <value t="str">
            <val>-62.80</val>
          </value>
          <value t="str">
            <val>2022/03</val>
          </value>
          <value t="str">
            <val>54.33</val>
          </value>
          <value t="str">
            <val>12.64</val>
          </value>
          <value t="str">
            <val>2022/06</val>
          </value>
        </values>
      </ddeItem>
      <ddeItem name="1586.TW-OperatingProfitRatio,Price,PriceChangeRatio,InOutRatioNumber,Value,YearReturn,MonthReturn,WeekReturn,FinanceBalanceDif,ChipsField2" advise="1">
        <values cols="10">
          <value t="str">
            <val>3.15</val>
          </value>
          <value>
            <val>38</val>
          </value>
          <value>
            <val>0</val>
          </value>
          <value t="str">
            <val>51.02%</val>
          </value>
          <value t="str">
            <val>216萬</val>
          </value>
          <value t="str">
            <val>-7.15</val>
          </value>
          <value t="str">
            <val>+0.26</val>
          </value>
          <value t="str">
            <val>0.00</val>
          </value>
          <value>
            <val>-72</val>
          </value>
          <value>
            <val>0</val>
          </value>
        </values>
      </ddeItem>
      <ddeItem name="15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45</val>
          </value>
          <value t="str">
            <val>--</val>
          </value>
          <value t="str">
            <val>1.00</val>
          </value>
          <value>
            <val>5.41</val>
          </value>
          <value t="str">
            <val>1.83</val>
          </value>
          <value t="str">
            <val>0.80</val>
          </value>
          <value t="str">
            <val>駿吉-KY</val>
          </value>
          <value t="str">
            <val>上櫃電機機械</val>
          </value>
          <value t="str">
            <val>東南亞最大氣動式工業用槍釘供應商</val>
          </value>
        </values>
      </ddeItem>
      <ddeItem name="1591.TW-CName,InvestorConferenceDate,DateofMeetingofShareHolders,TradingDate" advise="1">
        <values cols="4">
          <value t="str">
            <val>駿吉-KY</val>
          </value>
          <value t="str">
            <val>2021/12/16</val>
          </value>
          <value t="str">
            <val>2022/06/24</val>
          </value>
          <value t="str">
            <val>2022/08/01</val>
          </value>
        </values>
      </ddeItem>
      <ddeItem name="1591.TW-ID,Name,MarketValue,Capital,NetIncomeGrowthRate,OperIncomeGrowthRate,FinancialStatementsTime,TFXRatio,MonthlyNetSalesYoY,RevenueMonth" advise="1">
        <values cols="10">
          <value t="str">
            <val>1591</val>
          </value>
          <value t="str">
            <val>駿吉-KY</val>
          </value>
          <value t="str">
            <val>6.1</val>
          </value>
          <value t="str">
            <val>3.32</val>
          </value>
          <value t="str">
            <val>61.97</val>
          </value>
          <value t="str">
            <val>69.75</val>
          </value>
          <value t="str">
            <val>2022/03</val>
          </value>
          <value t="str">
            <val>-10.50</val>
          </value>
          <value t="str">
            <val>7.93</val>
          </value>
          <value t="str">
            <val>2022/06</val>
          </value>
        </values>
      </ddeItem>
      <ddeItem name="1591.TW-OperatingProfitRatio,Price,PriceChangeRatio,InOutRatioNumber,Value,YearReturn,MonthReturn,WeekReturn,FinanceBalanceDif,ChipsField2" advise="1">
        <values cols="10">
          <value t="str">
            <val>19.13</val>
          </value>
          <value>
            <val>18.5</val>
          </value>
          <value>
            <val>2.78</val>
          </value>
          <value t="str">
            <val>60.27%</val>
          </value>
          <value t="str">
            <val>407萬</val>
          </value>
          <value t="str">
            <val>+15.63</val>
          </value>
          <value t="str">
            <val>-0.54</val>
          </value>
          <value t="str">
            <val>+1.09</val>
          </value>
          <value>
            <val>22</val>
          </value>
          <value>
            <val>0</val>
          </value>
        </values>
      </ddeItem>
      <ddeItem name="159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3.80</val>
          </value>
          <value>
            <val>7.6</val>
          </value>
          <value t="str">
            <val>4.26</val>
          </value>
          <value t="str">
            <val>0.34</val>
          </value>
          <value t="str">
            <val>祺驊</val>
          </value>
          <value t="str">
            <val>上櫃生技醫療</val>
          </value>
          <value t="str">
            <val>台灣運動器材零件製造商</val>
          </value>
        </values>
      </ddeItem>
      <ddeItem name="1593.TW-CName,InvestorConferenceDate,DateofMeetingofShareHolders,TradingDate" advise="1">
        <values cols="4">
          <value t="str">
            <val>祺驊</val>
          </value>
          <value t="str">
            <val>2021/12/29</val>
          </value>
          <value t="str">
            <val>2022/06/15</val>
          </value>
          <value t="str">
            <val>2022/08/01</val>
          </value>
        </values>
      </ddeItem>
      <ddeItem name="1593.TW-ID,Name,MarketValue,Capital,NetIncomeGrowthRate,OperIncomeGrowthRate,FinancialStatementsTime,TFXRatio,MonthlyNetSalesYoY,RevenueMonth" advise="1">
        <values cols="10">
          <value t="str">
            <val>1593</val>
          </value>
          <value t="str">
            <val>祺驊</val>
          </value>
          <value t="str">
            <val>17.6</val>
          </value>
          <value t="str">
            <val>3.52</val>
          </value>
          <value t="str">
            <val>-62.43</val>
          </value>
          <value t="str">
            <val>-82.60</val>
          </value>
          <value t="str">
            <val>2022/03</val>
          </value>
          <value t="str">
            <val>46.94</val>
          </value>
          <value t="str">
            <val>-62.22</val>
          </value>
          <value t="str">
            <val>2022/06</val>
          </value>
        </values>
      </ddeItem>
      <ddeItem name="1593.TW-OperatingProfitRatio,Price,PriceChangeRatio,InOutRatioNumber,Value,YearReturn,MonthReturn,WeekReturn,FinanceBalanceDif,ChipsField2" advise="1">
        <values cols="10">
          <value t="str">
            <val>3.31</val>
          </value>
          <value>
            <val>50</val>
          </value>
          <value>
            <val>0.3</val>
          </value>
          <value t="str">
            <val>43.90%</val>
          </value>
          <value t="str">
            <val>232萬</val>
          </value>
          <value t="str">
            <val>-51.27</val>
          </value>
          <value t="str">
            <val>+1.11</val>
          </value>
          <value t="str">
            <val>-2.91</val>
          </value>
          <value>
            <val>-3</val>
          </value>
          <value>
            <val>0</val>
          </value>
        </values>
      </ddeItem>
      <ddeItem name="159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2022/07/04</val>
          </value>
          <value t="str">
            <val>2.00</val>
          </value>
          <value>
            <val>5.5</val>
          </value>
          <value t="str">
            <val>5.00</val>
          </value>
          <value t="str">
            <val>1.49</val>
          </value>
          <value t="str">
            <val>川寶</val>
          </value>
          <value t="str">
            <val>上櫃電子零組件</val>
          </value>
          <value t="str">
            <val>全球知名PCB半自動曝光機廠</val>
          </value>
        </values>
      </ddeItem>
      <ddeItem name="1595.TW-CName,InvestorConferenceDate,DateofMeetingofShareHolders,TradingDate" advise="1">
        <values cols="4">
          <value t="str">
            <val>川寶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1595.TW-ID,Name,MarketValue,Capital,NetIncomeGrowthRate,OperIncomeGrowthRate,FinancialStatementsTime,TFXRatio,MonthlyNetSalesYoY,RevenueMonth" advise="1">
        <values cols="10">
          <value t="str">
            <val>1595</val>
          </value>
          <value t="str">
            <val>川寶</val>
          </value>
          <value t="str">
            <val>17.1</val>
          </value>
          <value t="str">
            <val>4.69</val>
          </value>
          <value t="str">
            <val>247.21</val>
          </value>
          <value t="str">
            <val>34.54</val>
          </value>
          <value t="str">
            <val>2022/03</val>
          </value>
          <value t="str">
            <val>5.74</val>
          </value>
          <value t="str">
            <val>-26.13</val>
          </value>
          <value t="str">
            <val>2022/06</val>
          </value>
        </values>
      </ddeItem>
      <ddeItem name="1595.TW-OperatingProfitRatio,Price,PriceChangeRatio,InOutRatioNumber,Value,YearReturn,MonthReturn,WeekReturn,FinanceBalanceDif,ChipsField2" advise="1">
        <values cols="10">
          <value t="str">
            <val>6.63</val>
          </value>
          <value>
            <val>36.35</val>
          </value>
          <value>
            <val>1.68</val>
          </value>
          <value t="str">
            <val>42.86%</val>
          </value>
          <value t="str">
            <val>40.0萬</val>
          </value>
          <value t="str">
            <val>+16.47</val>
          </value>
          <value t="str">
            <val>+4.30</val>
          </value>
          <value t="str">
            <val>+3.12</val>
          </value>
          <value>
            <val>0</val>
          </value>
          <value>
            <val>0</val>
          </value>
        </values>
      </ddeItem>
      <ddeItem name="15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</val>
          </value>
          <value t="str">
            <val>--</val>
          </value>
          <value t="str">
            <val>3.00</val>
          </value>
          <value>
            <val>6.65</val>
          </value>
          <value t="str">
            <val>4.70</val>
          </value>
          <value t="str">
            <val>1.02</val>
          </value>
          <value t="str">
            <val>宏佳騰</val>
          </value>
          <value t="str">
            <val>上櫃電機機械</val>
          </value>
          <value t="str">
            <val>以自有品牌「AEON」沙灘車起家並跨入機車領域的業者</val>
          </value>
        </values>
      </ddeItem>
      <ddeItem name="1599.TW-CName,InvestorConferenceDate,DateofMeetingofShareHolders,TradingDate" advise="1">
        <values cols="4">
          <value t="str">
            <val>宏佳騰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1599.TW-ID,Name,MarketValue,Capital,NetIncomeGrowthRate,OperIncomeGrowthRate,FinancialStatementsTime,TFXRatio,MonthlyNetSalesYoY,RevenueMonth" advise="1">
        <values cols="10">
          <value t="str">
            <val>1599</val>
          </value>
          <value t="str">
            <val>宏佳騰</val>
          </value>
          <value t="str">
            <val>33.6</val>
          </value>
          <value t="str">
            <val>7.45</val>
          </value>
          <value t="str">
            <val>-7.41</val>
          </value>
          <value t="str">
            <val>-11.63</val>
          </value>
          <value t="str">
            <val>2022/03</val>
          </value>
          <value t="str">
            <val>12.18</val>
          </value>
          <value t="str">
            <val>17.69</val>
          </value>
          <value t="str">
            <val>2022/06</val>
          </value>
        </values>
      </ddeItem>
      <ddeItem name="1599.TW-OperatingProfitRatio,Price,PriceChangeRatio,InOutRatioNumber,Value,YearReturn,MonthReturn,WeekReturn,FinanceBalanceDif,ChipsField2" advise="1">
        <values cols="10">
          <value t="str">
            <val>9.10</val>
          </value>
          <value>
            <val>45.1</val>
          </value>
          <value>
            <val>-0.66</val>
          </value>
          <value t="str">
            <val>18.31%</val>
          </value>
          <value t="str">
            <val>320萬</val>
          </value>
          <value t="str">
            <val>+13.74</val>
          </value>
          <value t="str">
            <val>+8.15</val>
          </value>
          <value t="str">
            <val>+0.22</val>
          </value>
          <value>
            <val>5</val>
          </value>
          <value>
            <val>0</val>
          </value>
        </values>
      </ddeItem>
      <ddeItem name="17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1.70</val>
          </value>
          <value>
            <val>8.31</val>
          </value>
          <value t="str">
            <val>5.22</val>
          </value>
          <value t="str">
            <val>0.14</val>
          </value>
          <value t="str">
            <val>台蠟</val>
          </value>
          <value t="str">
            <val>上櫃化工</val>
          </value>
          <value t="str">
            <val>台灣唯一蠟品專業製造商</val>
          </value>
        </values>
      </ddeItem>
      <ddeItem name="1742.TW-CName,InvestorConferenceDate,DateofMeetingofShareHolders,TradingDate" advise="1">
        <values cols="4">
          <value t="str">
            <val>台蠟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1742.TW-ID,Name,MarketValue,Capital,NetIncomeGrowthRate,OperIncomeGrowthRate,FinancialStatementsTime,TFXRatio,MonthlyNetSalesYoY,RevenueMonth" advise="1">
        <values cols="10">
          <value t="str">
            <val>1742</val>
          </value>
          <value t="str">
            <val>台蠟</val>
          </value>
          <value t="str">
            <val>16.7</val>
          </value>
          <value t="str">
            <val>8.16</val>
          </value>
          <value t="str">
            <val>354.00</val>
          </value>
          <value t="str">
            <val>-159.51</val>
          </value>
          <value t="str">
            <val>2022/03</val>
          </value>
          <value t="str">
            <val>49.40</val>
          </value>
          <value t="str">
            <val>-51.42</val>
          </value>
          <value t="str">
            <val>2022/06</val>
          </value>
        </values>
      </ddeItem>
      <ddeItem name="1742.TW-OperatingProfitRatio,Price,PriceChangeRatio,InOutRatioNumber,Value,YearReturn,MonthReturn,WeekReturn,FinanceBalanceDif,ChipsField2" advise="1">
        <values cols="10">
          <value t="str">
            <val>-3.23</val>
          </value>
          <value>
            <val>20.45</val>
          </value>
          <value>
            <val>0.49</val>
          </value>
          <value t="str">
            <val>20.83%</val>
          </value>
          <value t="str">
            <val>49.0萬</val>
          </value>
          <value t="str">
            <val>-2.62</val>
          </value>
          <value t="str">
            <val>-2.39</val>
          </value>
          <value t="str">
            <val>-1.21</val>
          </value>
          <value>
            <val>-133</val>
          </value>
          <value>
            <val>0</val>
          </value>
        </values>
      </ddeItem>
      <ddeItem name="17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2022/07/21</val>
          </value>
          <value t="str">
            <val>1.93</val>
          </value>
          <value>
            <val>2.9</val>
          </value>
          <value t="str">
            <val>2.63</val>
          </value>
          <value t="str">
            <val>0.85</val>
          </value>
          <value t="str">
            <val>生泰</val>
          </value>
          <value t="str">
            <val>上櫃生技醫療</val>
          </value>
          <value t="str">
            <val>開發及產製原料藥廠商</val>
          </value>
        </values>
      </ddeItem>
      <ddeItem name="1777.TW-CName,InvestorConferenceDate,DateofMeetingofShareHolders,TradingDate" advise="1">
        <values cols="4">
          <value t="str">
            <val>生泰</val>
          </value>
          <value t="str">
            <val>2021/12/16</val>
          </value>
          <value t="str">
            <val>2022/06/21</val>
          </value>
          <value t="str">
            <val>2022/08/01</val>
          </value>
        </values>
      </ddeItem>
      <ddeItem name="1777.TW-ID,Name,MarketValue,Capital,NetIncomeGrowthRate,OperIncomeGrowthRate,FinancialStatementsTime,TFXRatio,MonthlyNetSalesYoY,RevenueMonth" advise="1">
        <values cols="10">
          <value t="str">
            <val>1777</val>
          </value>
          <value t="str">
            <val>生泰</val>
          </value>
          <value t="str">
            <val>29.7</val>
          </value>
          <value t="str">
            <val>4.46</val>
          </value>
          <value t="str">
            <val>-34.11</val>
          </value>
          <value t="str">
            <val>-78.58</val>
          </value>
          <value t="str">
            <val>2022/03</val>
          </value>
          <value t="str">
            <val>7.88</val>
          </value>
          <value t="str">
            <val>34.35</val>
          </value>
          <value t="str">
            <val>2022/06</val>
          </value>
        </values>
      </ddeItem>
      <ddeItem name="1777.TW-OperatingProfitRatio,Price,PriceChangeRatio,InOutRatioNumber,Value,YearReturn,MonthReturn,WeekReturn,FinanceBalanceDif,ChipsField2" advise="1">
        <values cols="10">
          <value t="str">
            <val>8.55</val>
          </value>
          <value>
            <val>66.599999999999994</val>
          </value>
          <value>
            <val>0.15</val>
          </value>
          <value t="str">
            <val>100.00%</val>
          </value>
          <value t="str">
            <val>19.9萬</val>
          </value>
          <value t="str">
            <val>-0.20</val>
          </value>
          <value t="str">
            <val>+6.34</val>
          </value>
          <value t="str">
            <val>+2.46</val>
          </value>
          <value>
            <val>-2</val>
          </value>
          <value>
            <val>0</val>
          </value>
        </values>
      </ddeItem>
      <ddeItem name="17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0.00</val>
          </value>
          <value>
            <val>0</val>
          </value>
          <value t="str">
            <val>-2.01</val>
          </value>
          <value t="str">
            <val>-0.24</val>
          </value>
          <value t="str">
            <val>合世</val>
          </value>
          <value t="str">
            <val>上櫃生技醫療</val>
          </value>
          <value t="str">
            <val>全球前三大電子式血壓計廠</val>
          </value>
        </values>
      </ddeItem>
      <ddeItem name="1781.TW-CName,InvestorConferenceDate,DateofMeetingofShareHolders,TradingDate" advise="1">
        <values cols="4">
          <value t="str">
            <val>合世</val>
          </value>
          <value t="str">
            <val>2021/11/29</val>
          </value>
          <value t="str">
            <val>2022/06/29</val>
          </value>
          <value t="str">
            <val>2022/08/01</val>
          </value>
        </values>
      </ddeItem>
      <ddeItem name="1781.TW-ID,Name,MarketValue,Capital,NetIncomeGrowthRate,OperIncomeGrowthRate,FinancialStatementsTime,TFXRatio,MonthlyNetSalesYoY,RevenueMonth" advise="1">
        <values cols="10">
          <value t="str">
            <val>1781</val>
          </value>
          <value t="str">
            <val>合世</val>
          </value>
          <value t="str">
            <val>7.0</val>
          </value>
          <value t="str">
            <val>4.74</val>
          </value>
          <value t="str">
            <val>-152.98</val>
          </value>
          <value t="str">
            <val>-40.26</val>
          </value>
          <value t="str">
            <val>2022/03</val>
          </value>
          <value t="str">
            <val>129.35</val>
          </value>
          <value t="str">
            <val>106.94</val>
          </value>
          <value t="str">
            <val>2022/06</val>
          </value>
        </values>
      </ddeItem>
      <ddeItem name="1781.TW-OperatingProfitRatio,Price,PriceChangeRatio,InOutRatioNumber,Value,YearReturn,MonthReturn,WeekReturn,FinanceBalanceDif,ChipsField2" advise="1">
        <values cols="10">
          <value t="str">
            <val>-16.67</val>
          </value>
          <value>
            <val>14.8</val>
          </value>
          <value>
            <val>-1.66</val>
          </value>
          <value t="str">
            <val>22.43%</val>
          </value>
          <value t="str">
            <val>388萬</val>
          </value>
          <value t="str">
            <val>-17.78</val>
          </value>
          <value t="str">
            <val>+13.85</val>
          </value>
          <value t="str">
            <val>+2.42</val>
          </value>
          <value>
            <val>0</val>
          </value>
          <value>
            <val>0</val>
          </value>
        </values>
      </ddeItem>
      <ddeItem name="17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2022/09/05</val>
          </value>
          <value t="str">
            <val>0.48</val>
          </value>
          <value>
            <val>1.2</val>
          </value>
          <value t="str">
            <val>0.41</val>
          </value>
          <value t="str">
            <val>0.10</val>
          </value>
          <value t="str">
            <val>訊聯</val>
          </value>
          <value t="str">
            <val>上櫃生技醫療</val>
          </value>
          <value t="str">
            <val>台灣第一大臍帶血銀行與幹細胞資料庫公司</val>
          </value>
        </values>
      </ddeItem>
      <ddeItem name="1784.TW-CName,InvestorConferenceDate,DateofMeetingofShareHolders,TradingDate" advise="1">
        <values cols="4">
          <value t="str">
            <val>訊聯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1784.TW-ID,Name,MarketValue,Capital,NetIncomeGrowthRate,OperIncomeGrowthRate,FinancialStatementsTime,TFXRatio,MonthlyNetSalesYoY,RevenueMonth" advise="1">
        <values cols="10">
          <value t="str">
            <val>1784</val>
          </value>
          <value t="str">
            <val>訊聯</val>
          </value>
          <value t="str">
            <val>19.9</val>
          </value>
          <value t="str">
            <val>4.96</val>
          </value>
          <value t="str">
            <val>10.01</val>
          </value>
          <value t="str">
            <val>-36.47</val>
          </value>
          <value t="str">
            <val>2022/03</val>
          </value>
          <value t="str">
            <val>-4.71</val>
          </value>
          <value t="str">
            <val>-15.21</val>
          </value>
          <value t="str">
            <val>2022/06</val>
          </value>
        </values>
      </ddeItem>
      <ddeItem name="1784.TW-OperatingProfitRatio,Price,PriceChangeRatio,InOutRatioNumber,Value,YearReturn,MonthReturn,WeekReturn,FinanceBalanceDif,ChipsField2" advise="1">
        <values cols="10">
          <value t="str">
            <val>4.50</val>
          </value>
          <value>
            <val>40.15</val>
          </value>
          <value>
            <val>-2.5499999999999998</val>
          </value>
          <value t="str">
            <val>12.50%</val>
          </value>
          <value t="str">
            <val>423萬</val>
          </value>
          <value t="str">
            <val>-11.20</val>
          </value>
          <value t="str">
            <val>+3.48</val>
          </value>
          <value t="str">
            <val>-4.18</val>
          </value>
          <value>
            <val>7</val>
          </value>
          <value>
            <val>0</val>
          </value>
        </values>
      </ddeItem>
      <ddeItem name="1785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269</val>
          </value>
          <value t="str">
            <val>2022/07/27</val>
          </value>
          <value t="str">
            <val>1.49</val>
          </value>
          <value>
            <val>3.96</val>
          </value>
          <value t="str">
            <val>2.31</val>
          </value>
          <value t="str">
            <val>0.63</val>
          </value>
          <value t="str">
            <val>光洋科</val>
          </value>
          <value t="str">
            <val>上櫃其他電子</val>
          </value>
          <value t="str">
            <val>全球最大硬碟靶材供應商</val>
          </value>
        </values>
      </ddeItem>
      <ddeItem name="1785.TW-CName,InvestorConferenceDate,DateofMeetingofShareHolders,TradingDate" advise="1">
        <values cols="4">
          <value t="str">
            <val>光洋科</val>
          </value>
          <value t="str">
            <val>2022/04/27</val>
          </value>
          <value t="str">
            <val>2022/05/31</val>
          </value>
          <value t="str">
            <val>2022/08/01</val>
          </value>
        </values>
      </ddeItem>
      <ddeItem name="1785.TW-ID,Name,MarketValue,Capital,NetIncomeGrowthRate,OperIncomeGrowthRate,FinancialStatementsTime,TFXRatio,MonthlyNetSalesYoY,RevenueMonth" advise="1">
        <values cols="10">
          <value t="str">
            <val>1785</val>
          </value>
          <value t="str">
            <val>光洋科</val>
          </value>
          <value t="str">
            <val>224.6</val>
          </value>
          <value t="str">
            <val>59.74</val>
          </value>
          <value t="str">
            <val>42.58</val>
          </value>
          <value t="str">
            <val>49.57</val>
          </value>
          <value t="str">
            <val>2022/03</val>
          </value>
          <value t="str">
            <val>1.15</val>
          </value>
          <value t="str">
            <val>-5.57</val>
          </value>
          <value t="str">
            <val>2022/06</val>
          </value>
        </values>
      </ddeItem>
      <ddeItem name="1785.TW-OperatingProfitRatio,Price,PriceChangeRatio,InOutRatioNumber,Value,YearReturn,MonthReturn,WeekReturn,FinanceBalanceDif,ChipsField2" advise="1">
        <values cols="10">
          <value t="str">
            <val>7.11</val>
          </value>
          <value>
            <val>37.6</val>
          </value>
          <value>
            <val>1.35</val>
          </value>
          <value t="str">
            <val>57.85%</val>
          </value>
          <value t="str">
            <val>3937萬</val>
          </value>
          <value t="str">
            <val>-14.69</val>
          </value>
          <value t="str">
            <val>+1.54</val>
          </value>
          <value t="str">
            <val>-0.65</val>
          </value>
          <value>
            <val>-17</val>
          </value>
          <value>
            <val>0</val>
          </value>
        </values>
      </ddeItem>
      <ddeItem name="17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2022/07/19</val>
          </value>
          <value t="str">
            <val>7.00</val>
          </value>
          <value>
            <val>4.5199999999999996</val>
          </value>
          <value t="str">
            <val>9.17</val>
          </value>
          <value t="str">
            <val>2.29</val>
          </value>
          <value t="str">
            <val>杏昌</val>
          </value>
          <value t="str">
            <val>上櫃生技醫療</val>
          </value>
          <value t="str">
            <val>代理歐美日一線廠牌醫療器材為主</val>
          </value>
        </values>
      </ddeItem>
      <ddeItem name="1788.TW-CName,InvestorConferenceDate,DateofMeetingofShareHolders,TradingDate" advise="1">
        <values cols="4">
          <value t="str">
            <val>杏昌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1788.TW-ID,Name,MarketValue,Capital,NetIncomeGrowthRate,OperIncomeGrowthRate,FinancialStatementsTime,TFXRatio,MonthlyNetSalesYoY,RevenueMonth" advise="1">
        <values cols="10">
          <value t="str">
            <val>1788</val>
          </value>
          <value t="str">
            <val>杏昌</val>
          </value>
          <value t="str">
            <val>62.8</val>
          </value>
          <value t="str">
            <val>4.05</val>
          </value>
          <value t="str">
            <val>12.47</val>
          </value>
          <value t="str">
            <val>22.62</val>
          </value>
          <value t="str">
            <val>2022/03</val>
          </value>
          <value t="str">
            <val>-52.87</val>
          </value>
          <value t="str">
            <val>12.49</val>
          </value>
          <value t="str">
            <val>2022/06</val>
          </value>
        </values>
      </ddeItem>
      <ddeItem name="1788.TW-OperatingProfitRatio,Price,PriceChangeRatio,InOutRatioNumber,Value,YearReturn,MonthReturn,WeekReturn,FinanceBalanceDif,ChipsField2" advise="1">
        <values cols="10">
          <value t="str">
            <val>11.29</val>
          </value>
          <value>
            <val>155</val>
          </value>
          <value>
            <val>0</val>
          </value>
          <value t="str">
            <val>22.22%</val>
          </value>
          <value t="str">
            <val>279萬</val>
          </value>
          <value t="str">
            <val>+21.72</val>
          </value>
          <value t="str">
            <val>+8.11</val>
          </value>
          <value t="str">
            <val>0.00</val>
          </value>
          <value>
            <val>0</val>
          </value>
          <value>
            <val>0</val>
          </value>
        </values>
      </ddeItem>
      <ddeItem name="17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2022/06/23</val>
          </value>
          <value t="str">
            <val>1.00</val>
          </value>
          <value>
            <val>2.21</val>
          </value>
          <value t="str">
            <val>1.65</val>
          </value>
          <value t="str">
            <val>0.50</val>
          </value>
          <value t="str">
            <val>金穎生技</val>
          </value>
          <value t="str">
            <val>上櫃食品</val>
          </value>
          <value t="str">
            <val>為醱酵原料及保健品廠商</val>
          </value>
        </values>
      </ddeItem>
      <ddeItem name="1796.TW-CName,InvestorConferenceDate,DateofMeetingofShareHolders,TradingDate" advise="1">
        <values cols="4">
          <value t="str">
            <val>金穎生技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1796.TW-ID,Name,MarketValue,Capital,NetIncomeGrowthRate,OperIncomeGrowthRate,FinancialStatementsTime,TFXRatio,MonthlyNetSalesYoY,RevenueMonth" advise="1">
        <values cols="10">
          <value t="str">
            <val>1796</val>
          </value>
          <value t="str">
            <val>金穎生技</val>
          </value>
          <value t="str">
            <val>18.7</val>
          </value>
          <value t="str">
            <val>4.15</val>
          </value>
          <value t="str">
            <val>80.87</val>
          </value>
          <value t="str">
            <val>37.79</val>
          </value>
          <value t="str">
            <val>2022/03</val>
          </value>
          <value t="str">
            <val>-1.94</val>
          </value>
          <value t="str">
            <val>29.34</val>
          </value>
          <value t="str">
            <val>2022/06</val>
          </value>
        </values>
      </ddeItem>
      <ddeItem name="1796.TW-OperatingProfitRatio,Price,PriceChangeRatio,InOutRatioNumber,Value,YearReturn,MonthReturn,WeekReturn,FinanceBalanceDif,ChipsField2" advise="1">
        <values cols="10">
          <value t="str">
            <val>15.19</val>
          </value>
          <value>
            <val>45.15</val>
          </value>
          <value>
            <val>2.73</val>
          </value>
          <value t="str">
            <val>64.00%</val>
          </value>
          <value t="str">
            <val>344萬</val>
          </value>
          <value t="str">
            <val>+38.13</val>
          </value>
          <value t="str">
            <val>+8.01</val>
          </value>
          <value t="str">
            <val>+8.53</val>
          </value>
          <value>
            <val>1</val>
          </value>
          <value>
            <val>0</val>
          </value>
        </values>
      </ddeItem>
      <ddeItem name="17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--</val>
          </value>
          <value t="str">
            <val>0.00</val>
          </value>
          <value>
            <val>0</val>
          </value>
          <value t="str">
            <val>-1.34</val>
          </value>
          <value t="str">
            <val>-0.32</val>
          </value>
          <value t="str">
            <val>易威</val>
          </value>
          <value t="str">
            <val>上櫃生技醫療</val>
          </value>
          <value t="str">
            <val>轉型新劑型藥物及原料藥研發廠</val>
          </value>
        </values>
      </ddeItem>
      <ddeItem name="1799.TW-CName,InvestorConferenceDate,DateofMeetingofShareHolders,TradingDate" advise="1">
        <values cols="4">
          <value t="str">
            <val>易威</val>
          </value>
          <value t="str">
            <val>2021/12/17</val>
          </value>
          <value t="str">
            <val>2022/06/27</val>
          </value>
          <value t="str">
            <val>2022/08/01</val>
          </value>
        </values>
      </ddeItem>
      <ddeItem name="1799.TW-ID,Name,MarketValue,Capital,NetIncomeGrowthRate,OperIncomeGrowthRate,FinancialStatementsTime,TFXRatio,MonthlyNetSalesYoY,RevenueMonth" advise="1">
        <values cols="10">
          <value t="str">
            <val>1799</val>
          </value>
          <value t="str">
            <val>易威</val>
          </value>
          <value t="str">
            <val>21.2</val>
          </value>
          <value t="str">
            <val>16.34</val>
          </value>
          <value t="str">
            <val>-21749.21</val>
          </value>
          <value t="str">
            <val>-0.73</val>
          </value>
          <value t="str">
            <val>2022/03</val>
          </value>
          <value t="str">
            <val>118.10</val>
          </value>
          <value t="str">
            <val>167.60</val>
          </value>
          <value t="str">
            <val>2022/06</val>
          </value>
        </values>
      </ddeItem>
      <ddeItem name="1799.TW-OperatingProfitRatio,Price,PriceChangeRatio,InOutRatioNumber,Value,YearReturn,MonthReturn,WeekReturn,FinanceBalanceDif,ChipsField2" advise="1">
        <values cols="10">
          <value t="str">
            <val>-154.17</val>
          </value>
          <value>
            <val>13</val>
          </value>
          <value>
            <val>-0.76</val>
          </value>
          <value t="str">
            <val>16.22%</val>
          </value>
          <value t="str">
            <val>147萬</val>
          </value>
          <value t="str">
            <val>-16.93</val>
          </value>
          <value t="str">
            <val>+4.84</val>
          </value>
          <value t="str">
            <val>-5.45</val>
          </value>
          <value>
            <val>0</val>
          </value>
          <value>
            <val>0</val>
          </value>
        </values>
      </ddeItem>
      <ddeItem name="18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2022/08/03</val>
          </value>
          <value t="str">
            <val>0.50</val>
          </value>
          <value>
            <val>2.56</val>
          </value>
          <value t="str">
            <val>-0.20</val>
          </value>
          <value t="str">
            <val>0.32</val>
          </value>
          <value t="str">
            <val>寶利徠</val>
          </value>
          <value t="str">
            <val>上櫃生技醫療</val>
          </value>
          <value t="str">
            <val>全球第三大PC(聚碳酸酯樹脂)光學鏡片商</val>
          </value>
        </values>
      </ddeItem>
      <ddeItem name="1813.TW-CName,InvestorConferenceDate,DateofMeetingofShareHolders,TradingDate" advise="1">
        <values cols="4">
          <value t="str">
            <val>寶利徠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1813.TW-ID,Name,MarketValue,Capital,NetIncomeGrowthRate,OperIncomeGrowthRate,FinancialStatementsTime,TFXRatio,MonthlyNetSalesYoY,RevenueMonth" advise="1">
        <values cols="10">
          <value t="str">
            <val>1813</val>
          </value>
          <value t="str">
            <val>寶利徠</val>
          </value>
          <value t="str">
            <val>9.1</val>
          </value>
          <value t="str">
            <val>4.66</val>
          </value>
          <value t="str">
            <val>5.22</val>
          </value>
          <value t="str">
            <val>-952.72</val>
          </value>
          <value t="str">
            <val>2022/03</val>
          </value>
          <value t="str">
            <val>7.99</val>
          </value>
          <value t="str">
            <val>13.44</val>
          </value>
          <value t="str">
            <val>2022/06</val>
          </value>
        </values>
      </ddeItem>
      <ddeItem name="1813.TW-OperatingProfitRatio,Price,PriceChangeRatio,InOutRatioNumber,Value,YearReturn,MonthReturn,WeekReturn,FinanceBalanceDif,ChipsField2" advise="1">
        <values cols="10">
          <value t="str">
            <val>-17.64</val>
          </value>
          <value>
            <val>19.55</val>
          </value>
          <value>
            <val>1.56</val>
          </value>
          <value t="str">
            <val>52.17%</val>
          </value>
          <value t="str">
            <val>89.6萬</val>
          </value>
          <value t="str">
            <val>+1.82</val>
          </value>
          <value t="str">
            <val>+5.68</val>
          </value>
          <value t="str">
            <val>+3.71</val>
          </value>
          <value>
            <val>-24</val>
          </value>
          <value>
            <val>0</val>
          </value>
        </values>
      </ddeItem>
      <ddeItem name="18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128</val>
          </value>
          <value t="str">
            <val>2022/08/09</val>
          </value>
          <value t="str">
            <val>0.90</val>
          </value>
          <value>
            <val>7</val>
          </value>
          <value t="str">
            <val>1.55</val>
          </value>
          <value t="str">
            <val>0.13</val>
          </value>
          <value t="str">
            <val>富喬</val>
          </value>
          <value t="str">
            <val>上櫃電子零組件</val>
          </value>
          <value t="str">
            <val>台灣玻纖紗、玻纖布一貫廠</val>
          </value>
        </values>
      </ddeItem>
      <ddeItem name="1815.TW-CName,InvestorConferenceDate,DateofMeetingofShareHolders,TradingDate" advise="1">
        <values cols="4">
          <value t="str">
            <val>富喬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1815.TW-ID,Name,MarketValue,Capital,NetIncomeGrowthRate,OperIncomeGrowthRate,FinancialStatementsTime,TFXRatio,MonthlyNetSalesYoY,RevenueMonth" advise="1">
        <values cols="10">
          <value t="str">
            <val>1815</val>
          </value>
          <value t="str">
            <val>富喬</val>
          </value>
          <value t="str">
            <val>55.1</val>
          </value>
          <value t="str">
            <val>42.85</val>
          </value>
          <value t="str">
            <val>841.88</val>
          </value>
          <value t="str">
            <val>379.85</val>
          </value>
          <value t="str">
            <val>2022/03</val>
          </value>
          <value t="str">
            <val>-1.27</val>
          </value>
          <value t="str">
            <val>-19.28</val>
          </value>
          <value t="str">
            <val>2022/06</val>
          </value>
        </values>
      </ddeItem>
      <ddeItem name="1815.TW-OperatingProfitRatio,Price,PriceChangeRatio,InOutRatioNumber,Value,YearReturn,MonthReturn,WeekReturn,FinanceBalanceDif,ChipsField2" advise="1">
        <values cols="10">
          <value t="str">
            <val>5.12</val>
          </value>
          <value>
            <val>12.85</val>
          </value>
          <value>
            <val>0.39</val>
          </value>
          <value t="str">
            <val>55.27%</val>
          </value>
          <value t="str">
            <val>500萬</val>
          </value>
          <value t="str">
            <val>-34.27</val>
          </value>
          <value t="str">
            <val>+5.76</val>
          </value>
          <value t="str">
            <val>0.00</val>
          </value>
          <value>
            <val>10</val>
          </value>
          <value>
            <val>0</val>
          </value>
        </values>
      </ddeItem>
      <ddeItem name="20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5.20</val>
          </value>
          <value t="str">
            <val>0.83</val>
          </value>
          <value t="str">
            <val>唐榮</val>
          </value>
          <value t="str">
            <val>上櫃鋼鐵</val>
          </value>
          <value t="str">
            <val>台灣第二大不鏽鋼廠</val>
          </value>
        </values>
      </ddeItem>
      <ddeItem name="2035.TW-CName,InvestorConferenceDate,DateofMeetingofShareHolders,TradingDate" advise="1">
        <values cols="4">
          <value t="str">
            <val>唐榮</val>
          </value>
          <value t="str">
            <val>2022/05/20</val>
          </value>
          <value t="str">
            <val>2022/06/14</val>
          </value>
          <value t="str">
            <val>2022/08/01</val>
          </value>
        </values>
      </ddeItem>
      <ddeItem name="2035.TW-ID,Name,MarketValue,Capital,NetIncomeGrowthRate,OperIncomeGrowthRate,FinancialStatementsTime,TFXRatio,MonthlyNetSalesYoY,RevenueMonth" advise="1">
        <values cols="10">
          <value t="str">
            <val>2035</val>
          </value>
          <value t="str">
            <val>唐榮</val>
          </value>
          <value t="str">
            <val>117.6</val>
          </value>
          <value t="str">
            <val>35.00</val>
          </value>
          <value t="str">
            <val>418.72</val>
          </value>
          <value t="str">
            <val>456.54</val>
          </value>
          <value t="str">
            <val>2022/03</val>
          </value>
          <value t="str">
            <val>-28.55</val>
          </value>
          <value t="str">
            <val>-37.68</val>
          </value>
          <value t="str">
            <val>2022/06</val>
          </value>
        </values>
      </ddeItem>
      <ddeItem name="2035.TW-OperatingProfitRatio,Price,PriceChangeRatio,InOutRatioNumber,Value,YearReturn,MonthReturn,WeekReturn,FinanceBalanceDif,ChipsField2" advise="1">
        <values cols="10">
          <value t="str">
            <val>6.65</val>
          </value>
          <value>
            <val>33.6</val>
          </value>
          <value>
            <val>5.83</val>
          </value>
          <value t="str">
            <val>61.24%</val>
          </value>
          <value t="str">
            <val>477萬</val>
          </value>
          <value t="str">
            <val>-13.62</val>
          </value>
          <value t="str">
            <val>+5.99</val>
          </value>
          <value t="str">
            <val>+5.49</val>
          </value>
          <value>
            <val>-3</val>
          </value>
          <value>
            <val>0</val>
          </value>
        </values>
      </ddeItem>
      <ddeItem name="20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2022/07/12</val>
          </value>
          <value t="str">
            <val>1.00</val>
          </value>
          <value>
            <val>5.51</val>
          </value>
          <value t="str">
            <val>1.12</val>
          </value>
          <value t="str">
            <val>0.23</val>
          </value>
          <value t="str">
            <val>風青</val>
          </value>
          <value t="str">
            <val>上櫃電器電纜</val>
          </value>
          <value t="str">
            <val>台灣知名漆包線供應商</val>
          </value>
        </values>
      </ddeItem>
      <ddeItem name="2061.TW-CName,InvestorConferenceDate,DateofMeetingofShareHolders,TradingDate" advise="1">
        <values cols="4">
          <value t="str">
            <val>風青</val>
          </value>
          <value t="str">
            <val>2021/12/27</val>
          </value>
          <value t="str">
            <val>2022/06/14</val>
          </value>
          <value t="str">
            <val>2022/08/01</val>
          </value>
        </values>
      </ddeItem>
      <ddeItem name="2061.TW-ID,Name,MarketValue,Capital,NetIncomeGrowthRate,OperIncomeGrowthRate,FinancialStatementsTime,TFXRatio,MonthlyNetSalesYoY,RevenueMonth" advise="1">
        <values cols="10">
          <value t="str">
            <val>2061</val>
          </value>
          <value t="str">
            <val>風青</val>
          </value>
          <value t="str">
            <val>8.5</val>
          </value>
          <value t="str">
            <val>4.69</val>
          </value>
          <value t="str">
            <val>-84.10</val>
          </value>
          <value t="str">
            <val>-61.56</val>
          </value>
          <value t="str">
            <val>2022/03</val>
          </value>
          <value t="str">
            <val>14.58</val>
          </value>
          <value t="str">
            <val>-2.30</val>
          </value>
          <value t="str">
            <val>2022/06</val>
          </value>
        </values>
      </ddeItem>
      <ddeItem name="2061.TW-OperatingProfitRatio,Price,PriceChangeRatio,InOutRatioNumber,Value,YearReturn,MonthReturn,WeekReturn,FinanceBalanceDif,ChipsField2" advise="1">
        <values cols="10">
          <value t="str">
            <val>1.83</val>
          </value>
          <value>
            <val>18.149999999999999</val>
          </value>
          <value>
            <val>0.28000000000000003</val>
          </value>
          <value t="str">
            <val>20.00%</val>
          </value>
          <value t="str">
            <val>9.14萬</val>
          </value>
          <value t="str">
            <val>-4.40</val>
          </value>
          <value t="str">
            <val>+5.31</val>
          </value>
          <value t="str">
            <val>-3.97</val>
          </value>
          <value>
            <val>2</val>
          </value>
          <value>
            <val>0</val>
          </value>
        </values>
      </ddeItem>
      <ddeItem name="2063.TW-ChipsField3,ChipsField1,ChipsField25,CashAndStockDividend,CashDividendYieldRate,ProfitFourSeason,ProfitSingle,CName,ExchangeIndustry,CompanyPos" advise="1">
        <values cols="10">
          <value>
            <val>-59</val>
          </value>
          <value>
            <val>-2</val>
          </value>
          <value t="str">
            <val>2022/03/31</val>
          </value>
          <value t="str">
            <val>2.00</val>
          </value>
          <value>
            <val>9.15</val>
          </value>
          <value t="str">
            <val>3.41</val>
          </value>
          <value t="str">
            <val>0.91</val>
          </value>
          <value t="str">
            <val>世鎧</val>
          </value>
          <value t="str">
            <val>上櫃鋼鐵</val>
          </value>
          <value t="str">
            <val>台灣最大不鏽鋼及合金鋼複合螺絲製造公司</val>
          </value>
        </values>
      </ddeItem>
      <ddeItem name="2063.TW-CName,InvestorConferenceDate,DateofMeetingofShareHolders,TradingDate" advise="1">
        <values cols="4">
          <value t="str">
            <val>世鎧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2063.TW-ID,Name,MarketValue,Capital,NetIncomeGrowthRate,OperIncomeGrowthRate,FinancialStatementsTime,TFXRatio,MonthlyNetSalesYoY,RevenueMonth" advise="1">
        <values cols="10">
          <value t="str">
            <val>2063</val>
          </value>
          <value t="str">
            <val>世鎧</val>
          </value>
          <value t="str">
            <val>14.8</val>
          </value>
          <value t="str">
            <val>4.87</val>
          </value>
          <value t="str">
            <val>11.86</val>
          </value>
          <value t="str">
            <val>1.82</val>
          </value>
          <value t="str">
            <val>2022/03</val>
          </value>
          <value t="str">
            <val>-29.56</val>
          </value>
          <value t="str">
            <val>-7.18</val>
          </value>
          <value t="str">
            <val>2022/06</val>
          </value>
        </values>
      </ddeItem>
      <ddeItem name="2063.TW-OperatingProfitRatio,Price,PriceChangeRatio,InOutRatioNumber,Value,YearReturn,MonthReturn,WeekReturn,FinanceBalanceDif,ChipsField2" advise="1">
        <values cols="10">
          <value t="str">
            <val>14.23</val>
          </value>
          <value>
            <val>32.799999999999997</val>
          </value>
          <value>
            <val>1.23</val>
          </value>
          <value t="str">
            <val>37.79%</val>
          </value>
          <value t="str">
            <val>1606萬</val>
          </value>
          <value t="str">
            <val>-4.00</val>
          </value>
          <value t="str">
            <val>-0.30</val>
          </value>
          <value t="str">
            <val>+1.71</val>
          </value>
          <value>
            <val>-4</val>
          </value>
          <value>
            <val>0</val>
          </value>
        </values>
      </ddeItem>
      <ddeItem name="20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2022/06/29</val>
          </value>
          <value t="str">
            <val>1.00</val>
          </value>
          <value>
            <val>6.15</val>
          </value>
          <value t="str">
            <val>2.12</val>
          </value>
          <value t="str">
            <val>0.57</val>
          </value>
          <value t="str">
            <val>晉椿</val>
          </value>
          <value t="str">
            <val>上櫃鋼鐵</val>
          </value>
          <value t="str">
            <val>高階棒鋼龍頭大廠</val>
          </value>
        </values>
      </ddeItem>
      <ddeItem name="2064.TW-CName,InvestorConferenceDate,DateofMeetingofShareHolders,TradingDate" advise="1">
        <values cols="4">
          <value t="str">
            <val>晉椿</val>
          </value>
          <value t="str">
            <val>--</val>
          </value>
          <value t="str">
            <val>2022/06/13</val>
          </value>
          <value t="str">
            <val>2022/08/01</val>
          </value>
        </values>
      </ddeItem>
      <ddeItem name="2064.TW-ID,Name,MarketValue,Capital,NetIncomeGrowthRate,OperIncomeGrowthRate,FinancialStatementsTime,TFXRatio,MonthlyNetSalesYoY,RevenueMonth" advise="1">
        <values cols="10">
          <value t="str">
            <val>2064</val>
          </value>
          <value t="str">
            <val>晉椿</val>
          </value>
          <value t="str">
            <val>11.3</val>
          </value>
          <value t="str">
            <val>6.96</val>
          </value>
          <value t="str">
            <val>120.16</val>
          </value>
          <value t="str">
            <val>19.61</val>
          </value>
          <value t="str">
            <val>2022/03</val>
          </value>
          <value t="str">
            <val>-30.65</val>
          </value>
          <value t="str">
            <val>-40.10</val>
          </value>
          <value t="str">
            <val>2022/06</val>
          </value>
        </values>
      </ddeItem>
      <ddeItem name="2064.TW-OperatingProfitRatio,Price,PriceChangeRatio,InOutRatioNumber,Value,YearReturn,MonthReturn,WeekReturn,FinanceBalanceDif,ChipsField2" advise="1">
        <values cols="10">
          <value t="str">
            <val>3.83</val>
          </value>
          <value>
            <val>16.25</val>
          </value>
          <value>
            <val>6.56</val>
          </value>
          <value t="str">
            <val>62.92%</val>
          </value>
          <value t="str">
            <val>448萬</val>
          </value>
          <value t="str">
            <val>-13.37</val>
          </value>
          <value t="str">
            <val>+6.21</val>
          </value>
          <value t="str">
            <val>+4.17</val>
          </value>
          <value>
            <val>-16</val>
          </value>
          <value>
            <val>0</val>
          </value>
        </values>
      </ddeItem>
      <ddeItem name="2065.TW-ChipsField3,ChipsField1,ChipsField25,CashAndStockDividend,CashDividendYieldRate,ProfitFourSeason,ProfitSingle,CName,ExchangeIndustry,CompanyPos" advise="1">
        <values cols="10">
          <value>
            <val>-21</val>
          </value>
          <value>
            <val>1</val>
          </value>
          <value t="str">
            <val>2022/04/07</val>
          </value>
          <value t="str">
            <val>4.00</val>
          </value>
          <value>
            <val>10.79</val>
          </value>
          <value t="str">
            <val>6.45</val>
          </value>
          <value t="str">
            <val>1.72</val>
          </value>
          <value t="str">
            <val>世豐</val>
          </value>
          <value t="str">
            <val>上櫃鋼鐵</val>
          </value>
          <value t="str">
            <val>台灣最大烤漆、噴頭表面塗裝螺絲廠</val>
          </value>
        </values>
      </ddeItem>
      <ddeItem name="2065.TW-CName,InvestorConferenceDate,DateofMeetingofShareHolders,TradingDate" advise="1">
        <values cols="4">
          <value t="str">
            <val>世豐</val>
          </value>
          <value t="str">
            <val>2022/07/27</val>
          </value>
          <value t="str">
            <val>2022/06/09</val>
          </value>
          <value t="str">
            <val>2022/08/01</val>
          </value>
        </values>
      </ddeItem>
      <ddeItem name="2065.TW-ID,Name,MarketValue,Capital,NetIncomeGrowthRate,OperIncomeGrowthRate,FinancialStatementsTime,TFXRatio,MonthlyNetSalesYoY,RevenueMonth" advise="1">
        <values cols="10">
          <value t="str">
            <val>2065</val>
          </value>
          <value t="str">
            <val>世豐</val>
          </value>
          <value t="str">
            <val>25.9</val>
          </value>
          <value t="str">
            <val>5.44</val>
          </value>
          <value t="str">
            <val>55.78</val>
          </value>
          <value t="str">
            <val>16.94</val>
          </value>
          <value t="str">
            <val>2022/06</val>
          </value>
          <value t="str">
            <val>-0.39</val>
          </value>
          <value t="str">
            <val>-13.53</val>
          </value>
          <value t="str">
            <val>2022/06</val>
          </value>
        </values>
      </ddeItem>
      <ddeItem name="2065.TW-OperatingProfitRatio,Price,PriceChangeRatio,InOutRatioNumber,Value,YearReturn,MonthReturn,WeekReturn,FinanceBalanceDif,ChipsField2" advise="1">
        <values cols="10">
          <value t="str">
            <val>14.14</val>
          </value>
          <value>
            <val>47.65</val>
          </value>
          <value>
            <val>0.32</val>
          </value>
          <value t="str">
            <val>48.09%</val>
          </value>
          <value t="str">
            <val>874萬</val>
          </value>
          <value t="str">
            <val>+11.91</val>
          </value>
          <value t="str">
            <val>+11.46</val>
          </value>
          <value t="str">
            <val>+5.89</val>
          </value>
          <value>
            <val>-1</val>
          </value>
          <value>
            <val>0</val>
          </value>
        </values>
      </ddeItem>
      <ddeItem name="2066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-1</val>
          </value>
          <value t="str">
            <val>2022/08/24</val>
          </value>
          <value t="str">
            <val>2.00</val>
          </value>
          <value>
            <val>3.01</val>
          </value>
          <value t="str">
            <val>4.93</val>
          </value>
          <value t="str">
            <val>1.58</val>
          </value>
          <value t="str">
            <val>世德</val>
          </value>
          <value t="str">
            <val>上櫃電機機械</val>
          </value>
          <value t="str">
            <val>全球汽車大廠之第一階扣件及金屬零件供應商</val>
          </value>
        </values>
      </ddeItem>
      <ddeItem name="2066.TW-CName,InvestorConferenceDate,DateofMeetingofShareHolders,TradingDate" advise="1">
        <values cols="4">
          <value t="str">
            <val>世德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2066.TW-ID,Name,MarketValue,Capital,NetIncomeGrowthRate,OperIncomeGrowthRate,FinancialStatementsTime,TFXRatio,MonthlyNetSalesYoY,RevenueMonth" advise="1">
        <values cols="10">
          <value t="str">
            <val>2066</val>
          </value>
          <value t="str">
            <val>世德</val>
          </value>
          <value t="str">
            <val>24.3</val>
          </value>
          <value t="str">
            <val>3.65</val>
          </value>
          <value t="str">
            <val>120.70</val>
          </value>
          <value t="str">
            <val>29.82</val>
          </value>
          <value t="str">
            <val>2022/03</val>
          </value>
          <value t="str">
            <val>-4.72</val>
          </value>
          <value t="str">
            <val>23.07</val>
          </value>
          <value t="str">
            <val>2022/06</val>
          </value>
        </values>
      </ddeItem>
      <ddeItem name="2066.TW-OperatingProfitRatio,Price,PriceChangeRatio,InOutRatioNumber,Value,YearReturn,MonthReturn,WeekReturn,FinanceBalanceDif,ChipsField2" advise="1">
        <values cols="10">
          <value t="str">
            <val>7.71</val>
          </value>
          <value>
            <val>66.5</val>
          </value>
          <value>
            <val>1.06</val>
          </value>
          <value t="str">
            <val>74.19%</val>
          </value>
          <value t="str">
            <val>205萬</val>
          </value>
          <value t="str">
            <val>+29.21</val>
          </value>
          <value t="str">
            <val>+6.57</val>
          </value>
          <value t="str">
            <val>+1.84</val>
          </value>
          <value>
            <val>1</val>
          </value>
          <value>
            <val>0</val>
          </value>
        </values>
      </ddeItem>
      <ddeItem name="20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-0.50</val>
          </value>
          <value t="str">
            <val>-0.21</val>
          </value>
          <value t="str">
            <val>嘉鋼</val>
          </value>
          <value t="str">
            <val>上櫃電機機械</val>
          </value>
          <value t="str">
            <val>台灣小型鑄件廠</val>
          </value>
        </values>
      </ddeItem>
      <ddeItem name="2067.TW-CName,InvestorConferenceDate,DateofMeetingofShareHolders,TradingDate" advise="1">
        <values cols="4">
          <value t="str">
            <val>嘉鋼</val>
          </value>
          <value t="str">
            <val>--</val>
          </value>
          <value t="str">
            <val>2022/06/28</val>
          </value>
          <value t="str">
            <val>2022/08/01</val>
          </value>
        </values>
      </ddeItem>
      <ddeItem name="2067.TW-ID,Name,MarketValue,Capital,NetIncomeGrowthRate,OperIncomeGrowthRate,FinancialStatementsTime,TFXRatio,MonthlyNetSalesYoY,RevenueMonth" advise="1">
        <values cols="10">
          <value t="str">
            <val>2067</val>
          </value>
          <value t="str">
            <val>嘉鋼</val>
          </value>
          <value t="str">
            <val>5.9</val>
          </value>
          <value t="str">
            <val>4.51</val>
          </value>
          <value t="str">
            <val>-633.00</val>
          </value>
          <value t="str">
            <val>-316.11</val>
          </value>
          <value t="str">
            <val>2022/03</val>
          </value>
          <value t="str">
            <val>-17.48</val>
          </value>
          <value t="str">
            <val>24.48</val>
          </value>
          <value t="str">
            <val>2022/06</val>
          </value>
        </values>
      </ddeItem>
      <ddeItem name="2067.TW-OperatingProfitRatio,Price,PriceChangeRatio,InOutRatioNumber,Value,YearReturn,MonthReturn,WeekReturn,FinanceBalanceDif,ChipsField2" advise="1">
        <values cols="10">
          <value t="str">
            <val>-6.31</val>
          </value>
          <value>
            <val>13</val>
          </value>
          <value>
            <val>-1.89</val>
          </value>
          <value t="str">
            <val>0.00%</val>
          </value>
          <value t="str">
            <val>10.4萬</val>
          </value>
          <value t="str">
            <val>0.00</val>
          </value>
          <value t="str">
            <val>+1.17</val>
          </value>
          <value t="str">
            <val>-2.62</val>
          </value>
          <value>
            <val>0</val>
          </value>
          <value>
            <val>0</val>
          </value>
        </values>
      </ddeItem>
      <ddeItem name="20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2022/04/07</val>
          </value>
          <value t="str">
            <val>1.50</val>
          </value>
          <value>
            <val>4.34</val>
          </value>
          <value t="str">
            <val>3.19</val>
          </value>
          <value t="str">
            <val>0.84</val>
          </value>
          <value t="str">
            <val>精湛</val>
          </value>
          <value t="str">
            <val>上櫃電機機械</val>
          </value>
          <value t="str">
            <val>台灣緊固件篩選設備大廠</val>
          </value>
        </values>
      </ddeItem>
      <ddeItem name="2070.TW-CName,InvestorConferenceDate,DateofMeetingofShareHolders,TradingDate" advise="1">
        <values cols="4">
          <value t="str">
            <val>精湛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2070.TW-ID,Name,MarketValue,Capital,NetIncomeGrowthRate,OperIncomeGrowthRate,FinancialStatementsTime,TFXRatio,MonthlyNetSalesYoY,RevenueMonth" advise="1">
        <values cols="10">
          <value t="str">
            <val>2070</val>
          </value>
          <value t="str">
            <val>精湛</val>
          </value>
          <value t="str">
            <val>12.4</val>
          </value>
          <value t="str">
            <val>3.58</val>
          </value>
          <value t="str">
            <val>170.36</val>
          </value>
          <value t="str">
            <val>-101.16</val>
          </value>
          <value t="str">
            <val>2022/03</val>
          </value>
          <value t="str">
            <val>125.12</val>
          </value>
          <value t="str">
            <val>82.27</val>
          </value>
          <value t="str">
            <val>2022/06</val>
          </value>
        </values>
      </ddeItem>
      <ddeItem name="2070.TW-OperatingProfitRatio,Price,PriceChangeRatio,InOutRatioNumber,Value,YearReturn,MonthReturn,WeekReturn,FinanceBalanceDif,ChipsField2" advise="1">
        <values cols="10">
          <value t="str">
            <val>-0.17</val>
          </value>
          <value>
            <val>34.6</val>
          </value>
          <value>
            <val>1.32</val>
          </value>
          <value t="str">
            <val>83.87%</val>
          </value>
          <value t="str">
            <val>107萬</val>
          </value>
          <value t="str">
            <val>+35.25</val>
          </value>
          <value t="str">
            <val>+16.69</val>
          </value>
          <value t="str">
            <val>-0.43</val>
          </value>
          <value>
            <val>-1</val>
          </value>
          <value>
            <val>0</val>
          </value>
        </values>
      </ddeItem>
      <ddeItem name="22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2022/07/12</val>
          </value>
          <value t="str">
            <val>3.00</val>
          </value>
          <value>
            <val>9.02</val>
          </value>
          <value t="str">
            <val>5.21</val>
          </value>
          <value t="str">
            <val>1.34</val>
          </value>
          <value t="str">
            <val>大甲</val>
          </value>
          <value t="str">
            <val>上櫃其他</val>
          </value>
          <value t="str">
            <val>台灣最大不鏽鋼焊接管配件廠，客戶以化工廠為主</val>
          </value>
        </values>
      </ddeItem>
      <ddeItem name="2221.TW-CName,InvestorConferenceDate,DateofMeetingofShareHolders,TradingDate" advise="1">
        <values cols="4">
          <value t="str">
            <val>大甲</val>
          </value>
          <value t="str">
            <val>2021/12/17</val>
          </value>
          <value t="str">
            <val>2022/06/27</val>
          </value>
          <value t="str">
            <val>2022/08/01</val>
          </value>
        </values>
      </ddeItem>
      <ddeItem name="2221.TW-ID,Name,MarketValue,Capital,NetIncomeGrowthRate,OperIncomeGrowthRate,FinancialStatementsTime,TFXRatio,MonthlyNetSalesYoY,RevenueMonth" advise="1">
        <values cols="10">
          <value t="str">
            <val>2221</val>
          </value>
          <value t="str">
            <val>大甲</val>
          </value>
          <value t="str">
            <val>14.1</val>
          </value>
          <value t="str">
            <val>4.23</val>
          </value>
          <value t="str">
            <val>219.23</val>
          </value>
          <value t="str">
            <val>146.05</val>
          </value>
          <value t="str">
            <val>2022/03</val>
          </value>
          <value t="str">
            <val>14.56</val>
          </value>
          <value t="str">
            <val>2.55</val>
          </value>
          <value t="str">
            <val>2022/06</val>
          </value>
        </values>
      </ddeItem>
      <ddeItem name="2221.TW-OperatingProfitRatio,Price,PriceChangeRatio,InOutRatioNumber,Value,YearReturn,MonthReturn,WeekReturn,FinanceBalanceDif,ChipsField2" advise="1">
        <values cols="10">
          <value t="str">
            <val>16.36</val>
          </value>
          <value>
            <val>33.25</val>
          </value>
          <value>
            <val>4.8899999999999997</val>
          </value>
          <value t="str">
            <val>57.20%</val>
          </value>
          <value t="str">
            <val>891萬</val>
          </value>
          <value t="str">
            <val>+23.05</val>
          </value>
          <value t="str">
            <val>+12.05</val>
          </value>
          <value t="str">
            <val>+3.91</val>
          </value>
          <value>
            <val>2</val>
          </value>
          <value>
            <val>0</val>
          </value>
        </values>
      </ddeItem>
      <ddeItem name="22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-37</val>
          </value>
          <value t="str">
            <val>--</val>
          </value>
          <value t="str">
            <val>0.00</val>
          </value>
          <value>
            <val>0</val>
          </value>
          <value t="str">
            <val>-0.03</val>
          </value>
          <value t="str">
            <val>0.02</val>
          </value>
          <value t="str">
            <val>泰茂</val>
          </value>
          <value t="str">
            <val>上櫃電機機械</val>
          </value>
          <value t="str">
            <val>台灣第一大活塞環廠商</val>
          </value>
        </values>
      </ddeItem>
      <ddeItem name="2230.TW-CName,InvestorConferenceDate,DateofMeetingofShareHolders,TradingDate" advise="1">
        <values cols="4">
          <value t="str">
            <val>泰茂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2230.TW-ID,Name,MarketValue,Capital,NetIncomeGrowthRate,OperIncomeGrowthRate,FinancialStatementsTime,TFXRatio,MonthlyNetSalesYoY,RevenueMonth" advise="1">
        <values cols="10">
          <value t="str">
            <val>2230</val>
          </value>
          <value t="str">
            <val>泰茂</val>
          </value>
          <value t="str">
            <val>7.7</val>
          </value>
          <value t="str">
            <val>3.99</val>
          </value>
          <value t="str">
            <val>71.09</val>
          </value>
          <value t="str">
            <val>-366.41</val>
          </value>
          <value t="str">
            <val>2022/03</val>
          </value>
          <value t="str">
            <val>28.60</val>
          </value>
          <value t="str">
            <val>-24.50</val>
          </value>
          <value t="str">
            <val>2022/06</val>
          </value>
        </values>
      </ddeItem>
      <ddeItem name="2230.TW-OperatingProfitRatio,Price,PriceChangeRatio,InOutRatioNumber,Value,YearReturn,MonthReturn,WeekReturn,FinanceBalanceDif,ChipsField2" advise="1">
        <values cols="10">
          <value t="str">
            <val>-3.04</val>
          </value>
          <value>
            <val>19.2</val>
          </value>
          <value>
            <val>-0.26</val>
          </value>
          <value t="str">
            <val>32.35%</val>
          </value>
          <value t="str">
            <val>65.3萬</val>
          </value>
          <value t="str">
            <val>+16.87</val>
          </value>
          <value t="str">
            <val>-2.54</val>
          </value>
          <value t="str">
            <val>+1.05</val>
          </value>
          <value>
            <val>31</val>
          </value>
          <value>
            <val>0</val>
          </value>
        </values>
      </ddeItem>
      <ddeItem name="22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2022/07/26</val>
          </value>
          <value t="str">
            <val>1.50</val>
          </value>
          <value>
            <val>3.7</val>
          </value>
          <value t="str">
            <val>2.40</val>
          </value>
          <value t="str">
            <val>1.29</val>
          </value>
          <value t="str">
            <val>謚源</val>
          </value>
          <value t="str">
            <val>上櫃電機機械</val>
          </value>
          <value t="str">
            <val>為車用水箱風扇製造商，堤維西為其最大股東</val>
          </value>
        </values>
      </ddeItem>
      <ddeItem name="2235.TW-CName,InvestorConferenceDate,DateofMeetingofShareHolders,TradingDate" advise="1">
        <values cols="4">
          <value t="str">
            <val>謚源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2235.TW-ID,Name,MarketValue,Capital,NetIncomeGrowthRate,OperIncomeGrowthRate,FinancialStatementsTime,TFXRatio,MonthlyNetSalesYoY,RevenueMonth" advise="1">
        <values cols="10">
          <value t="str">
            <val>2235</val>
          </value>
          <value t="str">
            <val>謚源</val>
          </value>
          <value t="str">
            <val>14.5</val>
          </value>
          <value t="str">
            <val>3.59</val>
          </value>
          <value t="str">
            <val>304.82</val>
          </value>
          <value t="str">
            <val>124.66</val>
          </value>
          <value t="str">
            <val>2022/03</val>
          </value>
          <value t="str">
            <val>37.49</val>
          </value>
          <value t="str">
            <val>6.56</val>
          </value>
          <value t="str">
            <val>2022/06</val>
          </value>
        </values>
      </ddeItem>
      <ddeItem name="2235.TW-OperatingProfitRatio,Price,PriceChangeRatio,InOutRatioNumber,Value,YearReturn,MonthReturn,WeekReturn,FinanceBalanceDif,ChipsField2" advise="1">
        <values cols="10">
          <value t="str">
            <val>14.73</val>
          </value>
          <value>
            <val>40.5</val>
          </value>
          <value>
            <val>0</val>
          </value>
          <value t="str">
            <val>42.86%</val>
          </value>
          <value t="str">
            <val>28.5萬</val>
          </value>
          <value t="str">
            <val>+2.25</val>
          </value>
          <value t="str">
            <val>+7.83</val>
          </value>
          <value t="str">
            <val>+3.58</val>
          </value>
          <value>
            <val>1</val>
          </value>
          <value>
            <val>0</val>
          </value>
        </values>
      </ddeItem>
      <ddeItem name="25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2022/08/01</val>
          </value>
          <value t="str">
            <val>1.50</val>
          </value>
          <value>
            <val>8.1300000000000008</val>
          </value>
          <value t="str">
            <val>3.81</val>
          </value>
          <value t="str">
            <val>0.65</val>
          </value>
          <value t="str">
            <val>綠意</val>
          </value>
          <value t="str">
            <val>上櫃建材營造</val>
          </value>
          <value t="str">
            <val>桃園及台北地區小型建商</val>
          </value>
        </values>
      </ddeItem>
      <ddeItem name="2596.TW-CName,InvestorConferenceDate,DateofMeetingofShareHolders,TradingDate" advise="1">
        <values cols="4">
          <value t="str">
            <val>綠意</val>
          </value>
          <value t="str">
            <val>2022/04/25</val>
          </value>
          <value t="str">
            <val>2022/06/15</val>
          </value>
          <value t="str">
            <val>2022/08/01</val>
          </value>
        </values>
      </ddeItem>
      <ddeItem name="2596.TW-ID,Name,MarketValue,Capital,NetIncomeGrowthRate,OperIncomeGrowthRate,FinancialStatementsTime,TFXRatio,MonthlyNetSalesYoY,RevenueMonth" advise="1">
        <values cols="10">
          <value t="str">
            <val>2596</val>
          </value>
          <value t="str">
            <val>綠意</val>
          </value>
          <value t="str">
            <val>18.4</val>
          </value>
          <value t="str">
            <val>10.00</val>
          </value>
          <value t="str">
            <val>622.86</val>
          </value>
          <value t="str">
            <val>584.34</val>
          </value>
          <value t="str">
            <val>2022/03</val>
          </value>
          <value t="str">
            <val>-4.61</val>
          </value>
          <value t="str">
            <val>-96.79</val>
          </value>
          <value t="str">
            <val>2022/06</val>
          </value>
        </values>
      </ddeItem>
      <ddeItem name="2596.TW-OperatingProfitRatio,Price,PriceChangeRatio,InOutRatioNumber,Value,YearReturn,MonthReturn,WeekReturn,FinanceBalanceDif,ChipsField2" advise="1">
        <values cols="10">
          <value t="str">
            <val>25.65</val>
          </value>
          <value>
            <val>18.45</val>
          </value>
          <value>
            <val>2.79</val>
          </value>
          <value t="str">
            <val>32.99%</val>
          </value>
          <value t="str">
            <val>392萬</val>
          </value>
          <value t="str">
            <val>-9.41</val>
          </value>
          <value t="str">
            <val>+3.32</val>
          </value>
          <value t="str">
            <val>+3.32</val>
          </value>
          <value>
            <val>7</val>
          </value>
          <value>
            <val>0</val>
          </value>
        </values>
      </ddeItem>
      <ddeItem name="26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2022/07/28</val>
          </value>
          <value t="str">
            <val>3.50</val>
          </value>
          <value>
            <val>4.49</val>
          </value>
          <value t="str">
            <val>4.53</val>
          </value>
          <value t="str">
            <val>1.78</val>
          </value>
          <value t="str">
            <val>大車隊</val>
          </value>
          <value t="str">
            <val>上櫃其他</val>
          </value>
          <value t="str">
            <val>台灣計程車車隊龍頭企業</val>
          </value>
        </values>
      </ddeItem>
      <ddeItem name="2640.TW-CName,InvestorConferenceDate,DateofMeetingofShareHolders,TradingDate" advise="1">
        <values cols="4">
          <value t="str">
            <val>大車隊</val>
          </value>
          <value t="str">
            <val>2022/07/06</val>
          </value>
          <value t="str">
            <val>2022/06/09</val>
          </value>
          <value t="str">
            <val>2022/08/01</val>
          </value>
        </values>
      </ddeItem>
      <ddeItem name="2640.TW-ID,Name,MarketValue,Capital,NetIncomeGrowthRate,OperIncomeGrowthRate,FinancialStatementsTime,TFXRatio,MonthlyNetSalesYoY,RevenueMonth" advise="1">
        <values cols="10">
          <value t="str">
            <val>2640</val>
          </value>
          <value t="str">
            <val>大車隊</val>
          </value>
          <value t="str">
            <val>46.2</val>
          </value>
          <value t="str">
            <val>5.93</val>
          </value>
          <value t="str">
            <val>21.22</val>
          </value>
          <value t="str">
            <val>23.05</val>
          </value>
          <value t="str">
            <val>2022/03</val>
          </value>
          <value t="str">
            <val>1.41</val>
          </value>
          <value t="str">
            <val>43.21</val>
          </value>
          <value t="str">
            <val>2022/06</val>
          </value>
        </values>
      </ddeItem>
      <ddeItem name="2640.TW-OperatingProfitRatio,Price,PriceChangeRatio,InOutRatioNumber,Value,YearReturn,MonthReturn,WeekReturn,FinanceBalanceDif,ChipsField2" advise="1">
        <values cols="10">
          <value t="str">
            <val>20.36</val>
          </value>
          <value>
            <val>77.900000000000006</val>
          </value>
          <value>
            <val>-0.13</val>
          </value>
          <value t="str">
            <val>48.00%</val>
          </value>
          <value t="str">
            <val>195萬</val>
          </value>
          <value t="str">
            <val>+4.83</val>
          </value>
          <value t="str">
            <val>+4.71</val>
          </value>
          <value t="str">
            <val>-0.53</val>
          </value>
          <value>
            <val>-1</val>
          </value>
          <value>
            <val>-8</val>
          </value>
        </values>
      </ddeItem>
      <ddeItem name="2641.TW-ChipsField3,ChipsField1,ChipsField25,CashAndStockDividend,CashDividendYieldRate,ProfitFourSeason,ProfitSingle,CName,ExchangeIndustry,CompanyPos" advise="1">
        <values cols="10">
          <value>
            <val>10</val>
          </value>
          <value>
            <val>436</val>
          </value>
          <value t="str">
            <val>2022/06/20</val>
          </value>
          <value t="str">
            <val>0.80</val>
          </value>
          <value>
            <val>3.73</val>
          </value>
          <value t="str">
            <val>3.51</val>
          </value>
          <value t="str">
            <val>1.35</val>
          </value>
          <value t="str">
            <val>正德</val>
          </value>
          <value t="str">
            <val>上櫃航運業</val>
          </value>
          <value t="str">
            <val>以亞洲近洋航線為主力之散裝航運業者</val>
          </value>
        </values>
      </ddeItem>
      <ddeItem name="2641.TW-CName,InvestorConferenceDate,DateofMeetingofShareHolders,TradingDate" advise="1">
        <values cols="4">
          <value t="str">
            <val>正德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2641.TW-ID,Name,MarketValue,Capital,NetIncomeGrowthRate,OperIncomeGrowthRate,FinancialStatementsTime,TFXRatio,MonthlyNetSalesYoY,RevenueMonth" advise="1">
        <values cols="10">
          <value t="str">
            <val>2641</val>
          </value>
          <value t="str">
            <val>正德</val>
          </value>
          <value t="str">
            <val>40.5</val>
          </value>
          <value t="str">
            <val>19.01</val>
          </value>
          <value t="str">
            <val>839.64</val>
          </value>
          <value t="str">
            <val>583.02</val>
          </value>
          <value t="str">
            <val>2022/03</val>
          </value>
          <value t="str">
            <val>20.16</val>
          </value>
          <value t="str">
            <val>46.52</val>
          </value>
          <value t="str">
            <val>2022/06</val>
          </value>
        </values>
      </ddeItem>
      <ddeItem name="2641.TW-OperatingProfitRatio,Price,PriceChangeRatio,InOutRatioNumber,Value,YearReturn,MonthReturn,WeekReturn,FinanceBalanceDif,ChipsField2" advise="1">
        <values cols="10">
          <value t="str">
            <val>45.08</val>
          </value>
          <value>
            <val>21.45</val>
          </value>
          <value>
            <val>1.18</val>
          </value>
          <value t="str">
            <val>51.96%</val>
          </value>
          <value t="str">
            <val>5846萬</val>
          </value>
          <value t="str">
            <val>-28.47</val>
          </value>
          <value t="str">
            <val>+16.89</val>
          </value>
          <value t="str">
            <val>+2.88</val>
          </value>
          <value>
            <val>-215</val>
          </value>
          <value>
            <val>0</val>
          </value>
        </values>
      </ddeItem>
      <ddeItem name="26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18</val>
          </value>
          <value t="str">
            <val>2022/08/04</val>
          </value>
          <value t="str">
            <val>5.00</val>
          </value>
          <value>
            <val>6.93</val>
          </value>
          <value t="str">
            <val>11.05</val>
          </value>
          <value t="str">
            <val>2.94</val>
          </value>
          <value t="str">
            <val>捷迅</val>
          </value>
          <value t="str">
            <val>上櫃航運業</val>
          </value>
          <value t="str">
            <val>台灣承攬航空貨運、海運與報關業務之物流業者</val>
          </value>
        </values>
      </ddeItem>
      <ddeItem name="2643.TW-CName,InvestorConferenceDate,DateofMeetingofShareHolders,TradingDate" advise="1">
        <values cols="4">
          <value t="str">
            <val>捷迅</val>
          </value>
          <value t="str">
            <val>2022/08/04</val>
          </value>
          <value t="str">
            <val>2022/06/24</val>
          </value>
          <value t="str">
            <val>2022/08/01</val>
          </value>
        </values>
      </ddeItem>
      <ddeItem name="2643.TW-ID,Name,MarketValue,Capital,NetIncomeGrowthRate,OperIncomeGrowthRate,FinancialStatementsTime,TFXRatio,MonthlyNetSalesYoY,RevenueMonth" advise="1">
        <values cols="10">
          <value t="str">
            <val>2643</val>
          </value>
          <value t="str">
            <val>捷迅</val>
          </value>
          <value t="str">
            <val>21.7</val>
          </value>
          <value t="str">
            <val>3.00</val>
          </value>
          <value t="str">
            <val>83.50</val>
          </value>
          <value t="str">
            <val>89.52</val>
          </value>
          <value t="str">
            <val>2022/03</val>
          </value>
          <value t="str">
            <val>21.42</val>
          </value>
          <value t="str">
            <val>48.49</val>
          </value>
          <value t="str">
            <val>2022/06</val>
          </value>
        </values>
      </ddeItem>
      <ddeItem name="2643.TW-OperatingProfitRatio,Price,PriceChangeRatio,InOutRatioNumber,Value,YearReturn,MonthReturn,WeekReturn,FinanceBalanceDif,ChipsField2" advise="1">
        <values cols="10">
          <value t="str">
            <val>8.51</val>
          </value>
          <value>
            <val>72.2</val>
          </value>
          <value>
            <val>2.27</val>
          </value>
          <value t="str">
            <val>61.17%</val>
          </value>
          <value t="str">
            <val>740萬</val>
          </value>
          <value t="str">
            <val>-14.57</val>
          </value>
          <value t="str">
            <val>+13.70</val>
          </value>
          <value t="str">
            <val>+3.44</val>
          </value>
          <value>
            <val>18</val>
          </value>
          <value>
            <val>0</val>
          </value>
        </values>
      </ddeItem>
      <ddeItem name="27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-0.57</val>
          </value>
          <value t="str">
            <val>-0.12</val>
          </value>
          <value t="str">
            <val>晶悅</val>
          </value>
          <value t="str">
            <val>上櫃觀光</val>
          </value>
          <value t="str">
            <val>轉型為營建商</val>
          </value>
        </values>
      </ddeItem>
      <ddeItem name="2718.TW-CName,InvestorConferenceDate,DateofMeetingofShareHolders,TradingDate" advise="1">
        <values cols="4">
          <value t="str">
            <val>晶悅</val>
          </value>
          <value t="str">
            <val>--</val>
          </value>
          <value t="str">
            <val>2022/05/20</val>
          </value>
          <value t="str">
            <val>2022/08/01</val>
          </value>
        </values>
      </ddeItem>
      <ddeItem name="2718.TW-ID,Name,MarketValue,Capital,NetIncomeGrowthRate,OperIncomeGrowthRate,FinancialStatementsTime,TFXRatio,MonthlyNetSalesYoY,RevenueMonth" advise="1">
        <values cols="10">
          <value t="str">
            <val>2718</val>
          </value>
          <value t="str">
            <val>晶悅</val>
          </value>
          <value t="str">
            <val>27.1</val>
          </value>
          <value t="str">
            <val>8.46</val>
          </value>
          <value t="str">
            <val>-51.25</val>
          </value>
          <value t="str">
            <val>-36.66</val>
          </value>
          <value t="str">
            <val>2022/03</val>
          </value>
          <value t="str">
            <val>-50.80</val>
          </value>
          <value t="str">
            <val>1919.25</val>
          </value>
          <value t="str">
            <val>2022/06</val>
          </value>
        </values>
      </ddeItem>
      <ddeItem name="2718.TW-OperatingProfitRatio,Price,PriceChangeRatio,InOutRatioNumber,Value,YearReturn,MonthReturn,WeekReturn,FinanceBalanceDif,ChipsField2" advise="1">
        <values cols="10">
          <value t="str">
            <val>-43.85</val>
          </value>
          <value>
            <val>32</val>
          </value>
          <value>
            <val>0.31</val>
          </value>
          <value t="str">
            <val>75.00%</val>
          </value>
          <value t="str">
            <val>12.8萬</val>
          </value>
          <value t="str">
            <val>+9.59</val>
          </value>
          <value t="str">
            <val>+6.67</val>
          </value>
          <value t="str">
            <val>+4.75</val>
          </value>
          <value>
            <val>0</val>
          </value>
          <value>
            <val>0</val>
          </value>
        </values>
      </ddeItem>
      <ddeItem name="271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-1.08</val>
          </value>
          <value t="str">
            <val>-0.24</val>
          </value>
          <value t="str">
            <val>燦星旅</val>
          </value>
          <value t="str">
            <val>上櫃觀光</val>
          </value>
          <value t="str">
            <val>燦坤旗下旅遊公司</val>
          </value>
        </values>
      </ddeItem>
      <ddeItem name="2719.TW-CName,InvestorConferenceDate,DateofMeetingofShareHolders,TradingDate" advise="1">
        <values cols="4">
          <value t="str">
            <val>燦星旅</val>
          </value>
          <value t="str">
            <val>--</val>
          </value>
          <value t="str">
            <val>2022/06/28</val>
          </value>
          <value t="str">
            <val>2022/08/01</val>
          </value>
        </values>
      </ddeItem>
      <ddeItem name="2719.TW-ID,Name,MarketValue,Capital,NetIncomeGrowthRate,OperIncomeGrowthRate,FinancialStatementsTime,TFXRatio,MonthlyNetSalesYoY,RevenueMonth" advise="1">
        <values cols="10">
          <value t="str">
            <val>2719</val>
          </value>
          <value t="str">
            <val>燦星旅</val>
          </value>
          <value t="str">
            <val>--</val>
          </value>
          <value t="str">
            <val>1.87</val>
          </value>
          <value t="str">
            <val>44.77</val>
          </value>
          <value t="str">
            <val>37.42</val>
          </value>
          <value t="str">
            <val>2022/03</val>
          </value>
          <value t="str">
            <val>-8.71</val>
          </value>
          <value t="str">
            <val>591.75</val>
          </value>
          <value t="str">
            <val>2022/06</val>
          </value>
        </values>
      </ddeItem>
      <ddeItem name="2719.TW-OperatingProfitRatio,Price,PriceChangeRatio,InOutRatioNumber,Value,YearReturn,MonthReturn,WeekReturn,FinanceBalanceDif,ChipsField2" advise="1">
        <values cols="10">
          <value t="str">
            <val>-189.37</val>
          </value>
          <value>
            <val>23.25</val>
          </value>
          <value>
            <val>-8.64</val>
          </value>
          <value t="str">
            <val>0.00%</val>
          </value>
          <value t="str">
            <val>19.7萬</val>
          </value>
          <value t="str">
            <val>-1.62</val>
          </value>
          <value t="str">
            <val>-5.26</val>
          </value>
          <value t="str">
            <val>-8.65</val>
          </value>
          <value>
            <val>0</val>
          </value>
          <value>
            <val>0</val>
          </value>
        </values>
      </ddeItem>
      <ddeItem name="27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-0.89</val>
          </value>
          <value t="str">
            <val>-0.30</val>
          </value>
          <value t="str">
            <val>富驛-KY</val>
          </value>
          <value t="str">
            <val>上櫃觀光</val>
          </value>
          <value t="str">
            <val>大陸連鎖時尚商務酒店第一品牌</val>
          </value>
        </values>
      </ddeItem>
      <ddeItem name="2724.TW-CName,InvestorConferenceDate,DateofMeetingofShareHolders,TradingDate" advise="1">
        <values cols="4">
          <value t="str">
            <val>富驛-KY</val>
          </value>
          <value t="str">
            <val>2021/11/29</val>
          </value>
          <value t="str">
            <val>2022/06/24</val>
          </value>
          <value t="str">
            <val>2022/08/01</val>
          </value>
        </values>
      </ddeItem>
      <ddeItem name="2724.TW-ID,Name,MarketValue,Capital,NetIncomeGrowthRate,OperIncomeGrowthRate,FinancialStatementsTime,TFXRatio,MonthlyNetSalesYoY,RevenueMonth" advise="1">
        <values cols="10">
          <value t="str">
            <val>2724</val>
          </value>
          <value t="str">
            <val>富驛-KY</val>
          </value>
          <value t="str">
            <val>8.9</val>
          </value>
          <value t="str">
            <val>5.97</val>
          </value>
          <value t="str">
            <val>-300.96</val>
          </value>
          <value t="str">
            <val>-298.67</val>
          </value>
          <value t="str">
            <val>2022/03</val>
          </value>
          <value t="str">
            <val>-11.43</val>
          </value>
          <value t="str">
            <val>-44.83</val>
          </value>
          <value t="str">
            <val>2022/06</val>
          </value>
        </values>
      </ddeItem>
      <ddeItem name="2724.TW-OperatingProfitRatio,Price,PriceChangeRatio,InOutRatioNumber,Value,YearReturn,MonthReturn,WeekReturn,FinanceBalanceDif,ChipsField2" advise="1">
        <values cols="10">
          <value t="str">
            <val>-86.09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+32.98</val>
          </value>
          <value t="str">
            <val>-2.28</val>
          </value>
          <value t="str">
            <val>+2.39</val>
          </value>
          <value>
            <val>0</val>
          </value>
          <value>
            <val>0</val>
          </value>
        </values>
      </ddeItem>
      <ddeItem name="27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-3.18</val>
          </value>
          <value t="str">
            <val>0.04</val>
          </value>
          <value t="str">
            <val>雅茗-KY</val>
          </value>
          <value t="str">
            <val>上櫃觀光</val>
          </value>
          <value t="str">
            <val>在大陸以快樂檸檬品牌知名的台商茶飲料業者</val>
          </value>
        </values>
      </ddeItem>
      <ddeItem name="2726.TW-CName,InvestorConferenceDate,DateofMeetingofShareHolders,TradingDate" advise="1">
        <values cols="4">
          <value t="str">
            <val>雅茗-KY</val>
          </value>
          <value t="str">
            <val>2021/11/22</val>
          </value>
          <value t="str">
            <val>2022/06/15</val>
          </value>
          <value t="str">
            <val>2022/08/01</val>
          </value>
        </values>
      </ddeItem>
      <ddeItem name="2726.TW-ID,Name,MarketValue,Capital,NetIncomeGrowthRate,OperIncomeGrowthRate,FinancialStatementsTime,TFXRatio,MonthlyNetSalesYoY,RevenueMonth" advise="1">
        <values cols="10">
          <value t="str">
            <val>2726</val>
          </value>
          <value t="str">
            <val>雅茗-KY</val>
          </value>
          <value t="str">
            <val>9.4</val>
          </value>
          <value t="str">
            <val>3.58</val>
          </value>
          <value t="str">
            <val>-98.65</val>
          </value>
          <value t="str">
            <val>-251.03</val>
          </value>
          <value t="str">
            <val>2022/03</val>
          </value>
          <value t="str">
            <val>29.18</val>
          </value>
          <value t="str">
            <val>-47.75</val>
          </value>
          <value t="str">
            <val>2022/06</val>
          </value>
        </values>
      </ddeItem>
      <ddeItem name="2726.TW-OperatingProfitRatio,Price,PriceChangeRatio,InOutRatioNumber,Value,YearReturn,MonthReturn,WeekReturn,FinanceBalanceDif,ChipsField2" advise="1">
        <values cols="10">
          <value t="str">
            <val>-16.29</val>
          </value>
          <value>
            <val>26.15</val>
          </value>
          <value>
            <val>0.19</val>
          </value>
          <value t="str">
            <val>25.93%</val>
          </value>
          <value t="str">
            <val>142萬</val>
          </value>
          <value t="str">
            <val>-60.91</val>
          </value>
          <value t="str">
            <val>+1.16</val>
          </value>
          <value t="str">
            <val>+8.96</val>
          </value>
          <value>
            <val>-4</val>
          </value>
          <value>
            <val>0</val>
          </value>
        </values>
      </ddeItem>
      <ddeItem name="27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2022/08/18</val>
          </value>
          <value t="str">
            <val>7.15</val>
          </value>
          <value>
            <val>3.06</val>
          </value>
          <value t="str">
            <val>4.48</val>
          </value>
          <value t="str">
            <val>2.89</val>
          </value>
          <value t="str">
            <val>瓦城</val>
          </value>
          <value t="str">
            <val>上櫃觀光</val>
          </value>
          <value t="str">
            <val>泰式料理連鎖餐廳</val>
          </value>
        </values>
      </ddeItem>
      <ddeItem name="2729.TW-CName,InvestorConferenceDate,DateofMeetingofShareHolders,TradingDate" advise="1">
        <values cols="4">
          <value t="str">
            <val>瓦城</val>
          </value>
          <value t="str">
            <val>2022/04/19</val>
          </value>
          <value t="str">
            <val>2022/06/27</val>
          </value>
          <value t="str">
            <val>2022/08/01</val>
          </value>
        </values>
      </ddeItem>
      <ddeItem name="2729.TW-ID,Name,MarketValue,Capital,NetIncomeGrowthRate,OperIncomeGrowthRate,FinancialStatementsTime,TFXRatio,MonthlyNetSalesYoY,RevenueMonth" advise="1">
        <values cols="10">
          <value t="str">
            <val>2729</val>
          </value>
          <value t="str">
            <val>瓦城</val>
          </value>
          <value t="str">
            <val>54.4</val>
          </value>
          <value t="str">
            <val>2.33</val>
          </value>
          <value t="str">
            <val>-46.98</val>
          </value>
          <value t="str">
            <val>-45.97</val>
          </value>
          <value t="str">
            <val>2022/03</val>
          </value>
          <value t="str">
            <val>19.41</val>
          </value>
          <value t="str">
            <val>41.61</val>
          </value>
          <value t="str">
            <val>2022/06</val>
          </value>
        </values>
      </ddeItem>
      <ddeItem name="2729.TW-OperatingProfitRatio,Price,PriceChangeRatio,InOutRatioNumber,Value,YearReturn,MonthReturn,WeekReturn,FinanceBalanceDif,ChipsField2" advise="1">
        <values cols="10">
          <value t="str">
            <val>7.25</val>
          </value>
          <value>
            <val>234</val>
          </value>
          <value>
            <val>1.74</val>
          </value>
          <value t="str">
            <val>44.93%</val>
          </value>
          <value t="str">
            <val>1609萬</val>
          </value>
          <value t="str">
            <val>+0.76</val>
          </value>
          <value t="str">
            <val>+8.58</val>
          </value>
          <value t="str">
            <val>+6.12</val>
          </value>
          <value>
            <val>0</val>
          </value>
          <value>
            <val>0</val>
          </value>
        </values>
      </ddeItem>
      <ddeItem name="27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</val>
          </value>
          <value t="str">
            <val>2022/04/07</val>
          </value>
          <value t="str">
            <val>2.34</val>
          </value>
          <value>
            <val>2.33</val>
          </value>
          <value t="str">
            <val>3.36</val>
          </value>
          <value t="str">
            <val>0.85</val>
          </value>
          <value t="str">
            <val>六角</val>
          </value>
          <value t="str">
            <val>上櫃觀光</val>
          </value>
          <value t="str">
            <val>在全球80個城市擁有門市據點的外帶式茶飲與甜品供應商</val>
          </value>
        </values>
      </ddeItem>
      <ddeItem name="2732.TW-CName,InvestorConferenceDate,DateofMeetingofShareHolders,TradingDate" advise="1">
        <values cols="4">
          <value t="str">
            <val>六角</val>
          </value>
          <value t="str">
            <val>2021/04/14</val>
          </value>
          <value t="str">
            <val>2022/06/09</val>
          </value>
          <value t="str">
            <val>2022/08/01</val>
          </value>
        </values>
      </ddeItem>
      <ddeItem name="2732.TW-ID,Name,MarketValue,Capital,NetIncomeGrowthRate,OperIncomeGrowthRate,FinancialStatementsTime,TFXRatio,MonthlyNetSalesYoY,RevenueMonth" advise="1">
        <values cols="10">
          <value t="str">
            <val>2732</val>
          </value>
          <value t="str">
            <val>六角</val>
          </value>
          <value t="str">
            <val>46.2</val>
          </value>
          <value t="str">
            <val>4.60</val>
          </value>
          <value t="str">
            <val>28.63</val>
          </value>
          <value t="str">
            <val>-8.94</val>
          </value>
          <value t="str">
            <val>2022/03</val>
          </value>
          <value t="str">
            <val>22.22</val>
          </value>
          <value t="str">
            <val>27.15</val>
          </value>
          <value t="str">
            <val>2022/06</val>
          </value>
        </values>
      </ddeItem>
      <ddeItem name="2732.TW-OperatingProfitRatio,Price,PriceChangeRatio,InOutRatioNumber,Value,YearReturn,MonthReturn,WeekReturn,FinanceBalanceDif,ChipsField2" advise="1">
        <values cols="10">
          <value t="str">
            <val>4.00</val>
          </value>
          <value>
            <val>100.5</val>
          </value>
          <value>
            <val>0</val>
          </value>
          <value t="str">
            <val>53.12%</val>
          </value>
          <value t="str">
            <val>324萬</val>
          </value>
          <value t="str">
            <val>-7.91</val>
          </value>
          <value t="str">
            <val>+9.96</val>
          </value>
          <value t="str">
            <val>-0.50</val>
          </value>
          <value>
            <val>8</val>
          </value>
          <value>
            <val>0</val>
          </value>
        </values>
      </ddeItem>
      <ddeItem name="27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--</val>
          </value>
          <value t="str">
            <val>0.00</val>
          </value>
          <value>
            <val>0</val>
          </value>
          <value t="str">
            <val>-2.41</val>
          </value>
          <value t="str">
            <val>-0.55</val>
          </value>
          <value t="str">
            <val>易飛網</val>
          </value>
          <value t="str">
            <val>上櫃觀光</val>
          </value>
          <value t="str">
            <val>聚焦於線上服務的旅遊業者</val>
          </value>
        </values>
      </ddeItem>
      <ddeItem name="2734.TW-CName,InvestorConferenceDate,DateofMeetingofShareHolders,TradingDate" advise="1">
        <values cols="4">
          <value t="str">
            <val>易飛網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2734.TW-ID,Name,MarketValue,Capital,NetIncomeGrowthRate,OperIncomeGrowthRate,FinancialStatementsTime,TFXRatio,MonthlyNetSalesYoY,RevenueMonth" advise="1">
        <values cols="10">
          <value t="str">
            <val>2734</val>
          </value>
          <value t="str">
            <val>易飛網</val>
          </value>
          <value t="str">
            <val>13.3</val>
          </value>
          <value t="str">
            <val>3.73</val>
          </value>
          <value t="str">
            <val>-41.03</val>
          </value>
          <value t="str">
            <val>1.50</val>
          </value>
          <value t="str">
            <val>2022/03</val>
          </value>
          <value t="str">
            <val>19.12</val>
          </value>
          <value t="str">
            <val>193.54</val>
          </value>
          <value t="str">
            <val>2022/06</val>
          </value>
        </values>
      </ddeItem>
      <ddeItem name="2734.TW-OperatingProfitRatio,Price,PriceChangeRatio,InOutRatioNumber,Value,YearReturn,MonthReturn,WeekReturn,FinanceBalanceDif,ChipsField2" advise="1">
        <values cols="10">
          <value t="str">
            <val>-54.03</val>
          </value>
          <value>
            <val>35.799999999999997</val>
          </value>
          <value>
            <val>-1.51</val>
          </value>
          <value t="str">
            <val>25.91%</val>
          </value>
          <value t="str">
            <val>991萬</val>
          </value>
          <value t="str">
            <val>+36.38</val>
          </value>
          <value t="str">
            <val>+5.14</val>
          </value>
          <value t="str">
            <val>-4.53</val>
          </value>
          <value>
            <val>0</val>
          </value>
          <value>
            <val>0</val>
          </value>
        </values>
      </ddeItem>
      <ddeItem name="273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618</val>
          </value>
          <value t="str">
            <val>--</val>
          </value>
          <value t="str">
            <val>0.00</val>
          </value>
          <value>
            <val>0</val>
          </value>
          <value t="str">
            <val>-0.67</val>
          </value>
          <value t="str">
            <val>0.48</val>
          </value>
          <value t="str">
            <val>富野</val>
          </value>
          <value t="str">
            <val>上櫃觀光</val>
          </value>
          <value t="str">
            <val>台東縣知本溫泉區的知名溫泉飯店</val>
          </value>
        </values>
      </ddeItem>
      <ddeItem name="2736.TW-CName,InvestorConferenceDate,DateofMeetingofShareHolders,TradingDate" advise="1">
        <values cols="4">
          <value t="str">
            <val>富野</val>
          </value>
          <value t="str">
            <val>--</val>
          </value>
          <value t="str">
            <val>2022/05/23</val>
          </value>
          <value t="str">
            <val>2022/08/01</val>
          </value>
        </values>
      </ddeItem>
      <ddeItem name="2736.TW-ID,Name,MarketValue,Capital,NetIncomeGrowthRate,OperIncomeGrowthRate,FinancialStatementsTime,TFXRatio,MonthlyNetSalesYoY,RevenueMonth" advise="1">
        <values cols="10">
          <value t="str">
            <val>2736</val>
          </value>
          <value t="str">
            <val>富野</val>
          </value>
          <value t="str">
            <val>13.4</val>
          </value>
          <value t="str">
            <val>4.90</val>
          </value>
          <value t="str">
            <val>4.86</val>
          </value>
          <value t="str">
            <val>11.13</val>
          </value>
          <value t="str">
            <val>2022/03</val>
          </value>
          <value t="str">
            <val>96.02</val>
          </value>
          <value t="str">
            <val>572.19</val>
          </value>
          <value t="str">
            <val>2022/06</val>
          </value>
        </values>
      </ddeItem>
      <ddeItem name="2736.TW-OperatingProfitRatio,Price,PriceChangeRatio,InOutRatioNumber,Value,YearReturn,MonthReturn,WeekReturn,FinanceBalanceDif,ChipsField2" advise="1">
        <values cols="10">
          <value t="str">
            <val>18.54</val>
          </value>
          <value>
            <val>27.25</val>
          </value>
          <value>
            <val>0</val>
          </value>
          <value t="str">
            <val>47.37%</val>
          </value>
          <value t="str">
            <val>7514萬</val>
          </value>
          <value t="str">
            <val>+57.29</val>
          </value>
          <value t="str">
            <val>+10.10</val>
          </value>
          <value t="str">
            <val>+0.93</val>
          </value>
          <value>
            <val>-213</val>
          </value>
          <value>
            <val>0</val>
          </value>
        </values>
      </ddeItem>
      <ddeItem name="27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-2.65</val>
          </value>
          <value t="str">
            <val>-0.65</val>
          </value>
          <value t="str">
            <val>天蔥</val>
          </value>
          <value t="str">
            <val>上櫃觀光</val>
          </value>
          <value t="str">
            <val>創始於台北天母地區的西式牛排連鎖餐廳</val>
          </value>
        </values>
      </ddeItem>
      <ddeItem name="2740.TW-CName,InvestorConferenceDate,DateofMeetingofShareHolders,TradingDate" advise="1">
        <values cols="4">
          <value t="str">
            <val>天蔥</val>
          </value>
          <value t="str">
            <val>--</val>
          </value>
          <value t="str">
            <val>2022/07/28</val>
          </value>
          <value t="str">
            <val>2022/08/01</val>
          </value>
        </values>
      </ddeItem>
      <ddeItem name="2740.TW-ID,Name,MarketValue,Capital,NetIncomeGrowthRate,OperIncomeGrowthRate,FinancialStatementsTime,TFXRatio,MonthlyNetSalesYoY,RevenueMonth" advise="1">
        <values cols="10">
          <value t="str">
            <val>2740</val>
          </value>
          <value t="str">
            <val>天蔥</val>
          </value>
          <value t="str">
            <val>7.6</val>
          </value>
          <value t="str">
            <val>2.02</val>
          </value>
          <value t="str">
            <val>-0.42</val>
          </value>
          <value t="str">
            <val>-2.32</val>
          </value>
          <value t="str">
            <val>2022/03</val>
          </value>
          <value t="str">
            <val>28.09</val>
          </value>
          <value t="str">
            <val>49.78</val>
          </value>
          <value t="str">
            <val>2022/06</val>
          </value>
        </values>
      </ddeItem>
      <ddeItem name="2740.TW-OperatingProfitRatio,Price,PriceChangeRatio,InOutRatioNumber,Value,YearReturn,MonthReturn,WeekReturn,FinanceBalanceDif,ChipsField2" advise="1">
        <values cols="10">
          <value t="str">
            <val>-32.90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+67.41</val>
          </value>
          <value t="str">
            <val>+22.95</val>
          </value>
          <value t="str">
            <val>+4.17</val>
          </value>
          <value>
            <val>0</val>
          </value>
          <value>
            <val>0</val>
          </value>
        </values>
      </ddeItem>
      <ddeItem name="27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302</val>
          </value>
          <value t="str">
            <val>--</val>
          </value>
          <value t="str">
            <val>0.00</val>
          </value>
          <value>
            <val>0</val>
          </value>
          <value t="str">
            <val>-1.83</val>
          </value>
          <value t="str">
            <val>-0.67</val>
          </value>
          <value t="str">
            <val>山富</val>
          </value>
          <value t="str">
            <val>上櫃觀光</val>
          </value>
          <value t="str">
            <val>年出團達12000團以上之知名旅行社</val>
          </value>
        </values>
      </ddeItem>
      <ddeItem name="2743.TW-CName,InvestorConferenceDate,DateofMeetingofShareHolders,TradingDate" advise="1">
        <values cols="4">
          <value t="str">
            <val>山富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2743.TW-ID,Name,MarketValue,Capital,NetIncomeGrowthRate,OperIncomeGrowthRate,FinancialStatementsTime,TFXRatio,MonthlyNetSalesYoY,RevenueMonth" advise="1">
        <values cols="10">
          <value t="str">
            <val>2743</val>
          </value>
          <value t="str">
            <val>山富</val>
          </value>
          <value t="str">
            <val>19.9</val>
          </value>
          <value t="str">
            <val>3.20</val>
          </value>
          <value t="str">
            <val>-38.78</val>
          </value>
          <value t="str">
            <val>28.60</val>
          </value>
          <value t="str">
            <val>2022/03</val>
          </value>
          <value t="str">
            <val>-13.78</val>
          </value>
          <value t="str">
            <val>60.07</val>
          </value>
          <value t="str">
            <val>2022/06</val>
          </value>
        </values>
      </ddeItem>
      <ddeItem name="2743.TW-OperatingProfitRatio,Price,PriceChangeRatio,InOutRatioNumber,Value,YearReturn,MonthReturn,WeekReturn,FinanceBalanceDif,ChipsField2" advise="1">
        <values cols="10">
          <value t="str">
            <val>-33.21</val>
          </value>
          <value>
            <val>62.1</val>
          </value>
          <value>
            <val>-2.66</val>
          </value>
          <value t="str">
            <val>39.41%</val>
          </value>
          <value t="str">
            <val>8472萬</val>
          </value>
          <value t="str">
            <val>+168.25</val>
          </value>
          <value t="str">
            <val>+6.15</val>
          </value>
          <value t="str">
            <val>+0.98</val>
          </value>
          <value>
            <val>-132</val>
          </value>
          <value>
            <val>0</val>
          </value>
        </values>
      </ddeItem>
      <ddeItem name="274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-18</val>
          </value>
          <value t="str">
            <val>--</val>
          </value>
          <value t="str">
            <val>0.00</val>
          </value>
          <value>
            <val>0</val>
          </value>
          <value t="str">
            <val>-3.50</val>
          </value>
          <value t="str">
            <val>-0.85</val>
          </value>
          <value t="str">
            <val>五福</val>
          </value>
          <value t="str">
            <val>上櫃觀光</val>
          </value>
          <value t="str">
            <val>所在地源自於高雄的國內前五大旅行社</val>
          </value>
        </values>
      </ddeItem>
      <ddeItem name="2745.TW-CName,InvestorConferenceDate,DateofMeetingofShareHolders,TradingDate" advise="1">
        <values cols="4">
          <value t="str">
            <val>五福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2745.TW-ID,Name,MarketValue,Capital,NetIncomeGrowthRate,OperIncomeGrowthRate,FinancialStatementsTime,TFXRatio,MonthlyNetSalesYoY,RevenueMonth" advise="1">
        <values cols="10">
          <value t="str">
            <val>2745</val>
          </value>
          <value t="str">
            <val>五福</val>
          </value>
          <value t="str">
            <val>12.2</val>
          </value>
          <value t="str">
            <val>2.93</val>
          </value>
          <value t="str">
            <val>51.72</val>
          </value>
          <value t="str">
            <val>37.03</val>
          </value>
          <value t="str">
            <val>2022/03</val>
          </value>
          <value t="str">
            <val>6.23</val>
          </value>
          <value t="str">
            <val>410.42</val>
          </value>
          <value t="str">
            <val>2022/06</val>
          </value>
        </values>
      </ddeItem>
      <ddeItem name="2745.TW-OperatingProfitRatio,Price,PriceChangeRatio,InOutRatioNumber,Value,YearReturn,MonthReturn,WeekReturn,FinanceBalanceDif,ChipsField2" advise="1">
        <values cols="10">
          <value t="str">
            <val>-97.97</val>
          </value>
          <value>
            <val>41.75</val>
          </value>
          <value>
            <val>-3.36</val>
          </value>
          <value t="str">
            <val>29.47%</val>
          </value>
          <value t="str">
            <val>882萬</val>
          </value>
          <value t="str">
            <val>+70.06</val>
          </value>
          <value t="str">
            <val>+3.09</val>
          </value>
          <value t="str">
            <val>-5.11</val>
          </value>
          <value>
            <val>0</val>
          </value>
          <value>
            <val>0</val>
          </value>
        </values>
      </ddeItem>
      <ddeItem name="275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2022/03/25</val>
          </value>
          <value t="str">
            <val>5.70</val>
          </value>
          <value>
            <val>3.77</val>
          </value>
          <value t="str">
            <val>6.75</val>
          </value>
          <value t="str">
            <val>2.69</val>
          </value>
          <value t="str">
            <val>豆府</val>
          </value>
          <value t="str">
            <val>上櫃觀光</val>
          </value>
          <value t="str">
            <val>台灣規模最大韓式連鎖餐廳集團</val>
          </value>
        </values>
      </ddeItem>
      <ddeItem name="2752.TW-CName,InvestorConferenceDate,DateofMeetingofShareHolders,TradingDate" advise="1">
        <values cols="4">
          <value t="str">
            <val>豆府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2752.TW-ID,Name,MarketValue,Capital,NetIncomeGrowthRate,OperIncomeGrowthRate,FinancialStatementsTime,TFXRatio,MonthlyNetSalesYoY,RevenueMonth" advise="1">
        <values cols="10">
          <value t="str">
            <val>2752</val>
          </value>
          <value t="str">
            <val>豆府</val>
          </value>
          <value t="str">
            <val>34.8</val>
          </value>
          <value t="str">
            <val>2.30</val>
          </value>
          <value t="str">
            <val>2.08</val>
          </value>
          <value t="str">
            <val>2.61</val>
          </value>
          <value t="str">
            <val>2022/03</val>
          </value>
          <value t="str">
            <val>28.02</val>
          </value>
          <value t="str">
            <val>199.81</val>
          </value>
          <value t="str">
            <val>2022/06</val>
          </value>
        </values>
      </ddeItem>
      <ddeItem name="2752.TW-OperatingProfitRatio,Price,PriceChangeRatio,InOutRatioNumber,Value,YearReturn,MonthReturn,WeekReturn,FinanceBalanceDif,ChipsField2" advise="1">
        <values cols="10">
          <value t="str">
            <val>13.70</val>
          </value>
          <value>
            <val>151</val>
          </value>
          <value>
            <val>0.67</val>
          </value>
          <value t="str">
            <val>42.86%</val>
          </value>
          <value t="str">
            <val>211萬</val>
          </value>
          <value t="str">
            <val>+0.54</val>
          </value>
          <value t="str">
            <val>+5.96</val>
          </value>
          <value t="str">
            <val>+3.78</val>
          </value>
          <value>
            <val>0</val>
          </value>
          <value>
            <val>0</val>
          </value>
        </values>
      </ddeItem>
      <ddeItem name="27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2022/08/18</val>
          </value>
          <value t="str">
            <val>0.45</val>
          </value>
          <value>
            <val>0.59</val>
          </value>
          <value t="str">
            <val>0.56</val>
          </value>
          <value t="str">
            <val>1.35</val>
          </value>
          <value t="str">
            <val>亞洲藏壽司</val>
          </value>
          <value t="str">
            <val>上櫃觀光</val>
          </value>
          <value t="str">
            <val>日式迴轉壽司連鎖店，擁有品牌「藏壽司」</val>
          </value>
        </values>
      </ddeItem>
      <ddeItem name="2754.TW-CName,InvestorConferenceDate,DateofMeetingofShareHolders,TradingDate" advise="1">
        <values cols="4">
          <value t="str">
            <val>亞洲藏壽司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2754.TW-ID,Name,MarketValue,Capital,NetIncomeGrowthRate,OperIncomeGrowthRate,FinancialStatementsTime,TFXRatio,MonthlyNetSalesYoY,RevenueMonth" advise="1">
        <values cols="10">
          <value t="str">
            <val>2754</val>
          </value>
          <value t="str">
            <val>亞洲藏壽司</val>
          </value>
          <value t="str">
            <val>35.5</val>
          </value>
          <value t="str">
            <val>4.63</val>
          </value>
          <value t="str">
            <val>5.90</val>
          </value>
          <value t="str">
            <val>7.54</val>
          </value>
          <value t="str">
            <val>2022/03</val>
          </value>
          <value t="str">
            <val>32.15</val>
          </value>
          <value t="str">
            <val>1189.78</val>
          </value>
          <value t="str">
            <val>2022/06</val>
          </value>
        </values>
      </ddeItem>
      <ddeItem name="2754.TW-OperatingProfitRatio,Price,PriceChangeRatio,InOutRatioNumber,Value,YearReturn,MonthReturn,WeekReturn,FinanceBalanceDif,ChipsField2" advise="1">
        <values cols="10">
          <value t="str">
            <val>8.96</val>
          </value>
          <value>
            <val>76.8</val>
          </value>
          <value>
            <val>-0.39</val>
          </value>
          <value t="str">
            <val>35.21%</val>
          </value>
          <value t="str">
            <val>561萬</val>
          </value>
          <value t="str">
            <val>+3.50</val>
          </value>
          <value t="str">
            <val>+4.21</val>
          </value>
          <value t="str">
            <val>-0.13</val>
          </value>
          <value>
            <val>4</val>
          </value>
          <value>
            <val>0</val>
          </value>
        </values>
      </ddeItem>
      <ddeItem name="27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3.00</val>
          </value>
          <value>
            <val>4.04</val>
          </value>
          <value t="str">
            <val>4.31</val>
          </value>
          <value t="str">
            <val>1.42</val>
          </value>
          <value t="str">
            <val>揚秦</val>
          </value>
          <value t="str">
            <val>上櫃觀光</val>
          </value>
          <value t="str">
            <val>連鎖.直營門市餐飲經營者，擁有品牌「麥味登」</val>
          </value>
        </values>
      </ddeItem>
      <ddeItem name="2755.TW-CName,InvestorConferenceDate,DateofMeetingofShareHolders,TradingDate" advise="1">
        <values cols="4">
          <value t="str">
            <val>揚秦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2755.TW-ID,Name,MarketValue,Capital,NetIncomeGrowthRate,OperIncomeGrowthRate,FinancialStatementsTime,TFXRatio,MonthlyNetSalesYoY,RevenueMonth" advise="1">
        <values cols="10">
          <value t="str">
            <val>2755</val>
          </value>
          <value t="str">
            <val>揚秦</val>
          </value>
          <value t="str">
            <val>14.8</val>
          </value>
          <value t="str">
            <val>2.00</val>
          </value>
          <value t="str">
            <val>86.99</val>
          </value>
          <value t="str">
            <val>75.36</val>
          </value>
          <value t="str">
            <val>2022/03</val>
          </value>
          <value t="str">
            <val>-0.21</val>
          </value>
          <value t="str">
            <val>29.12</val>
          </value>
          <value t="str">
            <val>2022/06</val>
          </value>
        </values>
      </ddeItem>
      <ddeItem name="2755.TW-OperatingProfitRatio,Price,PriceChangeRatio,InOutRatioNumber,Value,YearReturn,MonthReturn,WeekReturn,FinanceBalanceDif,ChipsField2" advise="1">
        <values cols="10">
          <value t="str">
            <val>8.00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+30.20</val>
          </value>
          <value t="str">
            <val>+2.20</val>
          </value>
          <value t="str">
            <val>+3.78</val>
          </value>
          <value>
            <val>0</val>
          </value>
          <value>
            <val>0</val>
          </value>
        </values>
      </ddeItem>
      <ddeItem name="27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2022/03/24</val>
          </value>
          <value t="str">
            <val>4.00</val>
          </value>
          <value>
            <val>6.51</val>
          </value>
          <value t="str">
            <val>8.02</val>
          </value>
          <value t="str">
            <val>1.20</val>
          </value>
          <value t="str">
            <val>聯發國際</val>
          </value>
          <value t="str">
            <val>上櫃觀光</val>
          </value>
          <value t="str">
            <val>茶飲連鎖店，擁有品牌「歇腳亭」</val>
          </value>
        </values>
      </ddeItem>
      <ddeItem name="2756.TW-CName,InvestorConferenceDate,DateofMeetingofShareHolders,TradingDate" advise="1">
        <values cols="4">
          <value t="str">
            <val>聯發國際</val>
          </value>
          <value t="str">
            <val>2021/01/06</val>
          </value>
          <value t="str">
            <val>2022/05/26</val>
          </value>
          <value t="str">
            <val>2022/08/01</val>
          </value>
        </values>
      </ddeItem>
      <ddeItem name="2756.TW-ID,Name,MarketValue,Capital,NetIncomeGrowthRate,OperIncomeGrowthRate,FinancialStatementsTime,TFXRatio,MonthlyNetSalesYoY,RevenueMonth" advise="1">
        <values cols="10">
          <value t="str">
            <val>2756</val>
          </value>
          <value t="str">
            <val>聯發國際</val>
          </value>
          <value t="str">
            <val>15.7</val>
          </value>
          <value t="str">
            <val>1.70</val>
          </value>
          <value t="str">
            <val>33.53</val>
          </value>
          <value t="str">
            <val>-4.09</val>
          </value>
          <value t="str">
            <val>2022/03</val>
          </value>
          <value t="str">
            <val>-26.93</val>
          </value>
          <value t="str">
            <val>-17.24</val>
          </value>
          <value t="str">
            <val>2022/06</val>
          </value>
        </values>
      </ddeItem>
      <ddeItem name="2756.TW-OperatingProfitRatio,Price,PriceChangeRatio,InOutRatioNumber,Value,YearReturn,MonthReturn,WeekReturn,FinanceBalanceDif,ChipsField2" advise="1">
        <values cols="10">
          <value t="str">
            <val>15.62</val>
          </value>
          <value>
            <val>92.2</val>
          </value>
          <value>
            <val>0.11</val>
          </value>
          <value t="str">
            <val>17.39%</val>
          </value>
          <value t="str">
            <val>213萬</val>
          </value>
          <value t="str">
            <val>--</val>
          </value>
          <value t="str">
            <val>-10.49</val>
          </value>
          <value t="str">
            <val>-1.91</val>
          </value>
          <value>
            <val>0</val>
          </value>
          <value>
            <val>0</val>
          </value>
        </values>
      </ddeItem>
      <ddeItem name="29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2022/06/23</val>
          </value>
          <value t="str">
            <val>2.20</val>
          </value>
          <value>
            <val>9.98</val>
          </value>
          <value t="str">
            <val>2.49</val>
          </value>
          <value t="str">
            <val>0.67</val>
          </value>
          <value t="str">
            <val>滿心</val>
          </value>
          <value t="str">
            <val>上櫃貿易百貨</val>
          </value>
          <value t="str">
            <val>台灣第二大代理知名品牌服飾廠商</val>
          </value>
        </values>
      </ddeItem>
      <ddeItem name="2916.TW-CName,InvestorConferenceDate,DateofMeetingofShareHolders,TradingDate" advise="1">
        <values cols="4">
          <value t="str">
            <val>滿心</val>
          </value>
          <value t="str">
            <val>--</val>
          </value>
          <value t="str">
            <val>2022/06/06</val>
          </value>
          <value t="str">
            <val>2022/08/01</val>
          </value>
        </values>
      </ddeItem>
      <ddeItem name="2916.TW-ID,Name,MarketValue,Capital,NetIncomeGrowthRate,OperIncomeGrowthRate,FinancialStatementsTime,TFXRatio,MonthlyNetSalesYoY,RevenueMonth" advise="1">
        <values cols="10">
          <value t="str">
            <val>2916</val>
          </value>
          <value t="str">
            <val>滿心</val>
          </value>
          <value t="str">
            <val>12.0</val>
          </value>
          <value t="str">
            <val>5.46</val>
          </value>
          <value t="str">
            <val>-4.87</val>
          </value>
          <value t="str">
            <val>-5.32</val>
          </value>
          <value t="str">
            <val>2022/03</val>
          </value>
          <value t="str">
            <val>5.29</val>
          </value>
          <value t="str">
            <val>467.79</val>
          </value>
          <value t="str">
            <val>2022/06</val>
          </value>
        </values>
      </ddeItem>
      <ddeItem name="2916.TW-OperatingProfitRatio,Price,PriceChangeRatio,InOutRatioNumber,Value,YearReturn,MonthReturn,WeekReturn,FinanceBalanceDif,ChipsField2" advise="1">
        <values cols="10">
          <value t="str">
            <val>10.27</val>
          </value>
          <value>
            <val>22.05</val>
          </value>
          <value>
            <val>0</val>
          </value>
          <value t="str">
            <val>37.93%</val>
          </value>
          <value t="str">
            <val>70.7萬</val>
          </value>
          <value t="str">
            <val>+25.77</val>
          </value>
          <value t="str">
            <val>+7.04</val>
          </value>
          <value t="str">
            <val>+0.23</val>
          </value>
          <value>
            <val>-1</val>
          </value>
          <value>
            <val>0</val>
          </value>
        </values>
      </ddeItem>
      <ddeItem name="29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-1.73</val>
          </value>
          <value t="str">
            <val>-0.67</val>
          </value>
          <value t="str">
            <val>東凌-KY</val>
          </value>
          <value t="str">
            <val>上櫃貿易百貨</val>
          </value>
          <value t="str">
            <val>以「黃色小鴨」品牌在兩岸經營嬰童產品</val>
          </value>
        </values>
      </ddeItem>
      <ddeItem name="2924.TW-CName,InvestorConferenceDate,DateofMeetingofShareHolders,TradingDate" advise="1">
        <values cols="4">
          <value t="str">
            <val>東凌-KY</val>
          </value>
          <value t="str">
            <val>2021/11/30</val>
          </value>
          <value t="str">
            <val>2022/06/20</val>
          </value>
          <value t="str">
            <val>2022/08/01</val>
          </value>
        </values>
      </ddeItem>
      <ddeItem name="2924.TW-ID,Name,MarketValue,Capital,NetIncomeGrowthRate,OperIncomeGrowthRate,FinancialStatementsTime,TFXRatio,MonthlyNetSalesYoY,RevenueMonth" advise="1">
        <values cols="10">
          <value t="str">
            <val>2924</val>
          </value>
          <value t="str">
            <val>東凌-KY</val>
          </value>
          <value t="str">
            <val>9.8</val>
          </value>
          <value t="str">
            <val>3.28</val>
          </value>
          <value t="str">
            <val>-2.31</val>
          </value>
          <value t="str">
            <val>-15.65</val>
          </value>
          <value t="str">
            <val>2022/03</val>
          </value>
          <value t="str">
            <val>99.06</val>
          </value>
          <value t="str">
            <val>-54.26</val>
          </value>
          <value t="str">
            <val>2022/06</val>
          </value>
        </values>
      </ddeItem>
      <ddeItem name="2924.TW-OperatingProfitRatio,Price,PriceChangeRatio,InOutRatioNumber,Value,YearReturn,MonthReturn,WeekReturn,FinanceBalanceDif,ChipsField2" advise="1">
        <values cols="10">
          <value t="str">
            <val>-68.01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+60.43</val>
          </value>
          <value t="str">
            <val>+6.76</val>
          </value>
          <value t="str">
            <val>+1.35</val>
          </value>
          <value>
            <val>0</val>
          </value>
          <value>
            <val>0</val>
          </value>
        </values>
      </ddeItem>
      <ddeItem name="29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--</val>
          </value>
          <value t="str">
            <val>0.00</val>
          </value>
          <value>
            <val>0</val>
          </value>
          <value t="str">
            <val>-5.69</val>
          </value>
          <value t="str">
            <val>-1.46</val>
          </value>
          <value t="str">
            <val>誠品生活</val>
          </value>
          <value t="str">
            <val>上櫃文化創意</val>
          </value>
          <value t="str">
            <val>誠品集團旗下百貨通路及餐旅業者，亦跨足旅館產業</val>
          </value>
        </values>
      </ddeItem>
      <ddeItem name="2926.TW-CName,InvestorConferenceDate,DateofMeetingofShareHolders,TradingDate" advise="1">
        <values cols="4">
          <value t="str">
            <val>誠品生活</val>
          </value>
          <value t="str">
            <val>2021/09/13</val>
          </value>
          <value t="str">
            <val>2022/05/27</val>
          </value>
          <value t="str">
            <val>2022/08/01</val>
          </value>
        </values>
      </ddeItem>
      <ddeItem name="2926.TW-ID,Name,MarketValue,Capital,NetIncomeGrowthRate,OperIncomeGrowthRate,FinancialStatementsTime,TFXRatio,MonthlyNetSalesYoY,RevenueMonth" advise="1">
        <values cols="10">
          <value t="str">
            <val>2926</val>
          </value>
          <value t="str">
            <val>誠品生活</val>
          </value>
          <value t="str">
            <val>21.0</val>
          </value>
          <value t="str">
            <val>4.74</val>
          </value>
          <value t="str">
            <val>-152.67</val>
          </value>
          <value t="str">
            <val>-179.12</val>
          </value>
          <value t="str">
            <val>2022/03</val>
          </value>
          <value t="str">
            <val>14.50</val>
          </value>
          <value t="str">
            <val>38.78</val>
          </value>
          <value t="str">
            <val>2022/06</val>
          </value>
        </values>
      </ddeItem>
      <ddeItem name="2926.TW-OperatingProfitRatio,Price,PriceChangeRatio,InOutRatioNumber,Value,YearReturn,MonthReturn,WeekReturn,FinanceBalanceDif,ChipsField2" advise="1">
        <values cols="10">
          <value t="str">
            <val>-10.35</val>
          </value>
          <value>
            <val>44.4</val>
          </value>
          <value>
            <val>0.45</val>
          </value>
          <value t="str">
            <val>92.98%</val>
          </value>
          <value t="str">
            <val>254萬</val>
          </value>
          <value t="str">
            <val>-28.50</val>
          </value>
          <value t="str">
            <val>-3.48</val>
          </value>
          <value t="str">
            <val>-0.22</val>
          </value>
          <value>
            <val>-2</val>
          </value>
          <value>
            <val>0</val>
          </value>
        </values>
      </ddeItem>
      <ddeItem name="2937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-3</val>
          </value>
          <value t="str">
            <val>2022/07/28</val>
          </value>
          <value t="str">
            <val>2.25</val>
          </value>
          <value>
            <val>6</val>
          </value>
          <value t="str">
            <val>3.80</val>
          </value>
          <value t="str">
            <val>1.30</val>
          </value>
          <value t="str">
            <val>集雅社</val>
          </value>
          <value t="str">
            <val>上櫃貿易百貨</val>
          </value>
          <value t="str">
            <val>台灣影音家電產品之通路商</val>
          </value>
        </values>
      </ddeItem>
      <ddeItem name="2937.TW-CName,InvestorConferenceDate,DateofMeetingofShareHolders,TradingDate" advise="1">
        <values cols="4">
          <value t="str">
            <val>集雅社</val>
          </value>
          <value t="str">
            <val>2021/04/28</val>
          </value>
          <value t="str">
            <val>2022/06/15</val>
          </value>
          <value t="str">
            <val>2022/08/01</val>
          </value>
        </values>
      </ddeItem>
      <ddeItem name="2937.TW-ID,Name,MarketValue,Capital,NetIncomeGrowthRate,OperIncomeGrowthRate,FinancialStatementsTime,TFXRatio,MonthlyNetSalesYoY,RevenueMonth" advise="1">
        <values cols="10">
          <value t="str">
            <val>2937</val>
          </value>
          <value t="str">
            <val>集雅社</val>
          </value>
          <value t="str">
            <val>13.8</val>
          </value>
          <value t="str">
            <val>3.67</val>
          </value>
          <value t="str">
            <val>62.86</val>
          </value>
          <value t="str">
            <val>67.15</val>
          </value>
          <value t="str">
            <val>2022/03</val>
          </value>
          <value t="str">
            <val>-7.27</val>
          </value>
          <value t="str">
            <val>42.53</val>
          </value>
          <value t="str">
            <val>2022/06</val>
          </value>
        </values>
      </ddeItem>
      <ddeItem name="2937.TW-OperatingProfitRatio,Price,PriceChangeRatio,InOutRatioNumber,Value,YearReturn,MonthReturn,WeekReturn,FinanceBalanceDif,ChipsField2" advise="1">
        <values cols="10">
          <value t="str">
            <val>6.59</val>
          </value>
          <value>
            <val>37.5</val>
          </value>
          <value>
            <val>0.27</val>
          </value>
          <value t="str">
            <val>41.67%</val>
          </value>
          <value t="str">
            <val>44.9萬</val>
          </value>
          <value t="str">
            <val>+24.60</val>
          </value>
          <value t="str">
            <val>+6.09</val>
          </value>
          <value t="str">
            <val>+2.14</val>
          </value>
          <value>
            <val>0</val>
          </value>
          <value>
            <val>0</val>
          </value>
        </values>
      </ddeItem>
      <ddeItem name="29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2022/07/07</val>
          </value>
          <value t="str">
            <val>3.80</val>
          </value>
          <value>
            <val>3.6</val>
          </value>
          <value t="str">
            <val>5.84</val>
          </value>
          <value t="str">
            <val>1.32</val>
          </value>
          <value t="str">
            <val>振宇五金</val>
          </value>
          <value t="str">
            <val>上櫃貿易百貨</val>
          </value>
          <value t="str">
            <val>大型五金修繕專業賣場</val>
          </value>
        </values>
      </ddeItem>
      <ddeItem name="2947.TW-CName,InvestorConferenceDate,DateofMeetingofShareHolders,TradingDate" advise="1">
        <values cols="4">
          <value t="str">
            <val>振宇五金</val>
          </value>
          <value t="str">
            <val>2022/04/07</val>
          </value>
          <value t="str">
            <val>2022/06/21</val>
          </value>
          <value t="str">
            <val>2022/08/01</val>
          </value>
        </values>
      </ddeItem>
      <ddeItem name="2947.TW-ID,Name,MarketValue,Capital,NetIncomeGrowthRate,OperIncomeGrowthRate,FinancialStatementsTime,TFXRatio,MonthlyNetSalesYoY,RevenueMonth" advise="1">
        <values cols="10">
          <value t="str">
            <val>2947</val>
          </value>
          <value t="str">
            <val>振宇五金</val>
          </value>
          <value t="str">
            <val>20.3</val>
          </value>
          <value t="str">
            <val>1.93</val>
          </value>
          <value t="str">
            <val>-19.57</val>
          </value>
          <value t="str">
            <val>-16.88</val>
          </value>
          <value t="str">
            <val>2022/03</val>
          </value>
          <value t="str">
            <val>6.63</val>
          </value>
          <value t="str">
            <val>10.06</val>
          </value>
          <value t="str">
            <val>2022/06</val>
          </value>
        </values>
      </ddeItem>
      <ddeItem name="2947.TW-OperatingProfitRatio,Price,PriceChangeRatio,InOutRatioNumber,Value,YearReturn,MonthReturn,WeekReturn,FinanceBalanceDif,ChipsField2" advise="1">
        <values cols="10">
          <value t="str">
            <val>7.83</val>
          </value>
          <value>
            <val>105.5</val>
          </value>
          <value>
            <val>-1.4</val>
          </value>
          <value t="str">
            <val>0.00%</val>
          </value>
          <value t="str">
            <val>10.6萬</val>
          </value>
          <value t="str">
            <val>--</val>
          </value>
          <value t="str">
            <val>+6.27</val>
          </value>
          <value t="str">
            <val>-0.94</val>
          </value>
          <value>
            <val>0</val>
          </value>
          <value>
            <val>0</val>
          </value>
        </values>
      </ddeItem>
      <ddeItem name="30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-2.73</val>
          </value>
          <value t="str">
            <val>-1.18</val>
          </value>
          <value t="str">
            <val>泰偉</val>
          </value>
          <value t="str">
            <val>上櫃文化創意</val>
          </value>
          <value t="str">
            <val>大型電玩機台遊戲開發商</val>
          </value>
        </values>
      </ddeItem>
      <ddeItem name="3064.TW-CName,InvestorConferenceDate,DateofMeetingofShareHolders,TradingDate" advise="1">
        <values cols="4">
          <value t="str">
            <val>泰偉</val>
          </value>
          <value t="str">
            <val>2021/12/16</val>
          </value>
          <value t="str">
            <val>2022/06/15</val>
          </value>
          <value t="str">
            <val>2022/08/01</val>
          </value>
        </values>
      </ddeItem>
      <ddeItem name="3064.TW-ID,Name,MarketValue,Capital,NetIncomeGrowthRate,OperIncomeGrowthRate,FinancialStatementsTime,TFXRatio,MonthlyNetSalesYoY,RevenueMonth" advise="1">
        <values cols="10">
          <value t="str">
            <val>3064</val>
          </value>
          <value t="str">
            <val>泰偉</val>
          </value>
          <value t="str">
            <val>3.3</val>
          </value>
          <value t="str">
            <val>4.34</val>
          </value>
          <value t="str">
            <val>-268.23</val>
          </value>
          <value t="str">
            <val>-256.49</val>
          </value>
          <value t="str">
            <val>2022/03</val>
          </value>
          <value t="str">
            <val>-0.02</val>
          </value>
          <value t="str">
            <val>-59.35</val>
          </value>
          <value t="str">
            <val>2022/06</val>
          </value>
        </values>
      </ddeItem>
      <ddeItem name="3064.TW-OperatingProfitRatio,Price,PriceChangeRatio,InOutRatioNumber,Value,YearReturn,MonthReturn,WeekReturn,FinanceBalanceDif,ChipsField2" advise="1">
        <values cols="10">
          <value t="str">
            <val>-132.68</val>
          </value>
          <value>
            <val>11.6</val>
          </value>
          <value>
            <val>5.45</val>
          </value>
          <value t="str">
            <val>21.05%</val>
          </value>
          <value t="str">
            <val>22.0萬</val>
          </value>
          <value t="str">
            <val>-39.43</val>
          </value>
          <value t="str">
            <val>-1.28</val>
          </value>
          <value t="str">
            <val>+4.50</val>
          </value>
          <value>
            <val>0</val>
          </value>
          <value>
            <val>0</val>
          </value>
        </values>
      </ddeItem>
      <ddeItem name="306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2.16</val>
          </value>
          <value t="str">
            <val>0.23</val>
          </value>
          <value t="str">
            <val>李洲</val>
          </value>
          <value t="str">
            <val>上櫃光電</val>
          </value>
          <value t="str">
            <val>台灣利基型LED封裝廠</val>
          </value>
        </values>
      </ddeItem>
      <ddeItem name="3066.TW-CName,InvestorConferenceDate,DateofMeetingofShareHolders,TradingDate" advise="1">
        <values cols="4">
          <value t="str">
            <val>李洲</val>
          </value>
          <value t="str">
            <val>--</val>
          </value>
          <value t="str">
            <val>2022/05/30</val>
          </value>
          <value t="str">
            <val>2022/08/01</val>
          </value>
        </values>
      </ddeItem>
      <ddeItem name="3066.TW-ID,Name,MarketValue,Capital,NetIncomeGrowthRate,OperIncomeGrowthRate,FinancialStatementsTime,TFXRatio,MonthlyNetSalesYoY,RevenueMonth" advise="1">
        <values cols="10">
          <value t="str">
            <val>3066</val>
          </value>
          <value t="str">
            <val>李洲</val>
          </value>
          <value t="str">
            <val>19.9</val>
          </value>
          <value t="str">
            <val>8.31</val>
          </value>
          <value t="str">
            <val>37.77</val>
          </value>
          <value t="str">
            <val>-306.61</val>
          </value>
          <value t="str">
            <val>2022/03</val>
          </value>
          <value t="str">
            <val>-9.92</val>
          </value>
          <value t="str">
            <val>-50.42</val>
          </value>
          <value t="str">
            <val>2022/06</val>
          </value>
        </values>
      </ddeItem>
      <ddeItem name="3066.TW-OperatingProfitRatio,Price,PriceChangeRatio,InOutRatioNumber,Value,YearReturn,MonthReturn,WeekReturn,FinanceBalanceDif,ChipsField2" advise="1">
        <values cols="10">
          <value t="str">
            <val>-15.91</val>
          </value>
          <value>
            <val>23.9</val>
          </value>
          <value>
            <val>9.89</val>
          </value>
          <value t="str">
            <val>85.05%</val>
          </value>
          <value t="str">
            <val>1874萬</val>
          </value>
          <value t="str">
            <val>+57.24</val>
          </value>
          <value t="str">
            <val>-6.82</val>
          </value>
          <value t="str">
            <val>+8.64</val>
          </value>
          <value>
            <val>-4</val>
          </value>
          <value>
            <val>0</val>
          </value>
        </values>
      </ddeItem>
      <ddeItem name="30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4.00</val>
          </value>
          <value t="str">
            <val>-0.04</val>
          </value>
          <value t="str">
            <val>全域</val>
          </value>
          <value t="str">
            <val>上櫃其他電子</val>
          </value>
          <value t="str">
            <val>以Phonic為品牌行銷全球之專業音響廠商</val>
          </value>
        </values>
      </ddeItem>
      <ddeItem name="3067.TW-CName,InvestorConferenceDate,DateofMeetingofShareHolders,TradingDate" advise="1">
        <values cols="4">
          <value t="str">
            <val>全域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3067.TW-ID,Name,MarketValue,Capital,NetIncomeGrowthRate,OperIncomeGrowthRate,FinancialStatementsTime,TFXRatio,MonthlyNetSalesYoY,RevenueMonth" advise="1">
        <values cols="10">
          <value t="str">
            <val>3067</val>
          </value>
          <value t="str">
            <val>全域</val>
          </value>
          <value t="str">
            <val>8.0</val>
          </value>
          <value t="str">
            <val>2.00</val>
          </value>
          <value t="str">
            <val>84.92</val>
          </value>
          <value t="str">
            <val>65.33</val>
          </value>
          <value t="str">
            <val>2022/03</val>
          </value>
          <value t="str">
            <val>-68.57</val>
          </value>
          <value t="str">
            <val>-64.07</val>
          </value>
          <value t="str">
            <val>2022/06</val>
          </value>
        </values>
      </ddeItem>
      <ddeItem name="3067.TW-OperatingProfitRatio,Price,PriceChangeRatio,InOutRatioNumber,Value,YearReturn,MonthReturn,WeekReturn,FinanceBalanceDif,ChipsField2" advise="1">
        <values cols="10">
          <value t="str">
            <val>-17.01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-1.56</val>
          </value>
          <value t="str">
            <val>-1.23</val>
          </value>
          <value t="str">
            <val>+0.13</val>
          </value>
          <value>
            <val>0</val>
          </value>
          <value>
            <val>0</val>
          </value>
        </values>
      </ddeItem>
      <ddeItem name="30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-12</val>
          </value>
          <value t="str">
            <val>2022/08/12</val>
          </value>
          <value t="str">
            <val>1.60</val>
          </value>
          <value>
            <val>5.85</val>
          </value>
          <value t="str">
            <val>1.87</val>
          </value>
          <value t="str">
            <val>0.38</val>
          </value>
          <value t="str">
            <val>協禧</val>
          </value>
          <value t="str">
            <val>上櫃電腦及週邊設備</val>
          </value>
          <value t="str">
            <val>生產NB用散熱風扇及模組廠</val>
          </value>
        </values>
      </ddeItem>
      <ddeItem name="3071.TW-CName,InvestorConferenceDate,DateofMeetingofShareHolders,TradingDate" advise="1">
        <values cols="4">
          <value t="str">
            <val>協禧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3071.TW-ID,Name,MarketValue,Capital,NetIncomeGrowthRate,OperIncomeGrowthRate,FinancialStatementsTime,TFXRatio,MonthlyNetSalesYoY,RevenueMonth" advise="1">
        <values cols="10">
          <value t="str">
            <val>3071</val>
          </value>
          <value t="str">
            <val>協禧</val>
          </value>
          <value t="str">
            <val>30.1</val>
          </value>
          <value t="str">
            <val>11.00</val>
          </value>
          <value t="str">
            <val>-2.54</val>
          </value>
          <value t="str">
            <val>36.99</val>
          </value>
          <value t="str">
            <val>2022/03</val>
          </value>
          <value t="str">
            <val>1.23</val>
          </value>
          <value t="str">
            <val>14.70</val>
          </value>
          <value t="str">
            <val>2022/06</val>
          </value>
        </values>
      </ddeItem>
      <ddeItem name="3071.TW-OperatingProfitRatio,Price,PriceChangeRatio,InOutRatioNumber,Value,YearReturn,MonthReturn,WeekReturn,FinanceBalanceDif,ChipsField2" advise="1">
        <values cols="10">
          <value t="str">
            <val>8.61</val>
          </value>
          <value>
            <val>27.35</val>
          </value>
          <value>
            <val>1.48</val>
          </value>
          <value t="str">
            <val>66.60%</val>
          </value>
          <value t="str">
            <val>1339萬</val>
          </value>
          <value t="str">
            <val>+14.13</val>
          </value>
          <value t="str">
            <val>+23.48</val>
          </value>
          <value t="str">
            <val>+3.40</val>
          </value>
          <value>
            <val>-2</val>
          </value>
          <value>
            <val>0</val>
          </value>
        </values>
      </ddeItem>
      <ddeItem name="307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-2.89</val>
          </value>
          <value t="str">
            <val>-0.13</val>
          </value>
          <value t="str">
            <val>天方能源</val>
          </value>
          <value t="str">
            <val>上櫃半導體</val>
          </value>
          <value t="str">
            <val>轉型太陽能電廠經營</val>
          </value>
        </values>
      </ddeItem>
      <ddeItem name="3073.TW-CName,InvestorConferenceDate,DateofMeetingofShareHolders,TradingDate" advise="1">
        <values cols="4">
          <value t="str">
            <val>天方能源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3073.TW-ID,Name,MarketValue,Capital,NetIncomeGrowthRate,OperIncomeGrowthRate,FinancialStatementsTime,TFXRatio,MonthlyNetSalesYoY,RevenueMonth" advise="1">
        <values cols="10">
          <value t="str">
            <val>3073</val>
          </value>
          <value t="str">
            <val>天方能源</val>
          </value>
          <value t="str">
            <val>8.7</val>
          </value>
          <value t="str">
            <val>3.21</val>
          </value>
          <value t="str">
            <val>49.41</val>
          </value>
          <value t="str">
            <val>62.92</val>
          </value>
          <value t="str">
            <val>2022/03</val>
          </value>
          <value t="str">
            <val>-92.90</val>
          </value>
          <value t="str">
            <val>-22.56</val>
          </value>
          <value t="str">
            <val>2022/06</val>
          </value>
        </values>
      </ddeItem>
      <ddeItem name="3073.TW-OperatingProfitRatio,Price,PriceChangeRatio,InOutRatioNumber,Value,YearReturn,MonthReturn,WeekReturn,FinanceBalanceDif,ChipsField2" advise="1">
        <values cols="10">
          <value t="str">
            <val>-18.79</val>
          </value>
          <value>
            <val>27.25</val>
          </value>
          <value>
            <val>2.06</val>
          </value>
          <value t="str">
            <val>100.00%</val>
          </value>
          <value t="str">
            <val>16.3萬</val>
          </value>
          <value t="str">
            <val>+20.04</val>
          </value>
          <value t="str">
            <val>+12.84</val>
          </value>
          <value t="str">
            <val>+0.37</val>
          </value>
          <value>
            <val>0</val>
          </value>
          <value>
            <val>0</val>
          </value>
        </values>
      </ddeItem>
      <ddeItem name="3078.TW-ChipsField3,ChipsField1,ChipsField25,CashAndStockDividend,CashDividendYieldRate,ProfitFourSeason,ProfitSingle,CName,ExchangeIndustry,CompanyPos" advise="1">
        <values cols="10">
          <value>
            <val>4</val>
          </value>
          <value>
            <val>62</val>
          </value>
          <value t="str">
            <val>--</val>
          </value>
          <value t="str">
            <val>3.25</val>
          </value>
          <value>
            <val>9.82</val>
          </value>
          <value t="str">
            <val>3.76</val>
          </value>
          <value t="str">
            <val>0.79</val>
          </value>
          <value t="str">
            <val>僑威</val>
          </value>
          <value t="str">
            <val>上櫃電子零組件</val>
          </value>
          <value t="str">
            <val>全球clone市場上最大電源供應器製造商</val>
          </value>
        </values>
      </ddeItem>
      <ddeItem name="3078.TW-CName,InvestorConferenceDate,DateofMeetingofShareHolders,TradingDate" advise="1">
        <values cols="4">
          <value t="str">
            <val>僑威</val>
          </value>
          <value t="str">
            <val>2021/04/27</val>
          </value>
          <value t="str">
            <val>2022/06/29</val>
          </value>
          <value t="str">
            <val>2022/08/01</val>
          </value>
        </values>
      </ddeItem>
      <ddeItem name="3078.TW-ID,Name,MarketValue,Capital,NetIncomeGrowthRate,OperIncomeGrowthRate,FinancialStatementsTime,TFXRatio,MonthlyNetSalesYoY,RevenueMonth" advise="1">
        <values cols="10">
          <value t="str">
            <val>3078</val>
          </value>
          <value t="str">
            <val>僑威</val>
          </value>
          <value t="str">
            <val>75.3</val>
          </value>
          <value t="str">
            <val>22.74</val>
          </value>
          <value t="str">
            <val>-40.92</val>
          </value>
          <value t="str">
            <val>-68.47</val>
          </value>
          <value t="str">
            <val>2022/03</val>
          </value>
          <value t="str">
            <val>13.97</val>
          </value>
          <value t="str">
            <val>-38.05</val>
          </value>
          <value t="str">
            <val>2022/06</val>
          </value>
        </values>
      </ddeItem>
      <ddeItem name="3078.TW-OperatingProfitRatio,Price,PriceChangeRatio,InOutRatioNumber,Value,YearReturn,MonthReturn,WeekReturn,FinanceBalanceDif,ChipsField2" advise="1">
        <values cols="10">
          <value t="str">
            <val>6.88</val>
          </value>
          <value>
            <val>33.1</val>
          </value>
          <value>
            <val>0.15</val>
          </value>
          <value t="str">
            <val>54.55%</val>
          </value>
          <value t="str">
            <val>403萬</val>
          </value>
          <value t="str">
            <val>-33.30</val>
          </value>
          <value t="str">
            <val>+10.33</val>
          </value>
          <value t="str">
            <val>+0.61</val>
          </value>
          <value>
            <val>-19</val>
          </value>
          <value>
            <val>0</val>
          </value>
        </values>
      </ddeItem>
      <ddeItem name="3081.TW-ChipsField3,ChipsField1,ChipsField25,CashAndStockDividend,CashDividendYieldRate,ProfitFourSeason,ProfitSingle,CName,ExchangeIndustry,CompanyPos" advise="1">
        <values cols="10">
          <value>
            <val>20</val>
          </value>
          <value>
            <val>-133</val>
          </value>
          <value t="str">
            <val>2022/07/25</val>
          </value>
          <value t="str">
            <val>3.50</val>
          </value>
          <value>
            <val>2.5099999999999998</val>
          </value>
          <value t="str">
            <val>1.62</val>
          </value>
          <value t="str">
            <val>0.98</val>
          </value>
          <value t="str">
            <val>聯亞</val>
          </value>
          <value t="str">
            <val>上櫃通信網路</val>
          </value>
          <value t="str">
            <val>生產砷化鎵與磷化銦為基板的磊晶廠</val>
          </value>
        </values>
      </ddeItem>
      <ddeItem name="3081.TW-CName,InvestorConferenceDate,DateofMeetingofShareHolders,TradingDate" advise="1">
        <values cols="4">
          <value t="str">
            <val>聯亞</val>
          </value>
          <value t="str">
            <val>2022/07/27</val>
          </value>
          <value t="str">
            <val>2022/05/25</val>
          </value>
          <value t="str">
            <val>2022/08/01</val>
          </value>
        </values>
      </ddeItem>
      <ddeItem name="3081.TW-ID,Name,MarketValue,Capital,NetIncomeGrowthRate,OperIncomeGrowthRate,FinancialStatementsTime,TFXRatio,MonthlyNetSalesYoY,RevenueMonth" advise="1">
        <values cols="10">
          <value t="str">
            <val>3081</val>
          </value>
          <value t="str">
            <val>聯亞</val>
          </value>
          <value t="str">
            <val>127.5</val>
          </value>
          <value t="str">
            <val>9.14</val>
          </value>
          <value t="str">
            <val>-63.44</val>
          </value>
          <value t="str">
            <val>-72.76</val>
          </value>
          <value t="str">
            <val>2022/06</val>
          </value>
          <value t="str">
            <val>4.43</val>
          </value>
          <value t="str">
            <val>46.26</val>
          </value>
          <value t="str">
            <val>2022/06</val>
          </value>
        </values>
      </ddeItem>
      <ddeItem name="3081.TW-OperatingProfitRatio,Price,PriceChangeRatio,InOutRatioNumber,Value,YearReturn,MonthReturn,WeekReturn,FinanceBalanceDif,ChipsField2" advise="1">
        <values cols="10">
          <value t="str">
            <val>9.76</val>
          </value>
          <value>
            <val>139.5</val>
          </value>
          <value>
            <val>-10</val>
          </value>
          <value t="str">
            <val>26.14%</val>
          </value>
          <value t="str">
            <val>7.67億</val>
          </value>
          <value t="str">
            <val>-38.12</val>
          </value>
          <value t="str">
            <val>+35.90</val>
          </value>
          <value t="str">
            <val>+5.28</val>
          </value>
          <value>
            <val>171</val>
          </value>
          <value>
            <val>112</val>
          </value>
        </values>
      </ddeItem>
      <ddeItem name="30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-0.45</val>
          </value>
          <value t="str">
            <val>-0.18</val>
          </value>
          <value t="str">
            <val>網龍</val>
          </value>
          <value t="str">
            <val>上櫃文化創意</val>
          </value>
          <value t="str">
            <val>智冠旗下線上遊戲開發商</val>
          </value>
        </values>
      </ddeItem>
      <ddeItem name="3083.TW-CName,InvestorConferenceDate,DateofMeetingofShareHolders,TradingDate" advise="1">
        <values cols="4">
          <value t="str">
            <val>網龍</val>
          </value>
          <value t="str">
            <val>2021/03/30</val>
          </value>
          <value t="str">
            <val>2022/06/17</val>
          </value>
          <value t="str">
            <val>2022/08/01</val>
          </value>
        </values>
      </ddeItem>
      <ddeItem name="3083.TW-ID,Name,MarketValue,Capital,NetIncomeGrowthRate,OperIncomeGrowthRate,FinancialStatementsTime,TFXRatio,MonthlyNetSalesYoY,RevenueMonth" advise="1">
        <values cols="10">
          <value t="str">
            <val>3083</val>
          </value>
          <value t="str">
            <val>網龍</val>
          </value>
          <value t="str">
            <val>38.3</val>
          </value>
          <value t="str">
            <val>8.64</val>
          </value>
          <value t="str">
            <val>-0.78</val>
          </value>
          <value t="str">
            <val>-5.78</val>
          </value>
          <value t="str">
            <val>2022/03</val>
          </value>
          <value t="str">
            <val>21.03</val>
          </value>
          <value t="str">
            <val>71.17</val>
          </value>
          <value t="str">
            <val>2022/06</val>
          </value>
        </values>
      </ddeItem>
      <ddeItem name="3083.TW-OperatingProfitRatio,Price,PriceChangeRatio,InOutRatioNumber,Value,YearReturn,MonthReturn,WeekReturn,FinanceBalanceDif,ChipsField2" advise="1">
        <values cols="10">
          <value t="str">
            <val>-23.39</val>
          </value>
          <value>
            <val>44.4</val>
          </value>
          <value>
            <val>0.45</val>
          </value>
          <value t="str">
            <val>47.76%</val>
          </value>
          <value t="str">
            <val>305萬</val>
          </value>
          <value t="str">
            <val>-14.62</val>
          </value>
          <value t="str">
            <val>+0.45</val>
          </value>
          <value t="str">
            <val>-1.11</val>
          </value>
          <value>
            <val>-3</val>
          </value>
          <value>
            <val>0</val>
          </value>
        </values>
      </ddeItem>
      <ddeItem name="30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0.27</val>
          </value>
          <value t="str">
            <val>-0.20</val>
          </value>
          <value t="str">
            <val>新零售</val>
          </value>
          <value t="str">
            <val>上櫃電子商務</val>
          </value>
          <value t="str">
            <val>台灣服飾電商業者</val>
          </value>
        </values>
      </ddeItem>
      <ddeItem name="3085.TW-CName,InvestorConferenceDate,DateofMeetingofShareHolders,TradingDate" advise="1">
        <values cols="4">
          <value t="str">
            <val>新零售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3085.TW-ID,Name,MarketValue,Capital,NetIncomeGrowthRate,OperIncomeGrowthRate,FinancialStatementsTime,TFXRatio,MonthlyNetSalesYoY,RevenueMonth" advise="1">
        <values cols="10">
          <value t="str">
            <val>3085</val>
          </value>
          <value t="str">
            <val>新零售</val>
          </value>
          <value t="str">
            <val>6.5</val>
          </value>
          <value t="str">
            <val>5.80</val>
          </value>
          <value t="str">
            <val>-106.85</val>
          </value>
          <value t="str">
            <val>29.02</val>
          </value>
          <value t="str">
            <val>2022/03</val>
          </value>
          <value t="str">
            <val>-5.32</val>
          </value>
          <value t="str">
            <val>98.03</val>
          </value>
          <value t="str">
            <val>2022/06</val>
          </value>
        </values>
      </ddeItem>
      <ddeItem name="3085.TW-OperatingProfitRatio,Price,PriceChangeRatio,InOutRatioNumber,Value,YearReturn,MonthReturn,WeekReturn,FinanceBalanceDif,ChipsField2" advise="1">
        <values cols="10">
          <value t="str">
            <val>-27.55</val>
          </value>
          <value>
            <val>11.2</val>
          </value>
          <value>
            <val>1.82</val>
          </value>
          <value t="str">
            <val>66.67%</val>
          </value>
          <value t="str">
            <val>5.56萬</val>
          </value>
          <value t="str">
            <val>+29.03</val>
          </value>
          <value t="str">
            <val>+20.43</val>
          </value>
          <value t="str">
            <val>-5.49</val>
          </value>
          <value>
            <val>0</val>
          </value>
          <value>
            <val>0</val>
          </value>
        </values>
      </ddeItem>
      <ddeItem name="308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3.50</val>
          </value>
          <value>
            <val>4.03</val>
          </value>
          <value t="str">
            <val>3.70</val>
          </value>
          <value t="str">
            <val>0.39</val>
          </value>
          <value t="str">
            <val>華義</val>
          </value>
          <value t="str">
            <val>上櫃文化創意</val>
          </value>
          <value t="str">
            <val>台灣知名遊戲軟體業者</val>
          </value>
        </values>
      </ddeItem>
      <ddeItem name="3086.TW-CName,InvestorConferenceDate,DateofMeetingofShareHolders,TradingDate" advise="1">
        <values cols="4">
          <value t="str">
            <val>華義</val>
          </value>
          <value t="str">
            <val>2021/12/28</val>
          </value>
          <value t="str">
            <val>2022/06/23</val>
          </value>
          <value t="str">
            <val>2022/08/01</val>
          </value>
        </values>
      </ddeItem>
      <ddeItem name="3086.TW-ID,Name,MarketValue,Capital,NetIncomeGrowthRate,OperIncomeGrowthRate,FinancialStatementsTime,TFXRatio,MonthlyNetSalesYoY,RevenueMonth" advise="1">
        <values cols="10">
          <value t="str">
            <val>3086</val>
          </value>
          <value t="str">
            <val>華義</val>
          </value>
          <value t="str">
            <val>16.8</val>
          </value>
          <value t="str">
            <val>1.94</val>
          </value>
          <value t="str">
            <val>-73.78</val>
          </value>
          <value t="str">
            <val>-92.90</val>
          </value>
          <value t="str">
            <val>2022/03</val>
          </value>
          <value t="str">
            <val>-12.09</val>
          </value>
          <value t="str">
            <val>-50.54</val>
          </value>
          <value t="str">
            <val>2022/06</val>
          </value>
        </values>
      </ddeItem>
      <ddeItem name="3086.TW-OperatingProfitRatio,Price,PriceChangeRatio,InOutRatioNumber,Value,YearReturn,MonthReturn,WeekReturn,FinanceBalanceDif,ChipsField2" advise="1">
        <values cols="10">
          <value t="str">
            <val>4.20</val>
          </value>
          <value>
            <val>86.8</val>
          </value>
          <value>
            <val>0.12</val>
          </value>
          <value t="str">
            <val>33.33%</val>
          </value>
          <value t="str">
            <val>103萬</val>
          </value>
          <value t="str">
            <val>-12.32</val>
          </value>
          <value t="str">
            <val>-14.06</val>
          </value>
          <value t="str">
            <val>-3.34</val>
          </value>
          <value>
            <val>-3</val>
          </value>
          <value>
            <val>0</val>
          </value>
        </values>
      </ddeItem>
      <ddeItem name="3088.TW-ChipsField3,ChipsField1,ChipsField25,CashAndStockDividend,CashDividendYieldRate,ProfitFourSeason,ProfitSingle,CName,ExchangeIndustry,CompanyPos" advise="1">
        <values cols="10">
          <value>
            <val>-20</val>
          </value>
          <value>
            <val>-1100</val>
          </value>
          <value t="str">
            <val>2022/08/12</val>
          </value>
          <value t="str">
            <val>3.04</val>
          </value>
          <value>
            <val>5.08</val>
          </value>
          <value t="str">
            <val>5.00</val>
          </value>
          <value t="str">
            <val>0.89</val>
          </value>
          <value t="str">
            <val>艾訊</val>
          </value>
          <value t="str">
            <val>上櫃電腦及週邊設備</val>
          </value>
          <value t="str">
            <val>研華旗下工業電腦廠</val>
          </value>
        </values>
      </ddeItem>
      <ddeItem name="3088.TW-CName,InvestorConferenceDate,DateofMeetingofShareHolders,TradingDate" advise="1">
        <values cols="4">
          <value t="str">
            <val>艾訊</val>
          </value>
          <value t="str">
            <val>2021/11/16</val>
          </value>
          <value t="str">
            <val>2022/05/24</val>
          </value>
          <value t="str">
            <val>2022/08/01</val>
          </value>
        </values>
      </ddeItem>
      <ddeItem name="3088.TW-ID,Name,MarketValue,Capital,NetIncomeGrowthRate,OperIncomeGrowthRate,FinancialStatementsTime,TFXRatio,MonthlyNetSalesYoY,RevenueMonth" advise="1">
        <values cols="10">
          <value t="str">
            <val>3088</val>
          </value>
          <value t="str">
            <val>艾訊</val>
          </value>
          <value t="str">
            <val>54.1</val>
          </value>
          <value t="str">
            <val>9.03</val>
          </value>
          <value t="str">
            <val>29.38</val>
          </value>
          <value t="str">
            <val>81.30</val>
          </value>
          <value t="str">
            <val>2022/06</val>
          </value>
          <value t="str">
            <val>6.66</val>
          </value>
          <value t="str">
            <val>47.11</val>
          </value>
          <value t="str">
            <val>2022/06</val>
          </value>
        </values>
      </ddeItem>
      <ddeItem name="3088.TW-OperatingProfitRatio,Price,PriceChangeRatio,InOutRatioNumber,Value,YearReturn,MonthReturn,WeekReturn,FinanceBalanceDif,ChipsField2" advise="1">
        <values cols="10">
          <value t="str">
            <val>8.30</val>
          </value>
          <value>
            <val>59.9</val>
          </value>
          <value>
            <val>-0.66</val>
          </value>
          <value t="str">
            <val>45.81%</val>
          </value>
          <value t="str">
            <val>5791萬</val>
          </value>
          <value t="str">
            <val>+14.08</val>
          </value>
          <value t="str">
            <val>-0.17</val>
          </value>
          <value t="str">
            <val>-7.70</val>
          </value>
          <value>
            <val>-266</val>
          </value>
          <value>
            <val>-144</val>
          </value>
        </values>
      </ddeItem>
      <ddeItem name="30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0.46</val>
          </value>
          <value t="str">
            <val>-0.11</val>
          </value>
          <value t="str">
            <val>億杰</val>
          </value>
          <value t="str">
            <val>上櫃電子零組件</val>
          </value>
          <value t="str">
            <val>主要從事太陽能發電廠建置及營運</val>
          </value>
        </values>
      </ddeItem>
      <ddeItem name="3089.TW-CName,InvestorConferenceDate,DateofMeetingofShareHolders,TradingDate" advise="1">
        <values cols="4">
          <value t="str">
            <val>億杰</val>
          </value>
          <value t="str">
            <val>--</val>
          </value>
          <value t="str">
            <val>2022/05/20</val>
          </value>
          <value t="str">
            <val>2022/08/01</val>
          </value>
        </values>
      </ddeItem>
      <ddeItem name="3089.TW-ID,Name,MarketValue,Capital,NetIncomeGrowthRate,OperIncomeGrowthRate,FinancialStatementsTime,TFXRatio,MonthlyNetSalesYoY,RevenueMonth" advise="1">
        <values cols="10">
          <value t="str">
            <val>3089</val>
          </value>
          <value t="str">
            <val>億杰</val>
          </value>
          <value t="str">
            <val>22.8</val>
          </value>
          <value t="str">
            <val>6.51</val>
          </value>
          <value t="str">
            <val>-251.34</val>
          </value>
          <value t="str">
            <val>-5275.89</val>
          </value>
          <value t="str">
            <val>2022/03</val>
          </value>
          <value t="str">
            <val>-42.26</val>
          </value>
          <value t="str">
            <val>-51.11</val>
          </value>
          <value t="str">
            <val>2022/06</val>
          </value>
        </values>
      </ddeItem>
      <ddeItem name="3089.TW-OperatingProfitRatio,Price,PriceChangeRatio,InOutRatioNumber,Value,YearReturn,MonthReturn,WeekReturn,FinanceBalanceDif,ChipsField2" advise="1">
        <values cols="10">
          <value t="str">
            <val>-26.53</val>
          </value>
          <value>
            <val>35</val>
          </value>
          <value>
            <val>-5.0199999999999996</val>
          </value>
          <value t="str">
            <val>45.45%</val>
          </value>
          <value t="str">
            <val>77.3萬</val>
          </value>
          <value t="str">
            <val>+63.55</val>
          </value>
          <value t="str">
            <val>+16.09</val>
          </value>
          <value t="str">
            <val>-5.91</val>
          </value>
          <value>
            <val>0</val>
          </value>
          <value>
            <val>0</val>
          </value>
        </values>
      </ddeItem>
      <ddeItem name="3093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-3</val>
          </value>
          <value t="str">
            <val>2022/06/30</val>
          </value>
          <value t="str">
            <val>6.30</val>
          </value>
          <value>
            <val>4.88</val>
          </value>
          <value t="str">
            <val>9.67</val>
          </value>
          <value t="str">
            <val>3.44</val>
          </value>
          <value t="str">
            <val>港建</val>
          </value>
          <value t="str">
            <val>上櫃其他電子</val>
          </value>
          <value t="str">
            <val>PCB、IC封裝及CD-R/DVD製程設備廠</val>
          </value>
        </values>
      </ddeItem>
      <ddeItem name="3093.TW-CName,InvestorConferenceDate,DateofMeetingofShareHolders,TradingDate" advise="1">
        <values cols="4">
          <value t="str">
            <val>港建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3093.TW-ID,Name,MarketValue,Capital,NetIncomeGrowthRate,OperIncomeGrowthRate,FinancialStatementsTime,TFXRatio,MonthlyNetSalesYoY,RevenueMonth" advise="1">
        <values cols="10">
          <value t="str">
            <val>3093</val>
          </value>
          <value t="str">
            <val>港建</val>
          </value>
          <value t="str">
            <val>46.8</val>
          </value>
          <value t="str">
            <val>3.63</val>
          </value>
          <value t="str">
            <val>184.05</val>
          </value>
          <value t="str">
            <val>140.36</val>
          </value>
          <value t="str">
            <val>2022/03</val>
          </value>
          <value t="str">
            <val>19.15</val>
          </value>
          <value t="str">
            <val>98.79</val>
          </value>
          <value t="str">
            <val>2022/06</val>
          </value>
        </values>
      </ddeItem>
      <ddeItem name="3093.TW-OperatingProfitRatio,Price,PriceChangeRatio,InOutRatioNumber,Value,YearReturn,MonthReturn,WeekReturn,FinanceBalanceDif,ChipsField2" advise="1">
        <values cols="10">
          <value t="str">
            <val>26.10</val>
          </value>
          <value>
            <val>129</val>
          </value>
          <value>
            <val>0.78</val>
          </value>
          <value t="str">
            <val>49.50%</val>
          </value>
          <value t="str">
            <val>5459萬</val>
          </value>
          <value t="str">
            <val>+105.91</val>
          </value>
          <value t="str">
            <val>+15.18</val>
          </value>
          <value t="str">
            <val>-0.39</val>
          </value>
          <value>
            <val>11</val>
          </value>
          <value>
            <val>0</val>
          </value>
        </values>
      </ddeItem>
      <ddeItem name="309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-0.35</val>
          </value>
          <value t="str">
            <val>-0.08</val>
          </value>
          <value t="str">
            <val>及成</val>
          </value>
          <value t="str">
            <val>上櫃通信網路</val>
          </value>
          <value t="str">
            <val>台灣鋁合金沖壓零件廠</val>
          </value>
        </values>
      </ddeItem>
      <ddeItem name="3095.TW-CName,InvestorConferenceDate,DateofMeetingofShareHolders,TradingDate" advise="1">
        <values cols="4">
          <value t="str">
            <val>及成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3095.TW-ID,Name,MarketValue,Capital,NetIncomeGrowthRate,OperIncomeGrowthRate,FinancialStatementsTime,TFXRatio,MonthlyNetSalesYoY,RevenueMonth" advise="1">
        <values cols="10">
          <value t="str">
            <val>3095</val>
          </value>
          <value t="str">
            <val>及成</val>
          </value>
          <value t="str">
            <val>3.2</val>
          </value>
          <value t="str">
            <val>10.93</val>
          </value>
          <value t="str">
            <val>-1079.48</val>
          </value>
          <value t="str">
            <val>-1733.00</val>
          </value>
          <value t="str">
            <val>2022/03</val>
          </value>
          <value t="str">
            <val>-6.57</val>
          </value>
          <value t="str">
            <val>-4.29</val>
          </value>
          <value t="str">
            <val>2022/06</val>
          </value>
        </values>
      </ddeItem>
      <ddeItem name="3095.TW-OperatingProfitRatio,Price,PriceChangeRatio,InOutRatioNumber,Value,YearReturn,MonthReturn,WeekReturn,FinanceBalanceDif,ChipsField2" advise="1">
        <values cols="10">
          <value t="str">
            <val>-7.68</val>
          </value>
          <value>
            <val>2.93</val>
          </value>
          <value>
            <val>0.34</val>
          </value>
          <value t="str">
            <val>73.96%</val>
          </value>
          <value t="str">
            <val>29.5萬</val>
          </value>
          <value t="str">
            <val>-16.29</val>
          </value>
          <value t="str">
            <val>+4.27</val>
          </value>
          <value t="str">
            <val>+3.17</val>
          </value>
          <value>
            <val>0</val>
          </value>
          <value>
            <val>0</val>
          </value>
        </values>
      </ddeItem>
      <ddeItem name="3105.TW-ChipsField3,ChipsField1,ChipsField25,CashAndStockDividend,CashDividendYieldRate,ProfitFourSeason,ProfitSingle,CName,ExchangeIndustry,CompanyPos" advise="1">
        <values cols="10">
          <value>
            <val>390</val>
          </value>
          <value>
            <val>-141</val>
          </value>
          <value t="str">
            <val>2022/07/07</val>
          </value>
          <value t="str">
            <val>8.00</val>
          </value>
          <value>
            <val>5.05</val>
          </value>
          <value t="str">
            <val>12.26</val>
          </value>
          <value t="str">
            <val>2.08</val>
          </value>
          <value t="str">
            <val>穩懋</val>
          </value>
          <value t="str">
            <val>上櫃半導體</val>
          </value>
          <value t="str">
            <val>全球最大砷化鎵晶圓代工廠</val>
          </value>
        </values>
      </ddeItem>
      <ddeItem name="3105.TW-CName,InvestorConferenceDate,DateofMeetingofShareHolders,TradingDate" advise="1">
        <values cols="4">
          <value t="str">
            <val>穩懋</val>
          </value>
          <value t="str">
            <val>2022/07/26</val>
          </value>
          <value t="str">
            <val>2022/06/17</val>
          </value>
          <value t="str">
            <val>2022/08/01</val>
          </value>
        </values>
      </ddeItem>
      <ddeItem name="3105.TW-ID,Name,MarketValue,Capital,NetIncomeGrowthRate,OperIncomeGrowthRate,FinancialStatementsTime,TFXRatio,MonthlyNetSalesYoY,RevenueMonth" advise="1">
        <values cols="10">
          <value t="str">
            <val>3105</val>
          </value>
          <value t="str">
            <val>穩懋</val>
          </value>
          <value t="str">
            <val>672.0</val>
          </value>
          <value t="str">
            <val>42.40</val>
          </value>
          <value t="str">
            <val>-28.22</val>
          </value>
          <value t="str">
            <val>-23.36</val>
          </value>
          <value t="str">
            <val>2022/03</val>
          </value>
          <value t="str">
            <val>-12.95</val>
          </value>
          <value t="str">
            <val>-22.65</val>
          </value>
          <value t="str">
            <val>2022/06</val>
          </value>
        </values>
      </ddeItem>
      <ddeItem name="3105.TW-OperatingProfitRatio,Price,PriceChangeRatio,InOutRatioNumber,Value,YearReturn,MonthReturn,WeekReturn,FinanceBalanceDif,ChipsField2" advise="1">
        <values cols="10">
          <value t="str">
            <val>16.37</val>
          </value>
          <value>
            <val>158.5</val>
          </value>
          <value>
            <val>-0.31</val>
          </value>
          <value t="str">
            <val>43.67%</val>
          </value>
          <value t="str">
            <val>4.93億</val>
          </value>
          <value t="str">
            <val>-51.80</val>
          </value>
          <value t="str">
            <val>-10.10</val>
          </value>
          <value t="str">
            <val>-11.70</val>
          </value>
          <value>
            <val>-63</val>
          </value>
          <value>
            <val>-67</val>
          </value>
        </values>
      </ddeItem>
      <ddeItem name="31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2022/08/15</val>
          </value>
          <value t="str">
            <val>1.50</val>
          </value>
          <value>
            <val>5.73</val>
          </value>
          <value t="str">
            <val>2.68</val>
          </value>
          <value t="str">
            <val>0.89</val>
          </value>
          <value t="str">
            <val>好德</val>
          </value>
          <value t="str">
            <val>上櫃電子零組件</val>
          </value>
          <value t="str">
            <val>台灣電子零件通路商</val>
          </value>
        </values>
      </ddeItem>
      <ddeItem name="3114.TW-CName,InvestorConferenceDate,DateofMeetingofShareHolders,TradingDate" advise="1">
        <values cols="4">
          <value t="str">
            <val>好德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3114.TW-ID,Name,MarketValue,Capital,NetIncomeGrowthRate,OperIncomeGrowthRate,FinancialStatementsTime,TFXRatio,MonthlyNetSalesYoY,RevenueMonth" advise="1">
        <values cols="10">
          <value t="str">
            <val>3114</val>
          </value>
          <value t="str">
            <val>好德</val>
          </value>
          <value t="str">
            <val>15.5</val>
          </value>
          <value t="str">
            <val>5.91</val>
          </value>
          <value t="str">
            <val>40.20</val>
          </value>
          <value t="str">
            <val>-32.36</val>
          </value>
          <value t="str">
            <val>2022/03</val>
          </value>
          <value t="str">
            <val>-3.75</val>
          </value>
          <value t="str">
            <val>-9.61</val>
          </value>
          <value t="str">
            <val>2022/06</val>
          </value>
        </values>
      </ddeItem>
      <ddeItem name="3114.TW-OperatingProfitRatio,Price,PriceChangeRatio,InOutRatioNumber,Value,YearReturn,MonthReturn,WeekReturn,FinanceBalanceDif,ChipsField2" advise="1">
        <values cols="10">
          <value t="str">
            <val>3.74</val>
          </value>
          <value>
            <val>26.2</val>
          </value>
          <value>
            <val>0.57999999999999996</val>
          </value>
          <value t="str">
            <val>44.12%</val>
          </value>
          <value t="str">
            <val>178萬</val>
          </value>
          <value t="str">
            <val>-21.89</val>
          </value>
          <value t="str">
            <val>+5.43</val>
          </value>
          <value t="str">
            <val>+0.38</val>
          </value>
          <value>
            <val>-11</val>
          </value>
          <value>
            <val>0</val>
          </value>
        </values>
      </ddeItem>
      <ddeItem name="31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-0.28</val>
          </value>
          <value t="str">
            <val>-0.07</val>
          </value>
          <value t="str">
            <val>富榮綱</val>
          </value>
          <value t="str">
            <val>上櫃電子零組件</val>
          </value>
          <value t="str">
            <val>主要生產PCB上游材料磷銅球</val>
          </value>
        </values>
      </ddeItem>
      <ddeItem name="3115.TW-CName,InvestorConferenceDate,DateofMeetingofShareHolders,TradingDate" advise="1">
        <values cols="4">
          <value t="str">
            <val>富榮綱</val>
          </value>
          <value t="str">
            <val>--</val>
          </value>
          <value t="str">
            <val>2022/04/21</val>
          </value>
          <value t="str">
            <val>2022/08/01</val>
          </value>
        </values>
      </ddeItem>
      <ddeItem name="3115.TW-ID,Name,MarketValue,Capital,NetIncomeGrowthRate,OperIncomeGrowthRate,FinancialStatementsTime,TFXRatio,MonthlyNetSalesYoY,RevenueMonth" advise="1">
        <values cols="10">
          <value t="str">
            <val>3115</val>
          </value>
          <value t="str">
            <val>富榮綱</val>
          </value>
          <value t="str">
            <val>4.6</val>
          </value>
          <value t="str">
            <val>4.37</val>
          </value>
          <value t="str">
            <val>40.64</val>
          </value>
          <value t="str">
            <val>-8.99</val>
          </value>
          <value t="str">
            <val>2022/03</val>
          </value>
          <value t="str">
            <val>--</val>
          </value>
          <value t="str">
            <val>-100.00</val>
          </value>
          <value t="str">
            <val>2022/06</val>
          </value>
        </values>
      </ddeItem>
      <ddeItem name="3115.TW-OperatingProfitRatio,Price,PriceChangeRatio,InOutRatioNumber,Value,YearReturn,MonthReturn,WeekReturn,FinanceBalanceDif,ChipsField2" advise="1">
        <values cols="10">
          <value t="str">
            <val>-8.07</val>
          </value>
          <value>
            <val>10.55</val>
          </value>
          <value>
            <val>0.48</val>
          </value>
          <value t="str">
            <val>4.88%</val>
          </value>
          <value t="str">
            <val>42.9萬</val>
          </value>
          <value t="str">
            <val>-25.18</val>
          </value>
          <value t="str">
            <val>-7.05</val>
          </value>
          <value t="str">
            <val>0.00</val>
          </value>
          <value>
            <val>0</val>
          </value>
          <value>
            <val>0</val>
          </value>
        </values>
      </ddeItem>
      <ddeItem name="31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2022/06/17</val>
          </value>
          <value t="str">
            <val>1.90</val>
          </value>
          <value>
            <val>7.08</val>
          </value>
          <value t="str">
            <val>1.87</val>
          </value>
          <value t="str">
            <val>0.34</val>
          </value>
          <value t="str">
            <val>進階</val>
          </value>
          <value t="str">
            <val>上櫃生技醫療</val>
          </value>
          <value t="str">
            <val>台灣具規模的生醫實驗室儀器耗材通路商</val>
          </value>
        </values>
      </ddeItem>
      <ddeItem name="3118.TW-CName,InvestorConferenceDate,DateofMeetingofShareHolders,TradingDate" advise="1">
        <values cols="4">
          <value t="str">
            <val>進階</val>
          </value>
          <value t="str">
            <val>2021/12/22</val>
          </value>
          <value t="str">
            <val>2022/05/31</val>
          </value>
          <value t="str">
            <val>2022/08/01</val>
          </value>
        </values>
      </ddeItem>
      <ddeItem name="3118.TW-ID,Name,MarketValue,Capital,NetIncomeGrowthRate,OperIncomeGrowthRate,FinancialStatementsTime,TFXRatio,MonthlyNetSalesYoY,RevenueMonth" advise="1">
        <values cols="10">
          <value t="str">
            <val>3118</val>
          </value>
          <value t="str">
            <val>進階</val>
          </value>
          <value t="str">
            <val>8.7</val>
          </value>
          <value t="str">
            <val>3.25</val>
          </value>
          <value t="str">
            <val>-40.31</val>
          </value>
          <value t="str">
            <val>-42.42</val>
          </value>
          <value t="str">
            <val>2022/03</val>
          </value>
          <value t="str">
            <val>13.07</val>
          </value>
          <value t="str">
            <val>-28.26</val>
          </value>
          <value t="str">
            <val>2022/06</val>
          </value>
        </values>
      </ddeItem>
      <ddeItem name="3118.TW-OperatingProfitRatio,Price,PriceChangeRatio,InOutRatioNumber,Value,YearReturn,MonthReturn,WeekReturn,FinanceBalanceDif,ChipsField2" advise="1">
        <values cols="10">
          <value t="str">
            <val>10.25</val>
          </value>
          <value>
            <val>26.85</val>
          </value>
          <value>
            <val>-0.56000000000000005</val>
          </value>
          <value t="str">
            <val>56.25%</val>
          </value>
          <value t="str">
            <val>43.0萬</val>
          </value>
          <value t="str">
            <val>-5.13</val>
          </value>
          <value t="str">
            <val>+0.94</val>
          </value>
          <value t="str">
            <val>-0.92</val>
          </value>
          <value>
            <val>5</val>
          </value>
          <value>
            <val>0</val>
          </value>
        </values>
      </ddeItem>
      <ddeItem name="312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108</val>
          </value>
          <value t="str">
            <val>2022/07/12</val>
          </value>
          <value t="str">
            <val>2.15</val>
          </value>
          <value>
            <val>6.19</val>
          </value>
          <value t="str">
            <val>4.11</val>
          </value>
          <value t="str">
            <val>0.85</val>
          </value>
          <value t="str">
            <val>笙泉</val>
          </value>
          <value t="str">
            <val>上櫃半導體</val>
          </value>
          <value t="str">
            <val>提供有關MCU軟硬體全方位服務的廠商</val>
          </value>
        </values>
      </ddeItem>
      <ddeItem name="3122.TW-CName,InvestorConferenceDate,DateofMeetingofShareHolders,TradingDate" advise="1">
        <values cols="4">
          <value t="str">
            <val>笙泉</val>
          </value>
          <value t="str">
            <val>2021/11/09</val>
          </value>
          <value t="str">
            <val>2022/05/23</val>
          </value>
          <value t="str">
            <val>2022/08/01</val>
          </value>
        </values>
      </ddeItem>
      <ddeItem name="3122.TW-ID,Name,MarketValue,Capital,NetIncomeGrowthRate,OperIncomeGrowthRate,FinancialStatementsTime,TFXRatio,MonthlyNetSalesYoY,RevenueMonth" advise="1">
        <values cols="10">
          <value t="str">
            <val>3122</val>
          </value>
          <value t="str">
            <val>笙泉</val>
          </value>
          <value t="str">
            <val>13.6</val>
          </value>
          <value t="str">
            <val>3.91</val>
          </value>
          <value t="str">
            <val>650.72</val>
          </value>
          <value t="str">
            <val>649.91</val>
          </value>
          <value t="str">
            <val>2022/03</val>
          </value>
          <value t="str">
            <val>-25.28</val>
          </value>
          <value t="str">
            <val>-48.25</val>
          </value>
          <value t="str">
            <val>2022/06</val>
          </value>
        </values>
      </ddeItem>
      <ddeItem name="3122.TW-OperatingProfitRatio,Price,PriceChangeRatio,InOutRatioNumber,Value,YearReturn,MonthReturn,WeekReturn,FinanceBalanceDif,ChipsField2" advise="1">
        <values cols="10">
          <value t="str">
            <val>22.60</val>
          </value>
          <value>
            <val>34.75</val>
          </value>
          <value>
            <val>-0.71</val>
          </value>
          <value t="str">
            <val>38.38%</val>
          </value>
          <value t="str">
            <val>675萬</val>
          </value>
          <value t="str">
            <val>-30.12</val>
          </value>
          <value t="str">
            <val>+6.27</val>
          </value>
          <value t="str">
            <val>-4.27</val>
          </value>
          <value>
            <val>-11</val>
          </value>
          <value>
            <val>0</val>
          </value>
        </values>
      </ddeItem>
      <ddeItem name="31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2022/08/03</val>
          </value>
          <value t="str">
            <val>0.70</val>
          </value>
          <value>
            <val>3.58</val>
          </value>
          <value t="str">
            <val>0.96</val>
          </value>
          <value t="str">
            <val>0.32</val>
          </value>
          <value t="str">
            <val>昇銳</val>
          </value>
          <value t="str">
            <val>上櫃光電</val>
          </value>
          <value t="str">
            <val>為監視系統領域之專業安全監控廠</val>
          </value>
        </values>
      </ddeItem>
      <ddeItem name="3128.TW-CName,InvestorConferenceDate,DateofMeetingofShareHolders,TradingDate" advise="1">
        <values cols="4">
          <value t="str">
            <val>昇銳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3128.TW-ID,Name,MarketValue,Capital,NetIncomeGrowthRate,OperIncomeGrowthRate,FinancialStatementsTime,TFXRatio,MonthlyNetSalesYoY,RevenueMonth" advise="1">
        <values cols="10">
          <value t="str">
            <val>3128</val>
          </value>
          <value t="str">
            <val>昇銳</val>
          </value>
          <value t="str">
            <val>8.2</val>
          </value>
          <value t="str">
            <val>4.20</val>
          </value>
          <value t="str">
            <val>90.63</val>
          </value>
          <value t="str">
            <val>38.43</val>
          </value>
          <value t="str">
            <val>2022/03</val>
          </value>
          <value t="str">
            <val>32.29</val>
          </value>
          <value t="str">
            <val>62.55</val>
          </value>
          <value t="str">
            <val>2022/06</val>
          </value>
        </values>
      </ddeItem>
      <ddeItem name="3128.TW-OperatingProfitRatio,Price,PriceChangeRatio,InOutRatioNumber,Value,YearReturn,MonthReturn,WeekReturn,FinanceBalanceDif,ChipsField2" advise="1">
        <values cols="10">
          <value t="str">
            <val>5.05</val>
          </value>
          <value>
            <val>19.55</val>
          </value>
          <value>
            <val>0.77</val>
          </value>
          <value t="str">
            <val>48.94%</val>
          </value>
          <value t="str">
            <val>188萬</val>
          </value>
          <value t="str">
            <val>+6.94</val>
          </value>
          <value t="str">
            <val>+12.03</val>
          </value>
          <value t="str">
            <val>+0.51</val>
          </value>
          <value>
            <val>-29</val>
          </value>
          <value>
            <val>0</val>
          </value>
        </values>
      </ddeItem>
      <ddeItem name="31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2022/07/28</val>
          </value>
          <value t="str">
            <val>17.00</val>
          </value>
          <value>
            <val>7.42</val>
          </value>
          <value t="str">
            <val>24.53</val>
          </value>
          <value t="str">
            <val>5.90</val>
          </value>
          <value t="str">
            <val>弘塑</val>
          </value>
          <value t="str">
            <val>上櫃其他電子</val>
          </value>
          <value t="str">
            <val>酸槽設備在台市占率第一名</val>
          </value>
        </values>
      </ddeItem>
      <ddeItem name="3131.TW-CName,InvestorConferenceDate,DateofMeetingofShareHolders,TradingDate" advise="1">
        <values cols="4">
          <value t="str">
            <val>弘塑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3131.TW-ID,Name,MarketValue,Capital,NetIncomeGrowthRate,OperIncomeGrowthRate,FinancialStatementsTime,TFXRatio,MonthlyNetSalesYoY,RevenueMonth" advise="1">
        <values cols="10">
          <value t="str">
            <val>3131</val>
          </value>
          <value t="str">
            <val>弘塑</val>
          </value>
          <value t="str">
            <val>66.9</val>
          </value>
          <value t="str">
            <val>2.92</val>
          </value>
          <value t="str">
            <val>23.34</val>
          </value>
          <value t="str">
            <val>-2.69</val>
          </value>
          <value t="str">
            <val>2022/03</val>
          </value>
          <value t="str">
            <val>14.16</val>
          </value>
          <value t="str">
            <val>23.12</val>
          </value>
          <value t="str">
            <val>2022/06</val>
          </value>
        </values>
      </ddeItem>
      <ddeItem name="3131.TW-OperatingProfitRatio,Price,PriceChangeRatio,InOutRatioNumber,Value,YearReturn,MonthReturn,WeekReturn,FinanceBalanceDif,ChipsField2" advise="1">
        <values cols="10">
          <value t="str">
            <val>18.82</val>
          </value>
          <value>
            <val>229</val>
          </value>
          <value>
            <val>-0.43</val>
          </value>
          <value t="str">
            <val>45.59%</val>
          </value>
          <value t="str">
            <val>1555萬</val>
          </value>
          <value t="str">
            <val>-39.38</val>
          </value>
          <value t="str">
            <val>+13.42</val>
          </value>
          <value t="str">
            <val>+2.76</val>
          </value>
          <value>
            <val>0</val>
          </value>
          <value>
            <val>0</val>
          </value>
        </values>
      </ddeItem>
      <ddeItem name="3141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-161</val>
          </value>
          <value t="str">
            <val>2022/07/07</val>
          </value>
          <value t="str">
            <val>4.00</val>
          </value>
          <value>
            <val>3.14</val>
          </value>
          <value t="str">
            <val>13.39</val>
          </value>
          <value t="str">
            <val>3.20</val>
          </value>
          <value t="str">
            <val>晶宏</val>
          </value>
          <value t="str">
            <val>上櫃半導體</val>
          </value>
          <value t="str">
            <val>元太轉投資LCD驅動IC廠，也是全球電子紙驅動IC龍頭</val>
          </value>
        </values>
      </ddeItem>
      <ddeItem name="3141.TW-CName,InvestorConferenceDate,DateofMeetingofShareHolders,TradingDate" advise="1">
        <values cols="4">
          <value t="str">
            <val>晶宏</val>
          </value>
          <value t="str">
            <val>2022/05/05</val>
          </value>
          <value t="str">
            <val>2022/05/12</val>
          </value>
          <value t="str">
            <val>2022/08/01</val>
          </value>
        </values>
      </ddeItem>
      <ddeItem name="3141.TW-ID,Name,MarketValue,Capital,NetIncomeGrowthRate,OperIncomeGrowthRate,FinancialStatementsTime,TFXRatio,MonthlyNetSalesYoY,RevenueMonth" advise="1">
        <values cols="10">
          <value t="str">
            <val>3141</val>
          </value>
          <value t="str">
            <val>晶宏</val>
          </value>
          <value t="str">
            <val>95.4</val>
          </value>
          <value t="str">
            <val>7.48</val>
          </value>
          <value t="str">
            <val>161.50</val>
          </value>
          <value t="str">
            <val>123.69</val>
          </value>
          <value t="str">
            <val>2022/06</val>
          </value>
          <value t="str">
            <val>-1.03</val>
          </value>
          <value t="str">
            <val>32.44</val>
          </value>
          <value t="str">
            <val>2022/06</val>
          </value>
        </values>
      </ddeItem>
      <ddeItem name="3141.TW-OperatingProfitRatio,Price,PriceChangeRatio,InOutRatioNumber,Value,YearReturn,MonthReturn,WeekReturn,FinanceBalanceDif,ChipsField2" advise="1">
        <values cols="10">
          <value t="str">
            <val>31.79</val>
          </value>
          <value>
            <val>127.5</val>
          </value>
          <value>
            <val>2.41</val>
          </value>
          <value t="str">
            <val>59.74%</val>
          </value>
          <value t="str">
            <val>6.65億</val>
          </value>
          <value t="str">
            <val>-17.16</val>
          </value>
          <value t="str">
            <val>+7.21</val>
          </value>
          <value t="str">
            <val>-3.41</val>
          </value>
          <value>
            <val>188</val>
          </value>
          <value>
            <val>0</val>
          </value>
        </values>
      </ddeItem>
      <ddeItem name="31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2022/07/19</val>
          </value>
          <value t="str">
            <val>4.00</val>
          </value>
          <value>
            <val>8.34</val>
          </value>
          <value t="str">
            <val>5.22</val>
          </value>
          <value t="str">
            <val>1.60</val>
          </value>
          <value t="str">
            <val>大綜電腦</val>
          </value>
          <value t="str">
            <val>上櫃資訊服務</val>
          </value>
          <value t="str">
            <val>電腦軟硬體設備代理銷售及系統整合商</val>
          </value>
        </values>
      </ddeItem>
      <ddeItem name="3147.TW-CName,InvestorConferenceDate,DateofMeetingofShareHolders,TradingDate" advise="1">
        <values cols="4">
          <value t="str">
            <val>大綜電腦</val>
          </value>
          <value t="str">
            <val>2021/10/07</val>
          </value>
          <value t="str">
            <val>2022/06/14</val>
          </value>
          <value t="str">
            <val>2022/08/01</val>
          </value>
        </values>
      </ddeItem>
      <ddeItem name="3147.TW-ID,Name,MarketValue,Capital,NetIncomeGrowthRate,OperIncomeGrowthRate,FinancialStatementsTime,TFXRatio,MonthlyNetSalesYoY,RevenueMonth" advise="1">
        <values cols="10">
          <value t="str">
            <val>3147</val>
          </value>
          <value t="str">
            <val>大綜</val>
          </value>
          <value t="str">
            <val>18.7</val>
          </value>
          <value t="str">
            <val>3.90</val>
          </value>
          <value t="str">
            <val>24.50</val>
          </value>
          <value t="str">
            <val>-10.63</val>
          </value>
          <value t="str">
            <val>2022/03</val>
          </value>
          <value t="str">
            <val>10.68</val>
          </value>
          <value t="str">
            <val>4.98</val>
          </value>
          <value t="str">
            <val>2022/06</val>
          </value>
        </values>
      </ddeItem>
      <ddeItem name="3147.TW-OperatingProfitRatio,Price,PriceChangeRatio,InOutRatioNumber,Value,YearReturn,MonthReturn,WeekReturn,FinanceBalanceDif,ChipsField2" advise="1">
        <values cols="10">
          <value t="str">
            <val>7.36</val>
          </value>
          <value>
            <val>47.95</val>
          </value>
          <value>
            <val>9.98</val>
          </value>
          <value t="str">
            <val>79.39%</val>
          </value>
          <value t="str">
            <val>6935萬</val>
          </value>
          <value t="str">
            <val>-8.52</val>
          </value>
          <value t="str">
            <val>+17.52</val>
          </value>
          <value t="str">
            <val>+7.51</val>
          </value>
          <value>
            <val>3</val>
          </value>
          <value>
            <val>0</val>
          </value>
        </values>
      </ddeItem>
      <ddeItem name="3152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17</val>
          </value>
          <value t="str">
            <val>2022/08/09</val>
          </value>
          <value t="str">
            <val>8.00</val>
          </value>
          <value>
            <val>4.29</val>
          </value>
          <value t="str">
            <val>11.93</val>
          </value>
          <value t="str">
            <val>1.16</val>
          </value>
          <value t="str">
            <val>璟德</val>
          </value>
          <value t="str">
            <val>上櫃通信網路</val>
          </value>
          <value t="str">
            <val>台灣最大LTCC廠</val>
          </value>
        </values>
      </ddeItem>
      <ddeItem name="3152.TW-CName,InvestorConferenceDate,DateofMeetingofShareHolders,TradingDate" advise="1">
        <values cols="4">
          <value t="str">
            <val>璟德</val>
          </value>
          <value t="str">
            <val>2021/09/17</val>
          </value>
          <value t="str">
            <val>2022/06/17</val>
          </value>
          <value t="str">
            <val>2022/08/01</val>
          </value>
        </values>
      </ddeItem>
      <ddeItem name="3152.TW-ID,Name,MarketValue,Capital,NetIncomeGrowthRate,OperIncomeGrowthRate,FinancialStatementsTime,TFXRatio,MonthlyNetSalesYoY,RevenueMonth" advise="1">
        <values cols="10">
          <value t="str">
            <val>3152</val>
          </value>
          <value t="str">
            <val>璟德</val>
          </value>
          <value t="str">
            <val>128.7</val>
          </value>
          <value t="str">
            <val>6.90</val>
          </value>
          <value t="str">
            <val>-71.80</val>
          </value>
          <value t="str">
            <val>-77.31</val>
          </value>
          <value t="str">
            <val>2022/03</val>
          </value>
          <value t="str">
            <val>-11.69</val>
          </value>
          <value t="str">
            <val>-59.79</val>
          </value>
          <value t="str">
            <val>2022/06</val>
          </value>
        </values>
      </ddeItem>
      <ddeItem name="3152.TW-OperatingProfitRatio,Price,PriceChangeRatio,InOutRatioNumber,Value,YearReturn,MonthReturn,WeekReturn,FinanceBalanceDif,ChipsField2" advise="1">
        <values cols="10">
          <value t="str">
            <val>20.93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-58.66</val>
          </value>
          <value t="str">
            <val>-1.32</val>
          </value>
          <value t="str">
            <val>-0.27</val>
          </value>
          <value>
            <val>6</val>
          </value>
          <value>
            <val>0</val>
          </value>
        </values>
      </ddeItem>
      <ddeItem name="3162.TW-ChipsField3,ChipsField1,ChipsField25,CashAndStockDividend,CashDividendYieldRate,ProfitFourSeason,ProfitSingle,CName,ExchangeIndustry,CompanyPos" advise="1">
        <values cols="10">
          <value>
            <val>-18</val>
          </value>
          <value>
            <val>16</val>
          </value>
          <value t="str">
            <val>--</val>
          </value>
          <value t="str">
            <val>0.00</val>
          </value>
          <value>
            <val>0</val>
          </value>
          <value t="str">
            <val>0.27</val>
          </value>
          <value t="str">
            <val>-0.31</val>
          </value>
          <value t="str">
            <val>精確</val>
          </value>
          <value t="str">
            <val>上櫃電機機械</val>
          </value>
          <value t="str">
            <val>敏實集團旗下的車用鋁壓鑄零件供應商</val>
          </value>
        </values>
      </ddeItem>
      <ddeItem name="3162.TW-CName,InvestorConferenceDate,DateofMeetingofShareHolders,TradingDate" advise="1">
        <values cols="4">
          <value t="str">
            <val>精確</val>
          </value>
          <value t="str">
            <val>2021/09/22</val>
          </value>
          <value t="str">
            <val>2022/06/29</val>
          </value>
          <value t="str">
            <val>2022/08/01</val>
          </value>
        </values>
      </ddeItem>
      <ddeItem name="3162.TW-ID,Name,MarketValue,Capital,NetIncomeGrowthRate,OperIncomeGrowthRate,FinancialStatementsTime,TFXRatio,MonthlyNetSalesYoY,RevenueMonth" advise="1">
        <values cols="10">
          <value t="str">
            <val>3162</val>
          </value>
          <value t="str">
            <val>精確</val>
          </value>
          <value t="str">
            <val>50.1</val>
          </value>
          <value t="str">
            <val>10.95</val>
          </value>
          <value t="str">
            <val>-242.07</val>
          </value>
          <value t="str">
            <val>-220.06</val>
          </value>
          <value t="str">
            <val>2022/03</val>
          </value>
          <value t="str">
            <val>71.49</val>
          </value>
          <value t="str">
            <val>33.07</val>
          </value>
          <value t="str">
            <val>2022/06</val>
          </value>
        </values>
      </ddeItem>
      <ddeItem name="3162.TW-OperatingProfitRatio,Price,PriceChangeRatio,InOutRatioNumber,Value,YearReturn,MonthReturn,WeekReturn,FinanceBalanceDif,ChipsField2" advise="1">
        <values cols="10">
          <value t="str">
            <val>-8.25</val>
          </value>
          <value>
            <val>45.7</val>
          </value>
          <value>
            <val>-1.72</val>
          </value>
          <value t="str">
            <val>26.67%</val>
          </value>
          <value t="str">
            <val>1863萬</val>
          </value>
          <value t="str">
            <val>-13.45</val>
          </value>
          <value t="str">
            <val>+14.82</val>
          </value>
          <value t="str">
            <val>+2.93</val>
          </value>
          <value>
            <val>36</val>
          </value>
          <value>
            <val>0</val>
          </value>
        </values>
      </ddeItem>
      <ddeItem name="3163.TW-ChipsField3,ChipsField1,ChipsField25,CashAndStockDividend,CashDividendYieldRate,ProfitFourSeason,ProfitSingle,CName,ExchangeIndustry,CompanyPos" advise="1">
        <values cols="10">
          <value>
            <val>-24</val>
          </value>
          <value>
            <val>766</val>
          </value>
          <value t="str">
            <val>2022/06/30</val>
          </value>
          <value t="str">
            <val>1.00</val>
          </value>
          <value>
            <val>1.86</val>
          </value>
          <value t="str">
            <val>1.82</val>
          </value>
          <value t="str">
            <val>0.61</val>
          </value>
          <value t="str">
            <val>波若威</val>
          </value>
          <value t="str">
            <val>上櫃通信網路</val>
          </value>
          <value t="str">
            <val>台灣最大光纖被動元件代工廠</val>
          </value>
        </values>
      </ddeItem>
      <ddeItem name="3163.TW-CName,InvestorConferenceDate,DateofMeetingofShareHolders,TradingDate" advise="1">
        <values cols="4">
          <value t="str">
            <val>波若威</val>
          </value>
          <value t="str">
            <val>2022/03/10</val>
          </value>
          <value t="str">
            <val>2022/05/23</val>
          </value>
          <value t="str">
            <val>2022/08/01</val>
          </value>
        </values>
      </ddeItem>
      <ddeItem name="3163.TW-ID,Name,MarketValue,Capital,NetIncomeGrowthRate,OperIncomeGrowthRate,FinancialStatementsTime,TFXRatio,MonthlyNetSalesYoY,RevenueMonth" advise="1">
        <values cols="10">
          <value t="str">
            <val>3163</val>
          </value>
          <value t="str">
            <val>波若威</val>
          </value>
          <value t="str">
            <val>40.5</val>
          </value>
          <value t="str">
            <val>7.53</val>
          </value>
          <value t="str">
            <val>592.53</val>
          </value>
          <value t="str">
            <val>1065.68</val>
          </value>
          <value t="str">
            <val>2022/03</val>
          </value>
          <value t="str">
            <val>-4.97</val>
          </value>
          <value t="str">
            <val>76.07</val>
          </value>
          <value t="str">
            <val>2022/06</val>
          </value>
        </values>
      </ddeItem>
      <ddeItem name="3163.TW-OperatingProfitRatio,Price,PriceChangeRatio,InOutRatioNumber,Value,YearReturn,MonthReturn,WeekReturn,FinanceBalanceDif,ChipsField2" advise="1">
        <values cols="10">
          <value t="str">
            <val>7.55</val>
          </value>
          <value>
            <val>53.8</val>
          </value>
          <value>
            <val>3.07</val>
          </value>
          <value t="str">
            <val>49.94%</val>
          </value>
          <value t="str">
            <val>6.87億</val>
          </value>
          <value t="str">
            <val>+32.32</val>
          </value>
          <value t="str">
            <val>+32.84</val>
          </value>
          <value t="str">
            <val>+10.70</val>
          </value>
          <value>
            <val>93</val>
          </value>
          <value>
            <val>0</val>
          </value>
        </values>
      </ddeItem>
      <ddeItem name="316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172</val>
          </value>
          <value t="str">
            <val>2022/08/18</val>
          </value>
          <value t="str">
            <val>5.00</val>
          </value>
          <value>
            <val>3.83</val>
          </value>
          <value t="str">
            <val>7.60</val>
          </value>
          <value t="str">
            <val>1.73</val>
          </value>
          <value t="str">
            <val>亞信</val>
          </value>
          <value t="str">
            <val>上櫃半導體</val>
          </value>
          <value t="str">
            <val>台灣乙太網路控制晶片廠</val>
          </value>
        </values>
      </ddeItem>
      <ddeItem name="3169.TW-CName,InvestorConferenceDate,DateofMeetingofShareHolders,TradingDate" advise="1">
        <values cols="4">
          <value t="str">
            <val>亞信</val>
          </value>
          <value t="str">
            <val>2021/11/16</val>
          </value>
          <value t="str">
            <val>2022/05/25</val>
          </value>
          <value t="str">
            <val>2022/08/01</val>
          </value>
        </values>
      </ddeItem>
      <ddeItem name="3169.TW-ID,Name,MarketValue,Capital,NetIncomeGrowthRate,OperIncomeGrowthRate,FinancialStatementsTime,TFXRatio,MonthlyNetSalesYoY,RevenueMonth" advise="1">
        <values cols="10">
          <value t="str">
            <val>3169</val>
          </value>
          <value t="str">
            <val>亞信</val>
          </value>
          <value t="str">
            <val>81.5</val>
          </value>
          <value t="str">
            <val>6.24</val>
          </value>
          <value t="str">
            <val>62.30</val>
          </value>
          <value t="str">
            <val>68.13</val>
          </value>
          <value t="str">
            <val>2022/06</val>
          </value>
          <value t="str">
            <val>-0.40</val>
          </value>
          <value t="str">
            <val>5.44</val>
          </value>
          <value t="str">
            <val>2022/06</val>
          </value>
        </values>
      </ddeItem>
      <ddeItem name="3169.TW-OperatingProfitRatio,Price,PriceChangeRatio,InOutRatioNumber,Value,YearReturn,MonthReturn,WeekReturn,FinanceBalanceDif,ChipsField2" advise="1">
        <values cols="10">
          <value t="str">
            <val>36.31</val>
          </value>
          <value>
            <val>130.5</val>
          </value>
          <value>
            <val>-1.51</val>
          </value>
          <value t="str">
            <val>53.31%</val>
          </value>
          <value t="str">
            <val>8041萬</val>
          </value>
          <value t="str">
            <val>-17.50</val>
          </value>
          <value t="str">
            <val>+12.50</val>
          </value>
          <value t="str">
            <val>-3.69</val>
          </value>
          <value>
            <val>-29</val>
          </value>
          <value>
            <val>0</val>
          </value>
        </values>
      </ddeItem>
      <ddeItem name="31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2022/07/12</val>
          </value>
          <value t="str">
            <val>1.57</val>
          </value>
          <value>
            <val>9.84</val>
          </value>
          <value t="str">
            <val>1.42</val>
          </value>
          <value t="str">
            <val>0.23</val>
          </value>
          <value t="str">
            <val>新洲</val>
          </value>
          <value t="str">
            <val>上櫃貿易百貨</val>
          </value>
          <value t="str">
            <val>炎洲集團旗下的包材企業</val>
          </value>
        </values>
      </ddeItem>
      <ddeItem name="3171.TW-CName,InvestorConferenceDate,DateofMeetingofShareHolders,TradingDate" advise="1">
        <values cols="4">
          <value t="str">
            <val>新洲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3171.TW-ID,Name,MarketValue,Capital,NetIncomeGrowthRate,OperIncomeGrowthRate,FinancialStatementsTime,TFXRatio,MonthlyNetSalesYoY,RevenueMonth" advise="1">
        <values cols="10">
          <value t="str">
            <val>3171</val>
          </value>
          <value t="str">
            <val>新洲</val>
          </value>
          <value t="str">
            <val>10.6</val>
          </value>
          <value t="str">
            <val>6.67</val>
          </value>
          <value t="str">
            <val>-48.74</val>
          </value>
          <value t="str">
            <val>-49.91</val>
          </value>
          <value t="str">
            <val>2022/03</val>
          </value>
          <value t="str">
            <val>-3.76</val>
          </value>
          <value t="str">
            <val>-8.70</val>
          </value>
          <value t="str">
            <val>2022/06</val>
          </value>
        </values>
      </ddeItem>
      <ddeItem name="3171.TW-OperatingProfitRatio,Price,PriceChangeRatio,InOutRatioNumber,Value,YearReturn,MonthReturn,WeekReturn,FinanceBalanceDif,ChipsField2" advise="1">
        <values cols="10">
          <value t="str">
            <val>3.77</val>
          </value>
          <value>
            <val>15.95</val>
          </value>
          <value>
            <val>0.31</val>
          </value>
          <value t="str">
            <val>30.77%</val>
          </value>
          <value t="str">
            <val>20.7萬</val>
          </value>
          <value t="str">
            <val>-23.17</val>
          </value>
          <value t="str">
            <val>-1.25</val>
          </value>
          <value t="str">
            <val>+0.31</val>
          </value>
          <value>
            <val>0</val>
          </value>
          <value>
            <val>0</val>
          </value>
        </values>
      </ddeItem>
      <ddeItem name="31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0.00</val>
          </value>
          <value>
            <val>0</val>
          </value>
          <value t="str">
            <val>-0.51</val>
          </value>
          <value t="str">
            <val>-0.59</val>
          </value>
          <value t="str">
            <val>基亞</val>
          </value>
          <value t="str">
            <val>上櫃生技醫療</val>
          </value>
          <value t="str">
            <val>全球肝癌新藥領導廠，亦為亞洲唯一產銷HLA試劑的公司</val>
          </value>
        </values>
      </ddeItem>
      <ddeItem name="3176.TW-CName,InvestorConferenceDate,DateofMeetingofShareHolders,TradingDate" advise="1">
        <values cols="4">
          <value t="str">
            <val>基亞</val>
          </value>
          <value t="str">
            <val>--</val>
          </value>
          <value t="str">
            <val>2022/06/06</val>
          </value>
          <value t="str">
            <val>2022/08/01</val>
          </value>
        </values>
      </ddeItem>
      <ddeItem name="3176.TW-ID,Name,MarketValue,Capital,NetIncomeGrowthRate,OperIncomeGrowthRate,FinancialStatementsTime,TFXRatio,MonthlyNetSalesYoY,RevenueMonth" advise="1">
        <values cols="10">
          <value t="str">
            <val>3176</val>
          </value>
          <value t="str">
            <val>基亞</val>
          </value>
          <value t="str">
            <val>57.3</val>
          </value>
          <value t="str">
            <val>13.94</val>
          </value>
          <value t="str">
            <val>-22.36</val>
          </value>
          <value t="str">
            <val>32.12</val>
          </value>
          <value t="str">
            <val>2022/03</val>
          </value>
          <value t="str">
            <val>30.48</val>
          </value>
          <value t="str">
            <val>48.86</val>
          </value>
          <value t="str">
            <val>2022/06</val>
          </value>
        </values>
      </ddeItem>
      <ddeItem name="3176.TW-OperatingProfitRatio,Price,PriceChangeRatio,InOutRatioNumber,Value,YearReturn,MonthReturn,WeekReturn,FinanceBalanceDif,ChipsField2" advise="1">
        <values cols="10">
          <value t="str">
            <val>-37.61</val>
          </value>
          <value>
            <val>41.1</val>
          </value>
          <value>
            <val>-0.36</val>
          </value>
          <value t="str">
            <val>37.88%</val>
          </value>
          <value t="str">
            <val>541萬</val>
          </value>
          <value t="str">
            <val>-35.98</val>
          </value>
          <value t="str">
            <val>+2.62</val>
          </value>
          <value t="str">
            <val>-2.49</val>
          </value>
          <value>
            <val>0</val>
          </value>
          <value>
            <val>0</val>
          </value>
        </values>
      </ddeItem>
      <ddeItem name="317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49</val>
          </value>
          <value t="str">
            <val>2022/08/17</val>
          </value>
          <value t="str">
            <val>1.00</val>
          </value>
          <value>
            <val>1.63</val>
          </value>
          <value t="str">
            <val>2.70</val>
          </value>
          <value t="str">
            <val>1.11</val>
          </value>
          <value t="str">
            <val>公準</val>
          </value>
          <value t="str">
            <val>上櫃電機機械</val>
          </value>
          <value t="str">
            <val>台灣供應半導體產業工、模、夾治具之專業設計加工廠商</val>
          </value>
        </values>
      </ddeItem>
      <ddeItem name="3178.TW-CName,InvestorConferenceDate,DateofMeetingofShareHolders,TradingDate" advise="1">
        <values cols="4">
          <value t="str">
            <val>公準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3178.TW-ID,Name,MarketValue,Capital,NetIncomeGrowthRate,OperIncomeGrowthRate,FinancialStatementsTime,TFXRatio,MonthlyNetSalesYoY,RevenueMonth" advise="1">
        <values cols="10">
          <value t="str">
            <val>3178</val>
          </value>
          <value t="str">
            <val>公準</val>
          </value>
          <value t="str">
            <val>27.6</val>
          </value>
          <value t="str">
            <val>4.51</val>
          </value>
          <value t="str">
            <val>162.38</val>
          </value>
          <value t="str">
            <val>186.80</val>
          </value>
          <value t="str">
            <val>2022/03</val>
          </value>
          <value t="str">
            <val>33.59</val>
          </value>
          <value t="str">
            <val>2.52</val>
          </value>
          <value t="str">
            <val>2022/06</val>
          </value>
        </values>
      </ddeItem>
      <ddeItem name="3178.TW-OperatingProfitRatio,Price,PriceChangeRatio,InOutRatioNumber,Value,YearReturn,MonthReturn,WeekReturn,FinanceBalanceDif,ChipsField2" advise="1">
        <values cols="10">
          <value t="str">
            <val>13.66</val>
          </value>
          <value>
            <val>61.3</val>
          </value>
          <value>
            <val>0</val>
          </value>
          <value t="str">
            <val>38.57%</val>
          </value>
          <value t="str">
            <val>429萬</val>
          </value>
          <value t="str">
            <val>-17.80</val>
          </value>
          <value t="str">
            <val>+14.58</val>
          </value>
          <value t="str">
            <val>+1.66</val>
          </value>
          <value>
            <val>-9</val>
          </value>
          <value>
            <val>0</val>
          </value>
        </values>
      </ddeItem>
      <ddeItem name="31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1.00</val>
          </value>
          <value>
            <val>6.99</val>
          </value>
          <value t="str">
            <val>1.19</val>
          </value>
          <value t="str">
            <val>0.03</val>
          </value>
          <value t="str">
            <val>鑫龍騰</val>
          </value>
          <value t="str">
            <val>上櫃建材營造</val>
          </value>
          <value t="str">
            <val>轉型為不動產開發銷售業者</val>
          </value>
        </values>
      </ddeItem>
      <ddeItem name="3188.TW-CName,InvestorConferenceDate,DateofMeetingofShareHolders,TradingDate" advise="1">
        <values cols="4">
          <value t="str">
            <val>鑫龍騰</val>
          </value>
          <value t="str">
            <val>--</val>
          </value>
          <value t="str">
            <val>2022/06/01</val>
          </value>
          <value t="str">
            <val>2022/08/01</val>
          </value>
        </values>
      </ddeItem>
      <ddeItem name="3188.TW-ID,Name,MarketValue,Capital,NetIncomeGrowthRate,OperIncomeGrowthRate,FinancialStatementsTime,TFXRatio,MonthlyNetSalesYoY,RevenueMonth" advise="1">
        <values cols="10">
          <value t="str">
            <val>3188</val>
          </value>
          <value t="str">
            <val>鑫龍騰</val>
          </value>
          <value t="str">
            <val>17.2</val>
          </value>
          <value t="str">
            <val>12.03</val>
          </value>
          <value t="str">
            <val>-94.80</val>
          </value>
          <value t="str">
            <val>-94.66</val>
          </value>
          <value t="str">
            <val>2022/03</val>
          </value>
          <value t="str">
            <val>--</val>
          </value>
          <value t="str">
            <val>-100.00</val>
          </value>
          <value t="str">
            <val>2022/06</val>
          </value>
        </values>
      </ddeItem>
      <ddeItem name="3188.TW-OperatingProfitRatio,Price,PriceChangeRatio,InOutRatioNumber,Value,YearReturn,MonthReturn,WeekReturn,FinanceBalanceDif,ChipsField2" advise="1">
        <values cols="10">
          <value t="str">
            <val>9.70</val>
          </value>
          <value>
            <val>14.3</val>
          </value>
          <value>
            <val>-3.05</val>
          </value>
          <value t="str">
            <val>26.49%</val>
          </value>
          <value t="str">
            <val>265萬</val>
          </value>
          <value t="str">
            <val>+0.40</val>
          </value>
          <value t="str">
            <val>-8.63</val>
          </value>
          <value t="str">
            <val>-2.05</val>
          </value>
          <value>
            <val>-1</val>
          </value>
          <value>
            <val>0</val>
          </value>
        </values>
      </ddeItem>
      <ddeItem name="31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-0.21</val>
          </value>
          <value t="str">
            <val>-0.07</val>
          </value>
          <value t="str">
            <val>和進</val>
          </value>
          <value t="str">
            <val>上櫃電子零組件</val>
          </value>
          <value t="str">
            <val>變壓器線架專業生產商</val>
          </value>
        </values>
      </ddeItem>
      <ddeItem name="3191.TW-CName,InvestorConferenceDate,DateofMeetingofShareHolders,TradingDate" advise="1">
        <values cols="4">
          <value t="str">
            <val>和進</val>
          </value>
          <value t="str">
            <val>--</val>
          </value>
          <value t="str">
            <val>2022/06/20</val>
          </value>
          <value t="str">
            <val>2022/08/01</val>
          </value>
        </values>
      </ddeItem>
      <ddeItem name="3191.TW-ID,Name,MarketValue,Capital,NetIncomeGrowthRate,OperIncomeGrowthRate,FinancialStatementsTime,TFXRatio,MonthlyNetSalesYoY,RevenueMonth" advise="1">
        <values cols="10">
          <value t="str">
            <val>3191</val>
          </value>
          <value t="str">
            <val>和進</val>
          </value>
          <value t="str">
            <val>7.3</val>
          </value>
          <value t="str">
            <val>8.72</val>
          </value>
          <value t="str">
            <val>77.89</val>
          </value>
          <value t="str">
            <val>39.38</val>
          </value>
          <value t="str">
            <val>2022/03</val>
          </value>
          <value t="str">
            <val>5.71</val>
          </value>
          <value t="str">
            <val>-48.26</val>
          </value>
          <value t="str">
            <val>2022/06</val>
          </value>
        </values>
      </ddeItem>
      <ddeItem name="3191.TW-OperatingProfitRatio,Price,PriceChangeRatio,InOutRatioNumber,Value,YearReturn,MonthReturn,WeekReturn,FinanceBalanceDif,ChipsField2" advise="1">
        <values cols="10">
          <value t="str">
            <val>-19.82</val>
          </value>
          <value>
            <val>8.41</val>
          </value>
          <value>
            <val>0.12</val>
          </value>
          <value t="str">
            <val>80.00%</val>
          </value>
          <value t="str">
            <val>29.4萬</val>
          </value>
          <value t="str">
            <val>+5.13</val>
          </value>
          <value t="str">
            <val>-8.49</val>
          </value>
          <value t="str">
            <val>+0.12</val>
          </value>
          <value>
            <val>0</val>
          </value>
          <value>
            <val>0</val>
          </value>
        </values>
      </ddeItem>
      <ddeItem name="32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--</val>
          </value>
          <value t="str">
            <val>0.00</val>
          </value>
          <value>
            <val>0</val>
          </value>
          <value t="str">
            <val>0.00</val>
          </value>
          <value t="str">
            <val>-0.24</val>
          </value>
          <value t="str">
            <val>樺晟</val>
          </value>
          <value t="str">
            <val>上櫃電子零組件</val>
          </value>
          <value t="str">
            <val>台灣極細同軸線龍頭</val>
          </value>
        </values>
      </ddeItem>
      <ddeItem name="3202.TW-CName,InvestorConferenceDate,DateofMeetingofShareHolders,TradingDate" advise="1">
        <values cols="4">
          <value t="str">
            <val>樺晟</val>
          </value>
          <value t="str">
            <val>--</val>
          </value>
          <value t="str">
            <val>2022/05/23</val>
          </value>
          <value t="str">
            <val>2022/08/01</val>
          </value>
        </values>
      </ddeItem>
      <ddeItem name="3202.TW-ID,Name,MarketValue,Capital,NetIncomeGrowthRate,OperIncomeGrowthRate,FinancialStatementsTime,TFXRatio,MonthlyNetSalesYoY,RevenueMonth" advise="1">
        <values cols="10">
          <value t="str">
            <val>3202</val>
          </value>
          <value t="str">
            <val>樺晟</val>
          </value>
          <value t="str">
            <val>16.3</val>
          </value>
          <value t="str">
            <val>11.72</val>
          </value>
          <value t="str">
            <val>-104.85</val>
          </value>
          <value t="str">
            <val>-100.11</val>
          </value>
          <value t="str">
            <val>2022/03</val>
          </value>
          <value t="str">
            <val>-19.06</val>
          </value>
          <value t="str">
            <val>-10.26</val>
          </value>
          <value t="str">
            <val>2022/06</val>
          </value>
        </values>
      </ddeItem>
      <ddeItem name="3202.TW-OperatingProfitRatio,Price,PriceChangeRatio,InOutRatioNumber,Value,YearReturn,MonthReturn,WeekReturn,FinanceBalanceDif,ChipsField2" advise="1">
        <values cols="10">
          <value t="str">
            <val>-0.01</val>
          </value>
          <value>
            <val>13.95</val>
          </value>
          <value>
            <val>0.36</val>
          </value>
          <value t="str">
            <val>64.71%</val>
          </value>
          <value t="str">
            <val>142萬</val>
          </value>
          <value t="str">
            <val>-2.45</val>
          </value>
          <value t="str">
            <val>+2.95</val>
          </value>
          <value t="str">
            <val>-2.45</val>
          </value>
          <value>
            <val>0</val>
          </value>
          <value>
            <val>0</val>
          </value>
        </values>
      </ddeItem>
      <ddeItem name="32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-89</val>
          </value>
          <value t="str">
            <val>--</val>
          </value>
          <value t="str">
            <val>0.00</val>
          </value>
          <value>
            <val>0</val>
          </value>
          <value t="str">
            <val>-2.63</val>
          </value>
          <value t="str">
            <val>-0.65</val>
          </value>
          <value t="str">
            <val>佰研</val>
          </value>
          <value t="str">
            <val>上櫃生技醫療</val>
          </value>
          <value t="str">
            <val>透過克緹直銷有機食品及保健食品</val>
          </value>
        </values>
      </ddeItem>
      <ddeItem name="3205.TW-CName,InvestorConferenceDate,DateofMeetingofShareHolders,TradingDate" advise="1">
        <values cols="4">
          <value t="str">
            <val>佰研</val>
          </value>
          <value t="str">
            <val>2021/12/24</val>
          </value>
          <value t="str">
            <val>2022/06/24</val>
          </value>
          <value t="str">
            <val>2022/08/01</val>
          </value>
        </values>
      </ddeItem>
      <ddeItem name="3205.TW-ID,Name,MarketValue,Capital,NetIncomeGrowthRate,OperIncomeGrowthRate,FinancialStatementsTime,TFXRatio,MonthlyNetSalesYoY,RevenueMonth" advise="1">
        <values cols="10">
          <value t="str">
            <val>3205</val>
          </value>
          <value t="str">
            <val>佰研</val>
          </value>
          <value t="str">
            <val>17.2</val>
          </value>
          <value t="str">
            <val>3.28</val>
          </value>
          <value t="str">
            <val>2.88</val>
          </value>
          <value t="str">
            <val>-0.57</val>
          </value>
          <value t="str">
            <val>2022/03</val>
          </value>
          <value t="str">
            <val>-4.88</val>
          </value>
          <value t="str">
            <val>-16.19</val>
          </value>
          <value t="str">
            <val>2022/06</val>
          </value>
        </values>
      </ddeItem>
      <ddeItem name="3205.TW-OperatingProfitRatio,Price,PriceChangeRatio,InOutRatioNumber,Value,YearReturn,MonthReturn,WeekReturn,FinanceBalanceDif,ChipsField2" advise="1">
        <values cols="10">
          <value t="str">
            <val>-17.39</val>
          </value>
          <value>
            <val>52.5</val>
          </value>
          <value>
            <val>-4.72</val>
          </value>
          <value t="str">
            <val>38.19%</val>
          </value>
          <value t="str">
            <val>1.47億</val>
          </value>
          <value t="str">
            <val>+93.37</val>
          </value>
          <value t="str">
            <val>+43.05</val>
          </value>
          <value t="str">
            <val>+4.17</val>
          </value>
          <value>
            <val>-72</val>
          </value>
          <value>
            <val>0</val>
          </value>
        </values>
      </ddeItem>
      <ddeItem name="32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1.80</val>
          </value>
          <value>
            <val>6.62</val>
          </value>
          <value t="str">
            <val>2.54</val>
          </value>
          <value t="str">
            <val>0.68</val>
          </value>
          <value t="str">
            <val>志豐</val>
          </value>
          <value t="str">
            <val>上櫃電子零組件</val>
          </value>
          <value t="str">
            <val>耳機與蜂鳴器等電聲元件廠</val>
          </value>
        </values>
      </ddeItem>
      <ddeItem name="3206.TW-CName,InvestorConferenceDate,DateofMeetingofShareHolders,TradingDate" advise="1">
        <values cols="4">
          <value t="str">
            <val>志豐</val>
          </value>
          <value t="str">
            <val>--</val>
          </value>
          <value t="str">
            <val>2022/06/06</val>
          </value>
          <value t="str">
            <val>2022/08/01</val>
          </value>
        </values>
      </ddeItem>
      <ddeItem name="3206.TW-ID,Name,MarketValue,Capital,NetIncomeGrowthRate,OperIncomeGrowthRate,FinancialStatementsTime,TFXRatio,MonthlyNetSalesYoY,RevenueMonth" advise="1">
        <values cols="10">
          <value t="str">
            <val>3206</val>
          </value>
          <value t="str">
            <val>志豐</val>
          </value>
          <value t="str">
            <val>16.0</val>
          </value>
          <value t="str">
            <val>5.89</val>
          </value>
          <value t="str">
            <val>31.42</val>
          </value>
          <value t="str">
            <val>66.15</val>
          </value>
          <value t="str">
            <val>2022/03</val>
          </value>
          <value t="str">
            <val>-14.41</val>
          </value>
          <value t="str">
            <val>4.71</val>
          </value>
          <value t="str">
            <val>2022/06</val>
          </value>
        </values>
      </ddeItem>
      <ddeItem name="3206.TW-OperatingProfitRatio,Price,PriceChangeRatio,InOutRatioNumber,Value,YearReturn,MonthReturn,WeekReturn,FinanceBalanceDif,ChipsField2" advise="1">
        <values cols="10">
          <value t="str">
            <val>4.45</val>
          </value>
          <value>
            <val>27.2</val>
          </value>
          <value>
            <val>0.74</val>
          </value>
          <value t="str">
            <val>68.18%</val>
          </value>
          <value t="str">
            <val>59.2萬</val>
          </value>
          <value t="str">
            <val>-14.08</val>
          </value>
          <value t="str">
            <val>+6.25</val>
          </value>
          <value t="str">
            <val>+2.26</val>
          </value>
          <value>
            <val>-1</val>
          </value>
          <value>
            <val>0</val>
          </value>
        </values>
      </ddeItem>
      <ddeItem name="32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-307</val>
          </value>
          <value t="str">
            <val>--</val>
          </value>
          <value t="str">
            <val>0.00</val>
          </value>
          <value>
            <val>0</val>
          </value>
          <value t="str">
            <val>1.05</val>
          </value>
          <value t="str">
            <val>0.32</val>
          </value>
          <value t="str">
            <val>耀勝</val>
          </value>
          <value t="str">
            <val>上櫃電子零組件</val>
          </value>
          <value t="str">
            <val>變壓器及電感線圈製造生產商</val>
          </value>
        </values>
      </ddeItem>
      <ddeItem name="3207.TW-CName,InvestorConferenceDate,DateofMeetingofShareHolders,TradingDate" advise="1">
        <values cols="4">
          <value t="str">
            <val>耀勝</val>
          </value>
          <value t="str">
            <val>--</val>
          </value>
          <value t="str">
            <val>2022/05/24</val>
          </value>
          <value t="str">
            <val>2022/08/01</val>
          </value>
        </values>
      </ddeItem>
      <ddeItem name="3207.TW-ID,Name,MarketValue,Capital,NetIncomeGrowthRate,OperIncomeGrowthRate,FinancialStatementsTime,TFXRatio,MonthlyNetSalesYoY,RevenueMonth" advise="1">
        <values cols="10">
          <value t="str">
            <val>3207</val>
          </value>
          <value t="str">
            <val>耀勝</val>
          </value>
          <value t="str">
            <val>20.4</val>
          </value>
          <value t="str">
            <val>5.38</val>
          </value>
          <value t="str">
            <val>1293.54</val>
          </value>
          <value t="str">
            <val>167.32</val>
          </value>
          <value t="str">
            <val>2022/03</val>
          </value>
          <value t="str">
            <val>-0.45</val>
          </value>
          <value t="str">
            <val>24.56</val>
          </value>
          <value t="str">
            <val>2022/06</val>
          </value>
        </values>
      </ddeItem>
      <ddeItem name="3207.TW-OperatingProfitRatio,Price,PriceChangeRatio,InOutRatioNumber,Value,YearReturn,MonthReturn,WeekReturn,FinanceBalanceDif,ChipsField2" advise="1">
        <values cols="10">
          <value t="str">
            <val>2.09</val>
          </value>
          <value>
            <val>38</val>
          </value>
          <value>
            <val>2.15</val>
          </value>
          <value t="str">
            <val>63.04%</val>
          </value>
          <value t="str">
            <val>6596萬</val>
          </value>
          <value t="str">
            <val>+176.36</val>
          </value>
          <value t="str">
            <val>+33.10</val>
          </value>
          <value t="str">
            <val>+6.29</val>
          </value>
          <value>
            <val>161</val>
          </value>
          <value>
            <val>0</val>
          </value>
        </values>
      </ddeItem>
      <ddeItem name="32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52</val>
          </value>
          <value t="str">
            <val>2022/04/06</val>
          </value>
          <value t="str">
            <val>15.03</val>
          </value>
          <value>
            <val>20.170000000000002</val>
          </value>
          <value t="str">
            <val>22.16</val>
          </value>
          <value t="str">
            <val>2.34</val>
          </value>
          <value t="str">
            <val>順達</val>
          </value>
          <value t="str">
            <val>上櫃電腦及週邊設備</val>
          </value>
          <value t="str">
            <val>全球第四大筆記型電腦電池組裝廠</val>
          </value>
        </values>
      </ddeItem>
      <ddeItem name="3211.TW-CName,InvestorConferenceDate,DateofMeetingofShareHolders,TradingDate" advise="1">
        <values cols="4">
          <value t="str">
            <val>順達</val>
          </value>
          <value t="str">
            <val>2021/11/30</val>
          </value>
          <value t="str">
            <val>2022/06/06</val>
          </value>
          <value t="str">
            <val>2022/08/01</val>
          </value>
        </values>
      </ddeItem>
      <ddeItem name="3211.TW-ID,Name,MarketValue,Capital,NetIncomeGrowthRate,OperIncomeGrowthRate,FinancialStatementsTime,TFXRatio,MonthlyNetSalesYoY,RevenueMonth" advise="1">
        <values cols="10">
          <value t="str">
            <val>3211</val>
          </value>
          <value t="str">
            <val>順達</val>
          </value>
          <value t="str">
            <val>111.5</val>
          </value>
          <value t="str">
            <val>14.97</val>
          </value>
          <value t="str">
            <val>-3.71</val>
          </value>
          <value t="str">
            <val>-33.05</val>
          </value>
          <value t="str">
            <val>2022/06</val>
          </value>
          <value t="str">
            <val>-5.17</val>
          </value>
          <value t="str">
            <val>0.39</val>
          </value>
          <value t="str">
            <val>2022/06</val>
          </value>
        </values>
      </ddeItem>
      <ddeItem name="3211.TW-OperatingProfitRatio,Price,PriceChangeRatio,InOutRatioNumber,Value,YearReturn,MonthReturn,WeekReturn,FinanceBalanceDif,ChipsField2" advise="1">
        <values cols="10">
          <value t="str">
            <val>4.07</val>
          </value>
          <value>
            <val>74.5</val>
          </value>
          <value>
            <val>1.0900000000000001</val>
          </value>
          <value t="str">
            <val>66.47%</val>
          </value>
          <value t="str">
            <val>1240萬</val>
          </value>
          <value t="str">
            <val>-15.34</val>
          </value>
          <value t="str">
            <val>+11.03</val>
          </value>
          <value t="str">
            <val>+3.33</val>
          </value>
          <value>
            <val>-1</val>
          </value>
          <value>
            <val>0</val>
          </value>
        </values>
      </ddeItem>
      <ddeItem name="32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2022/06/27</val>
          </value>
          <value t="str">
            <val>3.70</val>
          </value>
          <value>
            <val>8.6</val>
          </value>
          <value t="str">
            <val>10.38</val>
          </value>
          <value t="str">
            <val>0.23</val>
          </value>
          <value t="str">
            <val>茂訊</val>
          </value>
          <value t="str">
            <val>上櫃電腦及週邊設備</val>
          </value>
          <value t="str">
            <val>全台最大NB通路與強固型NB生產商</val>
          </value>
        </values>
      </ddeItem>
      <ddeItem name="3213.TW-CName,InvestorConferenceDate,DateofMeetingofShareHolders,TradingDate" advise="1">
        <values cols="4">
          <value t="str">
            <val>茂訊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3213.TW-ID,Name,MarketValue,Capital,NetIncomeGrowthRate,OperIncomeGrowthRate,FinancialStatementsTime,TFXRatio,MonthlyNetSalesYoY,RevenueMonth" advise="1">
        <values cols="10">
          <value t="str">
            <val>3213</val>
          </value>
          <value t="str">
            <val>茂訊</val>
          </value>
          <value t="str">
            <val>25.2</val>
          </value>
          <value t="str">
            <val>5.87</val>
          </value>
          <value t="str">
            <val>-62.40</val>
          </value>
          <value t="str">
            <val>-85.62</val>
          </value>
          <value t="str">
            <val>2022/03</val>
          </value>
          <value t="str">
            <val>-3.84</val>
          </value>
          <value t="str">
            <val>-11.41</val>
          </value>
          <value t="str">
            <val>2022/06</val>
          </value>
        </values>
      </ddeItem>
      <ddeItem name="3213.TW-OperatingProfitRatio,Price,PriceChangeRatio,InOutRatioNumber,Value,YearReturn,MonthReturn,WeekReturn,FinanceBalanceDif,ChipsField2" advise="1">
        <values cols="10">
          <value t="str">
            <val>1.93</val>
          </value>
          <value>
            <val>43</val>
          </value>
          <value>
            <val>1.9</val>
          </value>
          <value t="str">
            <val>44.00%</val>
          </value>
          <value t="str">
            <val>107萬</val>
          </value>
          <value t="str">
            <val>-20.05</val>
          </value>
          <value t="str">
            <val>+3.61</val>
          </value>
          <value t="str">
            <val>+0.58</val>
          </value>
          <value>
            <val>0</val>
          </value>
          <value>
            <val>0</val>
          </value>
        </values>
      </ddeItem>
      <ddeItem name="3217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55</val>
          </value>
          <value t="str">
            <val>2022/06/23</val>
          </value>
          <value t="str">
            <val>5.60</val>
          </value>
          <value>
            <val>7.65</val>
          </value>
          <value t="str">
            <val>7.36</val>
          </value>
          <value t="str">
            <val>1.80</val>
          </value>
          <value t="str">
            <val>優群</val>
          </value>
          <value t="str">
            <val>上櫃電子零組件</val>
          </value>
          <value t="str">
            <val>轉型成為自製研發的連接器廠</val>
          </value>
        </values>
      </ddeItem>
      <ddeItem name="3217.TW-CName,InvestorConferenceDate,DateofMeetingofShareHolders,TradingDate" advise="1">
        <values cols="4">
          <value t="str">
            <val>優群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3217.TW-ID,Name,MarketValue,Capital,NetIncomeGrowthRate,OperIncomeGrowthRate,FinancialStatementsTime,TFXRatio,MonthlyNetSalesYoY,RevenueMonth" advise="1">
        <values cols="10">
          <value t="str">
            <val>3217</val>
          </value>
          <value t="str">
            <val>優群</val>
          </value>
          <value t="str">
            <val>66.0</val>
          </value>
          <value t="str">
            <val>9.01</val>
          </value>
          <value t="str">
            <val>16.16</val>
          </value>
          <value t="str">
            <val>0.62</val>
          </value>
          <value t="str">
            <val>2022/03</val>
          </value>
          <value t="str">
            <val>-5.18</val>
          </value>
          <value t="str">
            <val>-5.70</val>
          </value>
          <value t="str">
            <val>2022/06</val>
          </value>
        </values>
      </ddeItem>
      <ddeItem name="3217.TW-OperatingProfitRatio,Price,PriceChangeRatio,InOutRatioNumber,Value,YearReturn,MonthReturn,WeekReturn,FinanceBalanceDif,ChipsField2" advise="1">
        <values cols="10">
          <value t="str">
            <val>22.41</val>
          </value>
          <value>
            <val>73.2</val>
          </value>
          <value>
            <val>-0.68</val>
          </value>
          <value t="str">
            <val>29.29%</val>
          </value>
          <value t="str">
            <val>1041萬</val>
          </value>
          <value t="str">
            <val>-24.60</val>
          </value>
          <value t="str">
            <val>+11.08</val>
          </value>
          <value t="str">
            <val>-2.27</val>
          </value>
          <value>
            <val>-12</val>
          </value>
          <value>
            <val>0</val>
          </value>
        </values>
      </ddeItem>
      <ddeItem name="3218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0</val>
          </value>
          <value t="str">
            <val>2022/04/21</val>
          </value>
          <value t="str">
            <val>5.50</val>
          </value>
          <value>
            <val>1.67</val>
          </value>
          <value t="str">
            <val>8.66</val>
          </value>
          <value t="str">
            <val>2.80</val>
          </value>
          <value t="str">
            <val>大學光</val>
          </value>
          <value t="str">
            <val>上櫃生技醫療</val>
          </value>
          <value t="str">
            <val>台灣最大視力健康連鎖集團</val>
          </value>
        </values>
      </ddeItem>
      <ddeItem name="3218.TW-CName,InvestorConferenceDate,DateofMeetingofShareHolders,TradingDate" advise="1">
        <values cols="4">
          <value t="str">
            <val>大學光</val>
          </value>
          <value t="str">
            <val>2022/05/25</val>
          </value>
          <value t="str">
            <val>2022/06/23</val>
          </value>
          <value t="str">
            <val>2022/08/01</val>
          </value>
        </values>
      </ddeItem>
      <ddeItem name="3218.TW-ID,Name,MarketValue,Capital,NetIncomeGrowthRate,OperIncomeGrowthRate,FinancialStatementsTime,TFXRatio,MonthlyNetSalesYoY,RevenueMonth" advise="1">
        <values cols="10">
          <value t="str">
            <val>3218</val>
          </value>
          <value t="str">
            <val>大學光</val>
          </value>
          <value t="str">
            <val>250.1</val>
          </value>
          <value t="str">
            <val>7.61</val>
          </value>
          <value t="str">
            <val>42.29</val>
          </value>
          <value t="str">
            <val>42.54</val>
          </value>
          <value t="str">
            <val>2022/03</val>
          </value>
          <value t="str">
            <val>14.77</val>
          </value>
          <value t="str">
            <val>53.37</val>
          </value>
          <value t="str">
            <val>2022/06</val>
          </value>
        </values>
      </ddeItem>
      <ddeItem name="3218.TW-OperatingProfitRatio,Price,PriceChangeRatio,InOutRatioNumber,Value,YearReturn,MonthReturn,WeekReturn,FinanceBalanceDif,ChipsField2" advise="1">
        <values cols="10">
          <value t="str">
            <val>32.88</val>
          </value>
          <value>
            <val>328.5</val>
          </value>
          <value>
            <val>0.31</val>
          </value>
          <value t="str">
            <val>63.10%</val>
          </value>
          <value t="str">
            <val>1.19億</val>
          </value>
          <value t="str">
            <val>-6.36</val>
          </value>
          <value t="str">
            <val>+22.12</val>
          </value>
          <value t="str">
            <val>+3.96</val>
          </value>
          <value>
            <val>18</val>
          </value>
          <value>
            <val>50</val>
          </value>
        </values>
      </ddeItem>
      <ddeItem name="321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2022/07/28</val>
          </value>
          <value t="str">
            <val>2.50</val>
          </value>
          <value>
            <val>3.11</val>
          </value>
          <value t="str">
            <val>6.73</val>
          </value>
          <value t="str">
            <val>0.41</val>
          </value>
          <value t="str">
            <val>倚強科</val>
          </value>
          <value t="str">
            <val>上櫃其他電子</val>
          </value>
          <value t="str">
            <val>轉型為自動化設備相關產品開發設計</val>
          </value>
        </values>
      </ddeItem>
      <ddeItem name="3219.TW-CName,InvestorConferenceDate,DateofMeetingofShareHolders,TradingDate" advise="1">
        <values cols="4">
          <value t="str">
            <val>倚強科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3219.TW-ID,Name,MarketValue,Capital,NetIncomeGrowthRate,OperIncomeGrowthRate,FinancialStatementsTime,TFXRatio,MonthlyNetSalesYoY,RevenueMonth" advise="1">
        <values cols="10">
          <value t="str">
            <val>3219</val>
          </value>
          <value t="str">
            <val>倚強科</val>
          </value>
          <value t="str">
            <val>56.5</val>
          </value>
          <value t="str">
            <val>7.03</val>
          </value>
          <value t="str">
            <val>162.60</val>
          </value>
          <value t="str">
            <val>-5279.25</val>
          </value>
          <value t="str">
            <val>2022/03</val>
          </value>
          <value t="str">
            <val>75.36</val>
          </value>
          <value t="str">
            <val>-48.35</val>
          </value>
          <value t="str">
            <val>2022/06</val>
          </value>
        </values>
      </ddeItem>
      <ddeItem name="3219.TW-OperatingProfitRatio,Price,PriceChangeRatio,InOutRatioNumber,Value,YearReturn,MonthReturn,WeekReturn,FinanceBalanceDif,ChipsField2" advise="1">
        <values cols="10">
          <value t="str">
            <val>-12.50</val>
          </value>
          <value>
            <val>80.400000000000006</val>
          </value>
          <value>
            <val>0.25</val>
          </value>
          <value t="str">
            <val>37.50%</val>
          </value>
          <value t="str">
            <val>64.8萬</val>
          </value>
          <value t="str">
            <val>-47.86</val>
          </value>
          <value t="str">
            <val>+12.33</val>
          </value>
          <value t="str">
            <val>-0.72</val>
          </value>
          <value>
            <val>-5</val>
          </value>
          <value>
            <val>0</val>
          </value>
        </values>
      </ddeItem>
      <ddeItem name="3221.TW-ChipsField3,ChipsField1,ChipsField25,CashAndStockDividend,CashDividendYieldRate,ProfitFourSeason,ProfitSingle,CName,ExchangeIndustry,CompanyPos" advise="1">
        <values cols="10">
          <value>
            <val>-87</val>
          </value>
          <value>
            <val>-2811</val>
          </value>
          <value t="str">
            <val>2022/07/11</val>
          </value>
          <value t="str">
            <val>2.10</val>
          </value>
          <value>
            <val>5.5</val>
          </value>
          <value t="str">
            <val>6.10</val>
          </value>
          <value t="str">
            <val>0.82</val>
          </value>
          <value t="str">
            <val>台嘉碩</val>
          </value>
          <value t="str">
            <val>上櫃通信網路</val>
          </value>
          <value t="str">
            <val>台灣最大表面聲波濾波器製造商</val>
          </value>
        </values>
      </ddeItem>
      <ddeItem name="3221.TW-CName,InvestorConferenceDate,DateofMeetingofShareHolders,TradingDate" advise="1">
        <values cols="4">
          <value t="str">
            <val>台嘉碩</val>
          </value>
          <value t="str">
            <val>2022/03/23</val>
          </value>
          <value t="str">
            <val>2022/06/09</val>
          </value>
          <value t="str">
            <val>2022/08/01</val>
          </value>
        </values>
      </ddeItem>
      <ddeItem name="3221.TW-ID,Name,MarketValue,Capital,NetIncomeGrowthRate,OperIncomeGrowthRate,FinancialStatementsTime,TFXRatio,MonthlyNetSalesYoY,RevenueMonth" advise="1">
        <values cols="10">
          <value t="str">
            <val>3221</val>
          </value>
          <value t="str">
            <val>台嘉碩</val>
          </value>
          <value t="str">
            <val>39.2</val>
          </value>
          <value t="str">
            <val>10.29</val>
          </value>
          <value t="str">
            <val>1174.31</val>
          </value>
          <value t="str">
            <val>872.27</val>
          </value>
          <value t="str">
            <val>2022/03</val>
          </value>
          <value t="str">
            <val>-1.39</val>
          </value>
          <value t="str">
            <val>109.70</val>
          </value>
          <value t="str">
            <val>2022/06</val>
          </value>
        </values>
      </ddeItem>
      <ddeItem name="3221.TW-OperatingProfitRatio,Price,PriceChangeRatio,InOutRatioNumber,Value,YearReturn,MonthReturn,WeekReturn,FinanceBalanceDif,ChipsField2" advise="1">
        <values cols="10">
          <value t="str">
            <val>12.95</val>
          </value>
          <value>
            <val>38.15</val>
          </value>
          <value>
            <val>-2.5499999999999998</val>
          </value>
          <value t="str">
            <val>37.69%</val>
          </value>
          <value t="str">
            <val>1.13億</val>
          </value>
          <value t="str">
            <val>+13.08</val>
          </value>
          <value t="str">
            <val>+21.74</val>
          </value>
          <value t="str">
            <val>-2.18</val>
          </value>
          <value>
            <val>544</val>
          </value>
          <value>
            <val>0</val>
          </value>
        </values>
      </ddeItem>
      <ddeItem name="32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</val>
          </value>
          <value t="str">
            <val>--</val>
          </value>
          <value t="str">
            <val>0.00</val>
          </value>
          <value>
            <val>0</val>
          </value>
          <value t="str">
            <val>0.04</val>
          </value>
          <value t="str">
            <val>0.25</val>
          </value>
          <value t="str">
            <val>三顧</val>
          </value>
          <value t="str">
            <val>上櫃電子通路</val>
          </value>
          <value t="str">
            <val>台灣電子材料批發銷售廠商並切入醫療美容產品服務</val>
          </value>
        </values>
      </ddeItem>
      <ddeItem name="3224.TW-CName,InvestorConferenceDate,DateofMeetingofShareHolders,TradingDate" advise="1">
        <values cols="4">
          <value t="str">
            <val>三顧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3224.TW-ID,Name,MarketValue,Capital,NetIncomeGrowthRate,OperIncomeGrowthRate,FinancialStatementsTime,TFXRatio,MonthlyNetSalesYoY,RevenueMonth" advise="1">
        <values cols="10">
          <value t="str">
            <val>3224</val>
          </value>
          <value t="str">
            <val>三顧</val>
          </value>
          <value t="str">
            <val>28.7</val>
          </value>
          <value t="str">
            <val>6.82</val>
          </value>
          <value t="str">
            <val>188.18</val>
          </value>
          <value t="str">
            <val>130.24</val>
          </value>
          <value t="str">
            <val>2022/03</val>
          </value>
          <value t="str">
            <val>25.99</val>
          </value>
          <value t="str">
            <val>39.48</val>
          </value>
          <value t="str">
            <val>2022/06</val>
          </value>
        </values>
      </ddeItem>
      <ddeItem name="3224.TW-OperatingProfitRatio,Price,PriceChangeRatio,InOutRatioNumber,Value,YearReturn,MonthReturn,WeekReturn,FinanceBalanceDif,ChipsField2" advise="1">
        <values cols="10">
          <value t="str">
            <val>0.40</val>
          </value>
          <value>
            <val>42.05</val>
          </value>
          <value>
            <val>0</val>
          </value>
          <value t="str">
            <val>50.00%</val>
          </value>
          <value t="str">
            <val>84.2萬</val>
          </value>
          <value t="str">
            <val>-1.98</val>
          </value>
          <value t="str">
            <val>+1.33</val>
          </value>
          <value t="str">
            <val>-2.21</val>
          </value>
          <value>
            <val>12</val>
          </value>
          <value>
            <val>0</val>
          </value>
        </values>
      </ddeItem>
      <ddeItem name="32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2.50</val>
          </value>
          <value>
            <val>3.97</val>
          </value>
          <value t="str">
            <val>3.75</val>
          </value>
          <value t="str">
            <val>1.56</val>
          </value>
          <value t="str">
            <val>至寶電</val>
          </value>
          <value t="str">
            <val>上櫃電機機械</val>
          </value>
          <value t="str">
            <val>LED車燈模組製造商</val>
          </value>
        </values>
      </ddeItem>
      <ddeItem name="3226.TW-CName,InvestorConferenceDate,DateofMeetingofShareHolders,TradingDate" advise="1">
        <values cols="4">
          <value t="str">
            <val>至寶電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3226.TW-ID,Name,MarketValue,Capital,NetIncomeGrowthRate,OperIncomeGrowthRate,FinancialStatementsTime,TFXRatio,MonthlyNetSalesYoY,RevenueMonth" advise="1">
        <values cols="10">
          <value t="str">
            <val>3226</val>
          </value>
          <value t="str">
            <val>至寶電</val>
          </value>
          <value t="str">
            <val>40.6</val>
          </value>
          <value t="str">
            <val>6.44</val>
          </value>
          <value t="str">
            <val>12.26</val>
          </value>
          <value t="str">
            <val>-28.21</val>
          </value>
          <value t="str">
            <val>2022/03</val>
          </value>
          <value t="str">
            <val>-10.53</val>
          </value>
          <value t="str">
            <val>-16.17</val>
          </value>
          <value t="str">
            <val>2022/06</val>
          </value>
        </values>
      </ddeItem>
      <ddeItem name="3226.TW-OperatingProfitRatio,Price,PriceChangeRatio,InOutRatioNumber,Value,YearReturn,MonthReturn,WeekReturn,FinanceBalanceDif,ChipsField2" advise="1">
        <values cols="10">
          <value t="str">
            <val>12.45</val>
          </value>
          <value>
            <val>63</val>
          </value>
          <value>
            <val>0.32</val>
          </value>
          <value t="str">
            <val>100.00%</val>
          </value>
          <value t="str">
            <val>6.30萬</val>
          </value>
          <value t="str">
            <val>-1.75</val>
          </value>
          <value t="str">
            <val>+3.28</val>
          </value>
          <value t="str">
            <val>+1.12</val>
          </value>
          <value>
            <val>0</val>
          </value>
          <value>
            <val>0</val>
          </value>
        </values>
      </ddeItem>
      <ddeItem name="3227.TW-ChipsField3,ChipsField1,ChipsField25,CashAndStockDividend,CashDividendYieldRate,ProfitFourSeason,ProfitSingle,CName,ExchangeIndustry,CompanyPos" advise="1">
        <values cols="10">
          <value>
            <val>7</val>
          </value>
          <value>
            <val>136</val>
          </value>
          <value t="str">
            <val>2022/07/18</val>
          </value>
          <value t="str">
            <val>9.00</val>
          </value>
          <value>
            <val>9.7100000000000009</val>
          </value>
          <value t="str">
            <val>9.14</val>
          </value>
          <value t="str">
            <val>0.90</val>
          </value>
          <value t="str">
            <val>原相</val>
          </value>
          <value t="str">
            <val>上櫃半導體</val>
          </value>
          <value t="str">
            <val>為CMOS影像感測器及數位影像應用IC領導廠商</val>
          </value>
        </values>
      </ddeItem>
      <ddeItem name="3227.TW-CName,InvestorConferenceDate,DateofMeetingofShareHolders,TradingDate" advise="1">
        <values cols="4">
          <value t="str">
            <val>原相</val>
          </value>
          <value t="str">
            <val>2022/05/12</val>
          </value>
          <value t="str">
            <val>2022/05/27</val>
          </value>
          <value t="str">
            <val>2022/08/01</val>
          </value>
        </values>
      </ddeItem>
      <ddeItem name="3227.TW-ID,Name,MarketValue,Capital,NetIncomeGrowthRate,OperIncomeGrowthRate,FinancialStatementsTime,TFXRatio,MonthlyNetSalesYoY,RevenueMonth" advise="1">
        <values cols="10">
          <value t="str">
            <val>3227</val>
          </value>
          <value t="str">
            <val>原相</val>
          </value>
          <value t="str">
            <val>135.4</val>
          </value>
          <value t="str">
            <val>14.68</val>
          </value>
          <value t="str">
            <val>-72.71</val>
          </value>
          <value t="str">
            <val>-85.55</val>
          </value>
          <value t="str">
            <val>2022/03</val>
          </value>
          <value t="str">
            <val>-12.38</val>
          </value>
          <value t="str">
            <val>-40.08</val>
          </value>
          <value t="str">
            <val>2022/06</val>
          </value>
        </values>
      </ddeItem>
      <ddeItem name="3227.TW-OperatingProfitRatio,Price,PriceChangeRatio,InOutRatioNumber,Value,YearReturn,MonthReturn,WeekReturn,FinanceBalanceDif,ChipsField2" advise="1">
        <values cols="10">
          <value t="str">
            <val>4.78</val>
          </value>
          <value>
            <val>92.7</val>
          </value>
          <value>
            <val>3</val>
          </value>
          <value t="str">
            <val>62.68%</val>
          </value>
          <value t="str">
            <val>7752萬</val>
          </value>
          <value t="str">
            <val>-47.32</val>
          </value>
          <value t="str">
            <val>+12.22</val>
          </value>
          <value t="str">
            <val>+0.32</val>
          </value>
          <value>
            <val>-6</val>
          </value>
          <value>
            <val>0</val>
          </value>
        </values>
      </ddeItem>
      <ddeItem name="3228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53</val>
          </value>
          <value t="str">
            <val>--</val>
          </value>
          <value t="str">
            <val>0.00</val>
          </value>
          <value>
            <val>0</val>
          </value>
          <value t="str">
            <val>1.31</val>
          </value>
          <value t="str">
            <val>0.15</val>
          </value>
          <value t="str">
            <val>金麗科</val>
          </value>
          <value t="str">
            <val>上櫃半導體</val>
          </value>
          <value t="str">
            <val>有線、無線網路之x86相容CPU解決方案廠商</val>
          </value>
        </values>
      </ddeItem>
      <ddeItem name="3228.TW-CName,InvestorConferenceDate,DateofMeetingofShareHolders,TradingDate" advise="1">
        <values cols="4">
          <value t="str">
            <val>金麗科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3228.TW-ID,Name,MarketValue,Capital,NetIncomeGrowthRate,OperIncomeGrowthRate,FinancialStatementsTime,TFXRatio,MonthlyNetSalesYoY,RevenueMonth" advise="1">
        <values cols="10">
          <value t="str">
            <val>3228</val>
          </value>
          <value t="str">
            <val>金麗科</val>
          </value>
          <value t="str">
            <val>229.5</val>
          </value>
          <value t="str">
            <val>6.78</val>
          </value>
          <value t="str">
            <val>-58.65</val>
          </value>
          <value t="str">
            <val>-57.10</val>
          </value>
          <value t="str">
            <val>2022/06</val>
          </value>
          <value t="str">
            <val>73.92</val>
          </value>
          <value t="str">
            <val>-2.24</val>
          </value>
          <value t="str">
            <val>2022/06</val>
          </value>
        </values>
      </ddeItem>
      <ddeItem name="3228.TW-OperatingProfitRatio,Price,PriceChangeRatio,InOutRatioNumber,Value,YearReturn,MonthReturn,WeekReturn,FinanceBalanceDif,ChipsField2" advise="1">
        <values cols="10">
          <value t="str">
            <val>29.56</val>
          </value>
          <value>
            <val>338.5</val>
          </value>
          <value>
            <val>-3.29</val>
          </value>
          <value t="str">
            <val>38.91%</val>
          </value>
          <value t="str">
            <val>5.35億</val>
          </value>
          <value t="str">
            <val>-19.21</val>
          </value>
          <value t="str">
            <val>+12.65</val>
          </value>
          <value t="str">
            <val>+3.99</val>
          </value>
          <value>
            <val>69</val>
          </value>
          <value>
            <val>1</val>
          </value>
        </values>
      </ddeItem>
      <ddeItem name="32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--</val>
          </value>
          <value t="str">
            <val>0.00</val>
          </value>
          <value>
            <val>0</val>
          </value>
          <value t="str">
            <val>-0.89</val>
          </value>
          <value t="str">
            <val>-0.39</val>
          </value>
          <value t="str">
            <val>錦明</val>
          </value>
          <value t="str">
            <val>上櫃光電</val>
          </value>
          <value t="str">
            <val>生產液晶螢幕金屬機構模具廠</val>
          </value>
        </values>
      </ddeItem>
      <ddeItem name="3230.TW-CName,InvestorConferenceDate,DateofMeetingofShareHolders,TradingDate" advise="1">
        <values cols="4">
          <value t="str">
            <val>錦明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3230.TW-ID,Name,MarketValue,Capital,NetIncomeGrowthRate,OperIncomeGrowthRate,FinancialStatementsTime,TFXRatio,MonthlyNetSalesYoY,RevenueMonth" advise="1">
        <values cols="10">
          <value t="str">
            <val>3230</val>
          </value>
          <value t="str">
            <val>錦明</val>
          </value>
          <value t="str">
            <val>12.3</val>
          </value>
          <value t="str">
            <val>7.10</val>
          </value>
          <value t="str">
            <val>-1012.45</val>
          </value>
          <value t="str">
            <val>-1705.13</val>
          </value>
          <value t="str">
            <val>2022/03</val>
          </value>
          <value t="str">
            <val>-3.45</val>
          </value>
          <value t="str">
            <val>-16.46</val>
          </value>
          <value t="str">
            <val>2022/06</val>
          </value>
        </values>
      </ddeItem>
      <ddeItem name="3230.TW-OperatingProfitRatio,Price,PriceChangeRatio,InOutRatioNumber,Value,YearReturn,MonthReturn,WeekReturn,FinanceBalanceDif,ChipsField2" advise="1">
        <values cols="10">
          <value t="str">
            <val>-8.18</val>
          </value>
          <value>
            <val>17.3</val>
          </value>
          <value>
            <val>-1.98</val>
          </value>
          <value t="str">
            <val>10.71%</val>
          </value>
          <value t="str">
            <val>48.6萬</val>
          </value>
          <value t="str">
            <val>+3.59</val>
          </value>
          <value t="str">
            <val>+10.19</val>
          </value>
          <value t="str">
            <val>+0.29</val>
          </value>
          <value>
            <val>-124</val>
          </value>
          <value>
            <val>0</val>
          </value>
        </values>
      </ddeItem>
      <ddeItem name="32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30</val>
          </value>
          <value t="str">
            <val>2022/08/17</val>
          </value>
          <value t="str">
            <val>0.50</val>
          </value>
          <value>
            <val>1.89</val>
          </value>
          <value t="str">
            <val>1.20</val>
          </value>
          <value t="str">
            <val>0.45</val>
          </value>
          <value t="str">
            <val>昱捷</val>
          </value>
          <value t="str">
            <val>上櫃電子通路</val>
          </value>
          <value t="str">
            <val>台灣IC通路商，並佈局NMT射出加工技術</val>
          </value>
        </values>
      </ddeItem>
      <ddeItem name="3232.TW-CName,InvestorConferenceDate,DateofMeetingofShareHolders,TradingDate" advise="1">
        <values cols="4">
          <value t="str">
            <val>昱捷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3232.TW-ID,Name,MarketValue,Capital,NetIncomeGrowthRate,OperIncomeGrowthRate,FinancialStatementsTime,TFXRatio,MonthlyNetSalesYoY,RevenueMonth" advise="1">
        <values cols="10">
          <value t="str">
            <val>3232</val>
          </value>
          <value t="str">
            <val>昱捷</val>
          </value>
          <value t="str">
            <val>9.7</val>
          </value>
          <value t="str">
            <val>3.66</val>
          </value>
          <value t="str">
            <val>399.64</val>
          </value>
          <value t="str">
            <val>216.07</val>
          </value>
          <value t="str">
            <val>2022/03</val>
          </value>
          <value t="str">
            <val>23.07</val>
          </value>
          <value t="str">
            <val>29.41</val>
          </value>
          <value t="str">
            <val>2022/06</val>
          </value>
        </values>
      </ddeItem>
      <ddeItem name="3232.TW-OperatingProfitRatio,Price,PriceChangeRatio,InOutRatioNumber,Value,YearReturn,MonthReturn,WeekReturn,FinanceBalanceDif,ChipsField2" advise="1">
        <values cols="10">
          <value t="str">
            <val>5.18</val>
          </value>
          <value>
            <val>26.5</val>
          </value>
          <value>
            <val>-0.38</val>
          </value>
          <value t="str">
            <val>45.16%</val>
          </value>
          <value t="str">
            <val>250萬</val>
          </value>
          <value t="str">
            <val>+29.26</val>
          </value>
          <value t="str">
            <val>+3.52</val>
          </value>
          <value t="str">
            <val>-2.39</val>
          </value>
          <value>
            <val>-2</val>
          </value>
          <value>
            <val>0</val>
          </value>
        </values>
      </ddeItem>
      <ddeItem name="32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181</val>
          </value>
          <value t="str">
            <val>--</val>
          </value>
          <value t="str">
            <val>0.00</val>
          </value>
          <value>
            <val>0</val>
          </value>
          <value t="str">
            <val>-1.38</val>
          </value>
          <value t="str">
            <val>-0.13</val>
          </value>
          <value t="str">
            <val>光環</val>
          </value>
          <value t="str">
            <val>上櫃通信網路</val>
          </value>
          <value t="str">
            <val>光收發模組上游晶粒及封裝廠</val>
          </value>
        </values>
      </ddeItem>
      <ddeItem name="3234.TW-CName,InvestorConferenceDate,DateofMeetingofShareHolders,TradingDate" advise="1">
        <values cols="4">
          <value t="str">
            <val>光環</val>
          </value>
          <value t="str">
            <val>2021/03/19</val>
          </value>
          <value t="str">
            <val>2022/05/26</val>
          </value>
          <value t="str">
            <val>2022/08/01</val>
          </value>
        </values>
      </ddeItem>
      <ddeItem name="3234.TW-ID,Name,MarketValue,Capital,NetIncomeGrowthRate,OperIncomeGrowthRate,FinancialStatementsTime,TFXRatio,MonthlyNetSalesYoY,RevenueMonth" advise="1">
        <values cols="10">
          <value t="str">
            <val>3234</val>
          </value>
          <value t="str">
            <val>光環</val>
          </value>
          <value t="str">
            <val>19.5</val>
          </value>
          <value t="str">
            <val>7.65</val>
          </value>
          <value t="str">
            <val>65.61</val>
          </value>
          <value t="str">
            <val>70.96</val>
          </value>
          <value t="str">
            <val>2022/03</val>
          </value>
          <value t="str">
            <val>-19.95</val>
          </value>
          <value t="str">
            <val>-24.91</val>
          </value>
          <value t="str">
            <val>2022/06</val>
          </value>
        </values>
      </ddeItem>
      <ddeItem name="3234.TW-OperatingProfitRatio,Price,PriceChangeRatio,InOutRatioNumber,Value,YearReturn,MonthReturn,WeekReturn,FinanceBalanceDif,ChipsField2" advise="1">
        <values cols="10">
          <value t="str">
            <val>-3.45</val>
          </value>
          <value>
            <val>25.5</val>
          </value>
          <value>
            <val>-0.97</val>
          </value>
          <value t="str">
            <val>41.49%</val>
          </value>
          <value t="str">
            <val>1462萬</val>
          </value>
          <value t="str">
            <val>-17.34</val>
          </value>
          <value t="str">
            <val>+20.28</val>
          </value>
          <value t="str">
            <val>-6.76</val>
          </value>
          <value>
            <val>-6</val>
          </value>
          <value>
            <val>0</val>
          </value>
        </values>
      </ddeItem>
      <ddeItem name="323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-27</val>
          </value>
          <value t="str">
            <val>--</val>
          </value>
          <value t="str">
            <val>0.60</val>
          </value>
          <value>
            <val>2.76</val>
          </value>
          <value t="str">
            <val>1.15</val>
          </value>
          <value t="str">
            <val>0.32</val>
          </value>
          <value t="str">
            <val>千如</val>
          </value>
          <value t="str">
            <val>上櫃電子零組件</val>
          </value>
          <value t="str">
            <val>台灣SMD晶片電感廠</val>
          </value>
        </values>
      </ddeItem>
      <ddeItem name="3236.TW-CName,InvestorConferenceDate,DateofMeetingofShareHolders,TradingDate" advise="1">
        <values cols="4">
          <value t="str">
            <val>千如</val>
          </value>
          <value t="str">
            <val>2021/04/08</val>
          </value>
          <value t="str">
            <val>2022/06/09</val>
          </value>
          <value t="str">
            <val>2022/08/01</val>
          </value>
        </values>
      </ddeItem>
      <ddeItem name="3236.TW-ID,Name,MarketValue,Capital,NetIncomeGrowthRate,OperIncomeGrowthRate,FinancialStatementsTime,TFXRatio,MonthlyNetSalesYoY,RevenueMonth" advise="1">
        <values cols="10">
          <value t="str">
            <val>3236</val>
          </value>
          <value t="str">
            <val>千如</val>
          </value>
          <value t="str">
            <val>20.2</val>
          </value>
          <value t="str">
            <val>9.29</val>
          </value>
          <value t="str">
            <val>69.80</val>
          </value>
          <value t="str">
            <val>-29.60</val>
          </value>
          <value t="str">
            <val>2022/03</val>
          </value>
          <value t="str">
            <val>41.13</val>
          </value>
          <value t="str">
            <val>40.73</val>
          </value>
          <value t="str">
            <val>2022/06</val>
          </value>
        </values>
      </ddeItem>
      <ddeItem name="3236.TW-OperatingProfitRatio,Price,PriceChangeRatio,InOutRatioNumber,Value,YearReturn,MonthReturn,WeekReturn,FinanceBalanceDif,ChipsField2" advise="1">
        <values cols="10">
          <value t="str">
            <val>3.53</val>
          </value>
          <value>
            <val>21.7</val>
          </value>
          <value>
            <val>-3.13</val>
          </value>
          <value t="str">
            <val>22.38%</val>
          </value>
          <value t="str">
            <val>617萬</val>
          </value>
          <value t="str">
            <val>-27.00</val>
          </value>
          <value t="str">
            <val>+17.30</val>
          </value>
          <value t="str">
            <val>+4.08</val>
          </value>
          <value>
            <val>34</val>
          </value>
          <value>
            <val>0</val>
          </value>
        </values>
      </ddeItem>
      <ddeItem name="325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-58</val>
          </value>
          <value t="str">
            <val>2022/08/05</val>
          </value>
          <value t="str">
            <val>0.50</val>
          </value>
          <value>
            <val>2.16</val>
          </value>
          <value t="str">
            <val>0.78</val>
          </value>
          <value t="str">
            <val>0.22</val>
          </value>
          <value t="str">
            <val>海灣</val>
          </value>
          <value t="str">
            <val>上櫃觀光</val>
          </value>
          <value t="str">
            <val>知名海邊渡假飯店</val>
          </value>
        </values>
      </ddeItem>
      <ddeItem name="3252.TW-CName,InvestorConferenceDate,DateofMeetingofShareHolders,TradingDate" advise="1">
        <values cols="4">
          <value t="str">
            <val>海灣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3252.TW-ID,Name,MarketValue,Capital,NetIncomeGrowthRate,OperIncomeGrowthRate,FinancialStatementsTime,TFXRatio,MonthlyNetSalesYoY,RevenueMonth" advise="1">
        <values cols="10">
          <value t="str">
            <val>3252</val>
          </value>
          <value t="str">
            <val>海灣</val>
          </value>
          <value t="str">
            <val>11.6</val>
          </value>
          <value t="str">
            <val>5.02</val>
          </value>
          <value t="str">
            <val>21.07</val>
          </value>
          <value t="str">
            <val>1437.27</val>
          </value>
          <value t="str">
            <val>2022/03</val>
          </value>
          <value t="str">
            <val>-2.57</val>
          </value>
          <value t="str">
            <val>72.25</val>
          </value>
          <value t="str">
            <val>2022/06</val>
          </value>
        </values>
      </ddeItem>
      <ddeItem name="3252.TW-OperatingProfitRatio,Price,PriceChangeRatio,InOutRatioNumber,Value,YearReturn,MonthReturn,WeekReturn,FinanceBalanceDif,ChipsField2" advise="1">
        <values cols="10">
          <value t="str">
            <val>10.81</val>
          </value>
          <value>
            <val>23.1</val>
          </value>
          <value>
            <val>-1.7</val>
          </value>
          <value t="str">
            <val>39.39%</val>
          </value>
          <value t="str">
            <val>871萬</val>
          </value>
          <value t="str">
            <val>+34.30</val>
          </value>
          <value t="str">
            <val>+2.21</val>
          </value>
          <value t="str">
            <val>+5.72</val>
          </value>
          <value>
            <val>-8</val>
          </value>
          <value>
            <val>0</val>
          </value>
        </values>
      </ddeItem>
      <ddeItem name="325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-0.25</val>
          </value>
          <value t="str">
            <val>-0.35</val>
          </value>
          <value t="str">
            <val>鑫創</val>
          </value>
          <value t="str">
            <val>上櫃半導體</val>
          </value>
          <value t="str">
            <val>轉型為MEMS麥克風IC設計廠</val>
          </value>
        </values>
      </ddeItem>
      <ddeItem name="3259.TW-CName,InvestorConferenceDate,DateofMeetingofShareHolders,TradingDate" advise="1">
        <values cols="4">
          <value t="str">
            <val>鑫創</val>
          </value>
          <value t="str">
            <val>2022/03/14</val>
          </value>
          <value t="str">
            <val>2022/06/21</val>
          </value>
          <value t="str">
            <val>2022/08/01</val>
          </value>
        </values>
      </ddeItem>
      <ddeItem name="3259.TW-ID,Name,MarketValue,Capital,NetIncomeGrowthRate,OperIncomeGrowthRate,FinancialStatementsTime,TFXRatio,MonthlyNetSalesYoY,RevenueMonth" advise="1">
        <values cols="10">
          <value t="str">
            <val>3259</val>
          </value>
          <value t="str">
            <val>鑫創</val>
          </value>
          <value t="str">
            <val>14.2</val>
          </value>
          <value t="str">
            <val>7.47</val>
          </value>
          <value t="str">
            <val>-219.86</val>
          </value>
          <value t="str">
            <val>-306.36</val>
          </value>
          <value t="str">
            <val>2022/03</val>
          </value>
          <value t="str">
            <val>15.99</val>
          </value>
          <value t="str">
            <val>-45.26</val>
          </value>
          <value t="str">
            <val>2022/06</val>
          </value>
        </values>
      </ddeItem>
      <ddeItem name="3259.TW-OperatingProfitRatio,Price,PriceChangeRatio,InOutRatioNumber,Value,YearReturn,MonthReturn,WeekReturn,FinanceBalanceDif,ChipsField2" advise="1">
        <values cols="10">
          <value t="str">
            <val>-24.38</val>
          </value>
          <value>
            <val>19</val>
          </value>
          <value>
            <val>0</val>
          </value>
          <value t="str">
            <val>87.18%</val>
          </value>
          <value t="str">
            <val>74.0萬</val>
          </value>
          <value t="str">
            <val>-54.98</val>
          </value>
          <value t="str">
            <val>0.00</val>
          </value>
          <value t="str">
            <val>-0.26</val>
          </value>
          <value>
            <val>0</val>
          </value>
          <value>
            <val>0</val>
          </value>
        </values>
      </ddeItem>
      <ddeItem name="3260.TW-ChipsField3,ChipsField1,ChipsField25,CashAndStockDividend,CashDividendYieldRate,ProfitFourSeason,ProfitSingle,CName,ExchangeIndustry,CompanyPos" advise="1">
        <values cols="10">
          <value>
            <val>-48</val>
          </value>
          <value>
            <val>380</val>
          </value>
          <value t="str">
            <val>2022/07/21</val>
          </value>
          <value t="str">
            <val>5.43</val>
          </value>
          <value>
            <val>9.3800000000000008</val>
          </value>
          <value t="str">
            <val>8.14</val>
          </value>
          <value t="str">
            <val>1.82</val>
          </value>
          <value t="str">
            <val>威剛</val>
          </value>
          <value t="str">
            <val>上櫃半導體</val>
          </value>
          <value t="str">
            <val>全球第二大記憶體模組廠</val>
          </value>
        </values>
      </ddeItem>
      <ddeItem name="3260.TW-CName,InvestorConferenceDate,DateofMeetingofShareHolders,TradingDate" advise="1">
        <values cols="4">
          <value t="str">
            <val>威剛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3260.TW-ID,Name,MarketValue,Capital,NetIncomeGrowthRate,OperIncomeGrowthRate,FinancialStatementsTime,TFXRatio,MonthlyNetSalesYoY,RevenueMonth" advise="1">
        <values cols="10">
          <value t="str">
            <val>3260</val>
          </value>
          <value t="str">
            <val>威剛</val>
          </value>
          <value t="str">
            <val>154.5</val>
          </value>
          <value t="str">
            <val>26.68</val>
          </value>
          <value t="str">
            <val>-30.05</val>
          </value>
          <value t="str">
            <val>-27.13</val>
          </value>
          <value t="str">
            <val>2022/03</val>
          </value>
          <value t="str">
            <val>6.90</val>
          </value>
          <value t="str">
            <val>-11.41</val>
          </value>
          <value t="str">
            <val>2022/06</val>
          </value>
        </values>
      </ddeItem>
      <ddeItem name="3260.TW-OperatingProfitRatio,Price,PriceChangeRatio,InOutRatioNumber,Value,YearReturn,MonthReturn,WeekReturn,FinanceBalanceDif,ChipsField2" advise="1">
        <values cols="10">
          <value t="str">
            <val>5.36</val>
          </value>
          <value>
            <val>57.9</val>
          </value>
          <value>
            <val>-0.86</val>
          </value>
          <value t="str">
            <val>51.26%</val>
          </value>
          <value t="str">
            <val>6037萬</val>
          </value>
          <value t="str">
            <val>-40.23</val>
          </value>
          <value t="str">
            <val>+11.59</val>
          </value>
          <value t="str">
            <val>-1.70</val>
          </value>
          <value>
            <val>-26</val>
          </value>
          <value>
            <val>0</val>
          </value>
        </values>
      </ddeItem>
      <ddeItem name="3264.TW-ChipsField3,ChipsField1,ChipsField25,CashAndStockDividend,CashDividendYieldRate,ProfitFourSeason,ProfitSingle,CName,ExchangeIndustry,CompanyPos" advise="1">
        <values cols="10">
          <value>
            <val>43</val>
          </value>
          <value>
            <val>-315</val>
          </value>
          <value t="str">
            <val>2022/06/16</val>
          </value>
          <value t="str">
            <val>2.80</val>
          </value>
          <value>
            <val>6.8</val>
          </value>
          <value t="str">
            <val>6.34</val>
          </value>
          <value t="str">
            <val>1.88</val>
          </value>
          <value t="str">
            <val>欣銓</val>
          </value>
          <value t="str">
            <val>上櫃半導體</val>
          </value>
          <value t="str">
            <val>主攻晶圓測試，台灣前三大IC測試廠之一</val>
          </value>
        </values>
      </ddeItem>
      <ddeItem name="3264.TW-CName,InvestorConferenceDate,DateofMeetingofShareHolders,TradingDate" advise="1">
        <values cols="4">
          <value t="str">
            <val>欣銓</val>
          </value>
          <value t="str">
            <val>2022/07/29</val>
          </value>
          <value t="str">
            <val>2022/05/26</val>
          </value>
          <value t="str">
            <val>2022/08/01</val>
          </value>
        </values>
      </ddeItem>
      <ddeItem name="3264.TW-ID,Name,MarketValue,Capital,NetIncomeGrowthRate,OperIncomeGrowthRate,FinancialStatementsTime,TFXRatio,MonthlyNetSalesYoY,RevenueMonth" advise="1">
        <values cols="10">
          <value t="str">
            <val>3264</val>
          </value>
          <value t="str">
            <val>欣銓</val>
          </value>
          <value t="str">
            <val>202.0</val>
          </value>
          <value t="str">
            <val>49.02</val>
          </value>
          <value t="str">
            <val>37.28</val>
          </value>
          <value t="str">
            <val>41.35</val>
          </value>
          <value t="str">
            <val>2022/06</val>
          </value>
          <value t="str">
            <val>5.30</val>
          </value>
          <value t="str">
            <val>28.37</val>
          </value>
          <value t="str">
            <val>2022/06</val>
          </value>
        </values>
      </ddeItem>
      <ddeItem name="3264.TW-OperatingProfitRatio,Price,PriceChangeRatio,InOutRatioNumber,Value,YearReturn,MonthReturn,WeekReturn,FinanceBalanceDif,ChipsField2" advise="1">
        <values cols="10">
          <value t="str">
            <val>27.95</val>
          </value>
          <value>
            <val>41.2</val>
          </value>
          <value>
            <val>0.12</val>
          </value>
          <value t="str">
            <val>36.95%</val>
          </value>
          <value t="str">
            <val>1.90億</val>
          </value>
          <value t="str">
            <val>-23.89</val>
          </value>
          <value t="str">
            <val>+19.25</val>
          </value>
          <value t="str">
            <val>+3.91</val>
          </value>
          <value>
            <val>26</val>
          </value>
          <value>
            <val>7</val>
          </value>
        </values>
      </ddeItem>
      <ddeItem name="3265.TW-ChipsField3,ChipsField1,ChipsField25,CashAndStockDividend,CashDividendYieldRate,ProfitFourSeason,ProfitSingle,CName,ExchangeIndustry,CompanyPos" advise="1">
        <values cols="10">
          <value>
            <val>34</val>
          </value>
          <value>
            <val>298</val>
          </value>
          <value t="str">
            <val>2022/07/12</val>
          </value>
          <value t="str">
            <val>2.30</val>
          </value>
          <value>
            <val>4.84</val>
          </value>
          <value t="str">
            <val>4.19</val>
          </value>
          <value t="str">
            <val>1.67</val>
          </value>
          <value t="str">
            <val>台星科</val>
          </value>
          <value t="str">
            <val>上櫃半導體</val>
          </value>
          <value t="str">
            <val>淡馬錫控股之IC封測廠</val>
          </value>
        </values>
      </ddeItem>
      <ddeItem name="3265.TW-CName,InvestorConferenceDate,DateofMeetingofShareHolders,TradingDate" advise="1">
        <values cols="4">
          <value t="str">
            <val>台星科</val>
          </value>
          <value t="str">
            <val>2021/11/17</val>
          </value>
          <value t="str">
            <val>2022/06/08</val>
          </value>
          <value t="str">
            <val>2022/08/01</val>
          </value>
        </values>
      </ddeItem>
      <ddeItem name="3265.TW-ID,Name,MarketValue,Capital,NetIncomeGrowthRate,OperIncomeGrowthRate,FinancialStatementsTime,TFXRatio,MonthlyNetSalesYoY,RevenueMonth" advise="1">
        <values cols="10">
          <value t="str">
            <val>3265</val>
          </value>
          <value t="str">
            <val>台星科</val>
          </value>
          <value t="str">
            <val>64.7</val>
          </value>
          <value t="str">
            <val>13.63</val>
          </value>
          <value t="str">
            <val>347.24</val>
          </value>
          <value t="str">
            <val>320.44</val>
          </value>
          <value t="str">
            <val>2022/03</val>
          </value>
          <value t="str">
            <val>8.23</val>
          </value>
          <value t="str">
            <val>64.87</val>
          </value>
          <value t="str">
            <val>2022/06</val>
          </value>
        </values>
      </ddeItem>
      <ddeItem name="3265.TW-OperatingProfitRatio,Price,PriceChangeRatio,InOutRatioNumber,Value,YearReturn,MonthReturn,WeekReturn,FinanceBalanceDif,ChipsField2" advise="1">
        <values cols="10">
          <value t="str">
            <val>25.99</val>
          </value>
          <value>
            <val>47.5</val>
          </value>
          <value>
            <val>-0.21</val>
          </value>
          <value t="str">
            <val>46.46%</val>
          </value>
          <value t="str">
            <val>1.22億</val>
          </value>
          <value t="str">
            <val>+71.59</val>
          </value>
          <value t="str">
            <val>+11.15</val>
          </value>
          <value t="str">
            <val>+2.81</val>
          </value>
          <value>
            <val>88</val>
          </value>
          <value>
            <val>0</val>
          </value>
        </values>
      </ddeItem>
      <ddeItem name="32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2022/08/11</val>
          </value>
          <value t="str">
            <val>0.60</val>
          </value>
          <value>
            <val>2.93</val>
          </value>
          <value t="str">
            <val>1.05</val>
          </value>
          <value t="str">
            <val>0.48</val>
          </value>
          <value t="str">
            <val>海德威</val>
          </value>
          <value t="str">
            <val>上櫃半導體</val>
          </value>
          <value t="str">
            <val>台灣消費性IC韌體設計廠</val>
          </value>
        </values>
      </ddeItem>
      <ddeItem name="3268.TW-CName,InvestorConferenceDate,DateofMeetingofShareHolders,TradingDate" advise="1">
        <values cols="4">
          <value t="str">
            <val>海德威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3268.TW-ID,Name,MarketValue,Capital,NetIncomeGrowthRate,OperIncomeGrowthRate,FinancialStatementsTime,TFXRatio,MonthlyNetSalesYoY,RevenueMonth" advise="1">
        <values cols="10">
          <value t="str">
            <val>3268</val>
          </value>
          <value t="str">
            <val>海德威</val>
          </value>
          <value t="str">
            <val>6.9</val>
          </value>
          <value t="str">
            <val>3.34</val>
          </value>
          <value t="str">
            <val>26.97</val>
          </value>
          <value t="str">
            <val>-44.35</val>
          </value>
          <value t="str">
            <val>2022/03</val>
          </value>
          <value t="str">
            <val>-21.50</val>
          </value>
          <value t="str">
            <val>3.57</val>
          </value>
          <value t="str">
            <val>2022/06</val>
          </value>
        </values>
      </ddeItem>
      <ddeItem name="3268.TW-OperatingProfitRatio,Price,PriceChangeRatio,InOutRatioNumber,Value,YearReturn,MonthReturn,WeekReturn,FinanceBalanceDif,ChipsField2" advise="1">
        <values cols="10">
          <value t="str">
            <val>1.19</val>
          </value>
          <value>
            <val>20.5</val>
          </value>
          <value>
            <val>1.23</val>
          </value>
          <value t="str">
            <val>23.53%</val>
          </value>
          <value t="str">
            <val>36.5萬</val>
          </value>
          <value t="str">
            <val>-43.25</val>
          </value>
          <value t="str">
            <val>+2.24</val>
          </value>
          <value t="str">
            <val>-1.20</val>
          </value>
          <value>
            <val>3</val>
          </value>
          <value>
            <val>0</val>
          </value>
        </values>
      </ddeItem>
      <ddeItem name="32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2022/09/16</val>
          </value>
          <value t="str">
            <val>1.00</val>
          </value>
          <value>
            <val>3.34</val>
          </value>
          <value t="str">
            <val>-1.20</val>
          </value>
          <value t="str">
            <val>-1.57</val>
          </value>
          <value t="str">
            <val>東碩</val>
          </value>
          <value t="str">
            <val>上櫃電腦及週邊設備</val>
          </value>
          <value t="str">
            <val>全球PC/行動裝置擴充基座龍頭廠</val>
          </value>
        </values>
      </ddeItem>
      <ddeItem name="3272.TW-CName,InvestorConferenceDate,DateofMeetingofShareHolders,TradingDate" advise="1">
        <values cols="4">
          <value t="str">
            <val>東碩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3272.TW-ID,Name,MarketValue,Capital,NetIncomeGrowthRate,OperIncomeGrowthRate,FinancialStatementsTime,TFXRatio,MonthlyNetSalesYoY,RevenueMonth" advise="1">
        <values cols="10">
          <value t="str">
            <val>3272</val>
          </value>
          <value t="str">
            <val>東碩</val>
          </value>
          <value t="str">
            <val>16.3</val>
          </value>
          <value t="str">
            <val>5.46</val>
          </value>
          <value t="str">
            <val>-834.29</val>
          </value>
          <value t="str">
            <val>-443.49</val>
          </value>
          <value t="str">
            <val>2022/03</val>
          </value>
          <value t="str">
            <val>25.81</val>
          </value>
          <value t="str">
            <val>29.33</val>
          </value>
          <value t="str">
            <val>2022/06</val>
          </value>
        </values>
      </ddeItem>
      <ddeItem name="3272.TW-OperatingProfitRatio,Price,PriceChangeRatio,InOutRatioNumber,Value,YearReturn,MonthReturn,WeekReturn,FinanceBalanceDif,ChipsField2" advise="1">
        <values cols="10">
          <value t="str">
            <val>-6.11</val>
          </value>
          <value>
            <val>29.9</val>
          </value>
          <value>
            <val>1.18</val>
          </value>
          <value t="str">
            <val>60.71%</val>
          </value>
          <value t="str">
            <val>169萬</val>
          </value>
          <value t="str">
            <val>-27.40</val>
          </value>
          <value t="str">
            <val>+24.32</val>
          </value>
          <value t="str">
            <val>+1.01</val>
          </value>
          <value>
            <val>-4</val>
          </value>
          <value>
            <val>0</val>
          </value>
        </values>
      </ddeItem>
      <ddeItem name="32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2022/06/21</val>
          </value>
          <value t="str">
            <val>0.40</val>
          </value>
          <value>
            <val>2.68</val>
          </value>
          <value t="str">
            <val>1.49</val>
          </value>
          <value t="str">
            <val>0.42</val>
          </value>
          <value t="str">
            <val>宇環</val>
          </value>
          <value t="str">
            <val>上櫃電子零組件</val>
          </value>
          <value t="str">
            <val>志超轉投資印刷電路板公司</val>
          </value>
        </values>
      </ddeItem>
      <ddeItem name="3276.TW-CName,InvestorConferenceDate,DateofMeetingofShareHolders,TradingDate" advise="1">
        <values cols="4">
          <value t="str">
            <val>宇環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3276.TW-ID,Name,MarketValue,Capital,NetIncomeGrowthRate,OperIncomeGrowthRate,FinancialStatementsTime,TFXRatio,MonthlyNetSalesYoY,RevenueMonth" advise="1">
        <values cols="10">
          <value t="str">
            <val>3276</val>
          </value>
          <value t="str">
            <val>宇環</val>
          </value>
          <value t="str">
            <val>10.4</val>
          </value>
          <value t="str">
            <val>6.97</val>
          </value>
          <value t="str">
            <val>1233.17</val>
          </value>
          <value t="str">
            <val>263.21</val>
          </value>
          <value t="str">
            <val>2022/03</val>
          </value>
          <value t="str">
            <val>-28.81</val>
          </value>
          <value t="str">
            <val>-8.98</val>
          </value>
          <value t="str">
            <val>2022/06</val>
          </value>
        </values>
      </ddeItem>
      <ddeItem name="3276.TW-OperatingProfitRatio,Price,PriceChangeRatio,InOutRatioNumber,Value,YearReturn,MonthReturn,WeekReturn,FinanceBalanceDif,ChipsField2" advise="1">
        <values cols="10">
          <value t="str">
            <val>5.43</val>
          </value>
          <value>
            <val>14.95</val>
          </value>
          <value>
            <val>0.34</val>
          </value>
          <value t="str">
            <val>68.93%</val>
          </value>
          <value t="str">
            <val>157萬</val>
          </value>
          <value t="str">
            <val>+9.07</val>
          </value>
          <value t="str">
            <val>-5.97</val>
          </value>
          <value t="str">
            <val>-0.99</val>
          </value>
          <value>
            <val>-10</val>
          </value>
          <value>
            <val>0</val>
          </value>
        </values>
      </ddeItem>
      <ddeItem name="32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-0.97</val>
          </value>
          <value t="str">
            <val>-0.15</val>
          </value>
          <value t="str">
            <val>太普高</val>
          </value>
          <value t="str">
            <val>上櫃其他</val>
          </value>
          <value t="str">
            <val>台灣最大預塗式感光平版(PS版)廠</val>
          </value>
        </values>
      </ddeItem>
      <ddeItem name="3284.TW-CName,InvestorConferenceDate,DateofMeetingofShareHolders,TradingDate" advise="1">
        <values cols="4">
          <value t="str">
            <val>太普高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3284.TW-ID,Name,MarketValue,Capital,NetIncomeGrowthRate,OperIncomeGrowthRate,FinancialStatementsTime,TFXRatio,MonthlyNetSalesYoY,RevenueMonth" advise="1">
        <values cols="10">
          <value t="str">
            <val>3284</val>
          </value>
          <value t="str">
            <val>太普高</val>
          </value>
          <value t="str">
            <val>9.3</val>
          </value>
          <value t="str">
            <val>6.90</val>
          </value>
          <value t="str">
            <val>-145.17</val>
          </value>
          <value t="str">
            <val>-71.97</val>
          </value>
          <value t="str">
            <val>2022/03</val>
          </value>
          <value t="str">
            <val>78.25</val>
          </value>
          <value t="str">
            <val>152.58</val>
          </value>
          <value t="str">
            <val>2022/06</val>
          </value>
        </values>
      </ddeItem>
      <ddeItem name="3284.TW-OperatingProfitRatio,Price,PriceChangeRatio,InOutRatioNumber,Value,YearReturn,MonthReturn,WeekReturn,FinanceBalanceDif,ChipsField2" advise="1">
        <values cols="10">
          <value t="str">
            <val>-11.13</val>
          </value>
          <value>
            <val>13.45</val>
          </value>
          <value>
            <val>-0.74</val>
          </value>
          <value t="str">
            <val>60.00%</val>
          </value>
          <value t="str">
            <val>40.5萬</val>
          </value>
          <value t="str">
            <val>+7.17</val>
          </value>
          <value t="str">
            <val>+8.03</val>
          </value>
          <value t="str">
            <val>+1.13</val>
          </value>
          <value>
            <val>9</val>
          </value>
          <value>
            <val>0</val>
          </value>
        </values>
      </ddeItem>
      <ddeItem name="32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-0.14</val>
          </value>
          <value t="str">
            <val>-0.21</val>
          </value>
          <value t="str">
            <val>微端</val>
          </value>
          <value t="str">
            <val>上櫃其他電子</val>
          </value>
          <value t="str">
            <val>數位影音產品與LCD模組製造商</val>
          </value>
        </values>
      </ddeItem>
      <ddeItem name="3285.TW-CName,InvestorConferenceDate,DateofMeetingofShareHolders,TradingDate" advise="1">
        <values cols="4">
          <value t="str">
            <val>微端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3285.TW-ID,Name,MarketValue,Capital,NetIncomeGrowthRate,OperIncomeGrowthRate,FinancialStatementsTime,TFXRatio,MonthlyNetSalesYoY,RevenueMonth" advise="1">
        <values cols="10">
          <value t="str">
            <val>3285</val>
          </value>
          <value t="str">
            <val>微端</val>
          </value>
          <value t="str">
            <val>8.3</val>
          </value>
          <value t="str">
            <val>4.27</val>
          </value>
          <value t="str">
            <val>-22.21</val>
          </value>
          <value t="str">
            <val>-303.68</val>
          </value>
          <value t="str">
            <val>2022/03</val>
          </value>
          <value t="str">
            <val>-11.60</val>
          </value>
          <value t="str">
            <val>-38.85</val>
          </value>
          <value t="str">
            <val>2022/06</val>
          </value>
        </values>
      </ddeItem>
      <ddeItem name="3285.TW-OperatingProfitRatio,Price,PriceChangeRatio,InOutRatioNumber,Value,YearReturn,MonthReturn,WeekReturn,FinanceBalanceDif,ChipsField2" advise="1">
        <values cols="10">
          <value t="str">
            <val>-8.84</val>
          </value>
          <value>
            <val>19.399999999999999</val>
          </value>
          <value>
            <val>0</val>
          </value>
          <value t="str">
            <val>25.00%</val>
          </value>
          <value t="str">
            <val>61.6萬</val>
          </value>
          <value t="str">
            <val>-14.22</val>
          </value>
          <value t="str">
            <val>-0.26</val>
          </value>
          <value t="str">
            <val>-0.77</val>
          </value>
          <value>
            <val>0</val>
          </value>
          <value>
            <val>0</val>
          </value>
        </values>
      </ddeItem>
      <ddeItem name="32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--</val>
          </value>
          <value t="str">
            <val>0.00</val>
          </value>
          <value>
            <val>0</val>
          </value>
          <value t="str">
            <val>0.89</val>
          </value>
          <value t="str">
            <val>0.06</val>
          </value>
          <value t="str">
            <val>廣寰科</val>
          </value>
          <value t="str">
            <val>上櫃電腦及週邊設備</val>
          </value>
          <value t="str">
            <val>「GAMDIAS」電競周邊產品品牌商</val>
          </value>
        </values>
      </ddeItem>
      <ddeItem name="3287.TW-CName,InvestorConferenceDate,DateofMeetingofShareHolders,TradingDate" advise="1">
        <values cols="4">
          <value t="str">
            <val>廣寰科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3287.TW-ID,Name,MarketValue,Capital,NetIncomeGrowthRate,OperIncomeGrowthRate,FinancialStatementsTime,TFXRatio,MonthlyNetSalesYoY,RevenueMonth" advise="1">
        <values cols="10">
          <value t="str">
            <val>3287</val>
          </value>
          <value t="str">
            <val>廣寰科</val>
          </value>
          <value t="str">
            <val>5.9</val>
          </value>
          <value t="str">
            <val>4.40</val>
          </value>
          <value t="str">
            <val>-87.26</val>
          </value>
          <value t="str">
            <val>-71.81</val>
          </value>
          <value t="str">
            <val>2022/03</val>
          </value>
          <value t="str">
            <val>22.41</val>
          </value>
          <value t="str">
            <val>-56.04</val>
          </value>
          <value t="str">
            <val>2022/06</val>
          </value>
        </values>
      </ddeItem>
      <ddeItem name="3287.TW-OperatingProfitRatio,Price,PriceChangeRatio,InOutRatioNumber,Value,YearReturn,MonthReturn,WeekReturn,FinanceBalanceDif,ChipsField2" advise="1">
        <values cols="10">
          <value t="str">
            <val>6.33</val>
          </value>
          <value>
            <val>13.35</val>
          </value>
          <value>
            <val>0.38</val>
          </value>
          <value t="str">
            <val>44.35%</val>
          </value>
          <value t="str">
            <val>171萬</val>
          </value>
          <value t="str">
            <val>-27.45</val>
          </value>
          <value t="str">
            <val>+10.79</val>
          </value>
          <value t="str">
            <val>+5.53</val>
          </value>
          <value>
            <val>-22</val>
          </value>
          <value>
            <val>0</val>
          </value>
        </values>
      </ddeItem>
      <ddeItem name="32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-1.38</val>
          </value>
          <value t="str">
            <val>0.02</val>
          </value>
          <value t="str">
            <val>點晶</val>
          </value>
          <value t="str">
            <val>上櫃電子零組件</val>
          </value>
          <value t="str">
            <val>LED、馬達驅動應用的類比IC設計廠商</val>
          </value>
        </values>
      </ddeItem>
      <ddeItem name="3288.TW-CName,InvestorConferenceDate,DateofMeetingofShareHolders,TradingDate" advise="1">
        <values cols="4">
          <value t="str">
            <val>點晶</val>
          </value>
          <value t="str">
            <val>--</val>
          </value>
          <value t="str">
            <val>2022/06/06</val>
          </value>
          <value t="str">
            <val>2022/08/01</val>
          </value>
        </values>
      </ddeItem>
      <ddeItem name="3288.TW-ID,Name,MarketValue,Capital,NetIncomeGrowthRate,OperIncomeGrowthRate,FinancialStatementsTime,TFXRatio,MonthlyNetSalesYoY,RevenueMonth" advise="1">
        <values cols="10">
          <value t="str">
            <val>3288</val>
          </value>
          <value t="str">
            <val>點晶</val>
          </value>
          <value t="str">
            <val>3.2</val>
          </value>
          <value t="str">
            <val>2.27</val>
          </value>
          <value t="str">
            <val>116.83</val>
          </value>
          <value t="str">
            <val>198.59</val>
          </value>
          <value t="str">
            <val>2022/03</val>
          </value>
          <value t="str">
            <val>-30.94</val>
          </value>
          <value t="str">
            <val>22.74</val>
          </value>
          <value t="str">
            <val>2022/06</val>
          </value>
        </values>
      </ddeItem>
      <ddeItem name="3288.TW-OperatingProfitRatio,Price,PriceChangeRatio,InOutRatioNumber,Value,YearReturn,MonthReturn,WeekReturn,FinanceBalanceDif,ChipsField2" advise="1">
        <values cols="10">
          <value t="str">
            <val>3.16</val>
          </value>
          <value>
            <val>14.15</val>
          </value>
          <value>
            <val>0</val>
          </value>
          <value t="str">
            <val>50.00%</val>
          </value>
          <value t="str">
            <val>2.87萬</val>
          </value>
          <value t="str">
            <val>-23.10</val>
          </value>
          <value t="str">
            <val>-6.29</val>
          </value>
          <value t="str">
            <val>-7.52</val>
          </value>
          <value>
            <val>0</val>
          </value>
          <value>
            <val>0</val>
          </value>
        </values>
      </ddeItem>
      <ddeItem name="32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112</val>
          </value>
          <value t="str">
            <val>2022/01/25</val>
          </value>
          <value t="str">
            <val>0.44</val>
          </value>
          <value>
            <val>5.79</val>
          </value>
          <value t="str">
            <val>2.35</val>
          </value>
          <value t="str">
            <val>1.03</val>
          </value>
          <value t="str">
            <val>宜特</val>
          </value>
          <value t="str">
            <val>上櫃其他電子</val>
          </value>
          <value t="str">
            <val>台灣IC設計驗証服務市場龍頭</val>
          </value>
        </values>
      </ddeItem>
      <ddeItem name="3289.TW-CName,InvestorConferenceDate,DateofMeetingofShareHolders,TradingDate" advise="1">
        <values cols="4">
          <value t="str">
            <val>宜特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3289.TW-ID,Name,MarketValue,Capital,NetIncomeGrowthRate,OperIncomeGrowthRate,FinancialStatementsTime,TFXRatio,MonthlyNetSalesYoY,RevenueMonth" advise="1">
        <values cols="10">
          <value t="str">
            <val>3289</val>
          </value>
          <value t="str">
            <val>宜特</val>
          </value>
          <value t="str">
            <val>40.5</val>
          </value>
          <value t="str">
            <val>7.48</val>
          </value>
          <value t="str">
            <val>112.40</val>
          </value>
          <value t="str">
            <val>37.29</val>
          </value>
          <value t="str">
            <val>2022/03</val>
          </value>
          <value t="str">
            <val>2.67</val>
          </value>
          <value t="str">
            <val>32.56</val>
          </value>
          <value t="str">
            <val>2022/06</val>
          </value>
        </values>
      </ddeItem>
      <ddeItem name="3289.TW-OperatingProfitRatio,Price,PriceChangeRatio,InOutRatioNumber,Value,YearReturn,MonthReturn,WeekReturn,FinanceBalanceDif,ChipsField2" advise="1">
        <values cols="10">
          <value t="str">
            <val>9.69</val>
          </value>
          <value>
            <val>54.1</val>
          </value>
          <value>
            <val>-0.37</val>
          </value>
          <value t="str">
            <val>48.64%</val>
          </value>
          <value t="str">
            <val>1238萬</val>
          </value>
          <value t="str">
            <val>+11.42</val>
          </value>
          <value t="str">
            <val>+14.98</val>
          </value>
          <value t="str">
            <val>+0.19</val>
          </value>
          <value>
            <val>-3</val>
          </value>
          <value>
            <val>0</val>
          </value>
        </values>
      </ddeItem>
      <ddeItem name="32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0.50</val>
          </value>
          <value>
            <val>2.2999999999999998</val>
          </value>
          <value t="str">
            <val>0.36</val>
          </value>
          <value t="str">
            <val>-0.38</val>
          </value>
          <value t="str">
            <val>東浦</val>
          </value>
          <value t="str">
            <val>上櫃電子零組件</val>
          </value>
          <value t="str">
            <val>塑膠精密元件模具廠及光學透明鏡片等專業代工</val>
          </value>
        </values>
      </ddeItem>
      <ddeItem name="3290.TW-CName,InvestorConferenceDate,DateofMeetingofShareHolders,TradingDate" advise="1">
        <values cols="4">
          <value t="str">
            <val>東浦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3290.TW-ID,Name,MarketValue,Capital,NetIncomeGrowthRate,OperIncomeGrowthRate,FinancialStatementsTime,TFXRatio,MonthlyNetSalesYoY,RevenueMonth" advise="1">
        <values cols="10">
          <value t="str">
            <val>3290</val>
          </value>
          <value t="str">
            <val>東浦</val>
          </value>
          <value t="str">
            <val>21.6</val>
          </value>
          <value t="str">
            <val>9.95</val>
          </value>
          <value t="str">
            <val>-1569.40</val>
          </value>
          <value t="str">
            <val>-542.36</val>
          </value>
          <value t="str">
            <val>2022/03</val>
          </value>
          <value t="str">
            <val>13.09</val>
          </value>
          <value t="str">
            <val>34.13</val>
          </value>
          <value t="str">
            <val>2022/06</val>
          </value>
        </values>
      </ddeItem>
      <ddeItem name="3290.TW-OperatingProfitRatio,Price,PriceChangeRatio,InOutRatioNumber,Value,YearReturn,MonthReturn,WeekReturn,FinanceBalanceDif,ChipsField2" advise="1">
        <values cols="10">
          <value t="str">
            <val>-13.22</val>
          </value>
          <value>
            <val>21.7</val>
          </value>
          <value>
            <val>0.46</val>
          </value>
          <value t="str">
            <val>56.65%</val>
          </value>
          <value t="str">
            <val>401萬</val>
          </value>
          <value t="str">
            <val>+69.58</val>
          </value>
          <value t="str">
            <val>+8.77</val>
          </value>
          <value t="str">
            <val>+10.43</val>
          </value>
          <value>
            <val>46</val>
          </value>
          <value>
            <val>0</val>
          </value>
        </values>
      </ddeItem>
      <ddeItem name="3293.TW-ChipsField3,ChipsField1,ChipsField25,CashAndStockDividend,CashDividendYieldRate,ProfitFourSeason,ProfitSingle,CName,ExchangeIndustry,CompanyPos" advise="1">
        <values cols="10">
          <value>
            <val>-52</val>
          </value>
          <value>
            <val>-240</val>
          </value>
          <value t="str">
            <val>2022/07/27</val>
          </value>
          <value t="str">
            <val>60.00</val>
          </value>
          <value>
            <val>17.32</val>
          </value>
          <value t="str">
            <val>69.22</val>
          </value>
          <value t="str">
            <val>18.74</val>
          </value>
          <value t="str">
            <val>鈊象</val>
          </value>
          <value t="str">
            <val>上櫃文化創意</val>
          </value>
          <value t="str">
            <val>台灣最大商用遊戲機開發商</val>
          </value>
        </values>
      </ddeItem>
      <ddeItem name="3293.TW-CName,InvestorConferenceDate,DateofMeetingofShareHolders,TradingDate" advise="1">
        <values cols="4">
          <value t="str">
            <val>鈊象</val>
          </value>
          <value t="str">
            <val>2022/03/25</val>
          </value>
          <value t="str">
            <val>2022/06/27</val>
          </value>
          <value t="str">
            <val>2022/08/01</val>
          </value>
        </values>
      </ddeItem>
      <ddeItem name="3293.TW-ID,Name,MarketValue,Capital,NetIncomeGrowthRate,OperIncomeGrowthRate,FinancialStatementsTime,TFXRatio,MonthlyNetSalesYoY,RevenueMonth" advise="1">
        <values cols="10">
          <value t="str">
            <val>3293</val>
          </value>
          <value t="str">
            <val>鈊象</val>
          </value>
          <value t="str">
            <val>488.2</val>
          </value>
          <value t="str">
            <val>14.09</val>
          </value>
          <value t="str">
            <val>12.00</val>
          </value>
          <value t="str">
            <val>0.37</val>
          </value>
          <value t="str">
            <val>2022/03</val>
          </value>
          <value t="str">
            <val>-10.62</val>
          </value>
          <value t="str">
            <val>-6.87</val>
          </value>
          <value t="str">
            <val>2022/06</val>
          </value>
        </values>
      </ddeItem>
      <ddeItem name="3293.TW-OperatingProfitRatio,Price,PriceChangeRatio,InOutRatioNumber,Value,YearReturn,MonthReturn,WeekReturn,FinanceBalanceDif,ChipsField2" advise="1">
        <values cols="10">
          <value t="str">
            <val>49.27</val>
          </value>
          <value>
            <val>346.5</val>
          </value>
          <value>
            <val>-2.12</val>
          </value>
          <value t="str">
            <val>34.62%</val>
          </value>
          <value t="str">
            <val>2.88億</val>
          </value>
          <value t="str">
            <val>-9.55</val>
          </value>
          <value t="str">
            <val>+0.73</val>
          </value>
          <value t="str">
            <val>-6.17</val>
          </value>
          <value>
            <val>48</val>
          </value>
          <value>
            <val>8</val>
          </value>
        </values>
      </ddeItem>
      <ddeItem name="3294.TW-ChipsField3,ChipsField1,ChipsField25,CashAndStockDividend,CashDividendYieldRate,ProfitFourSeason,ProfitSingle,CName,ExchangeIndustry,CompanyPos" advise="1">
        <values cols="10">
          <value>
            <val>-76</val>
          </value>
          <value>
            <val>116</val>
          </value>
          <value t="str">
            <val>2022/06/29</val>
          </value>
          <value t="str">
            <val>0.25</val>
          </value>
          <value>
            <val>1.24</val>
          </value>
          <value t="str">
            <val>-0.30</val>
          </value>
          <value t="str">
            <val>-0.32</val>
          </value>
          <value t="str">
            <val>英濟</val>
          </value>
          <value t="str">
            <val>上櫃電子零組件</val>
          </value>
          <value t="str">
            <val>專營塑膠零組件射出與模具廠</val>
          </value>
        </values>
      </ddeItem>
      <ddeItem name="3294.TW-CName,InvestorConferenceDate,DateofMeetingofShareHolders,TradingDate" advise="1">
        <values cols="4">
          <value t="str">
            <val>英濟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3294.TW-ID,Name,MarketValue,Capital,NetIncomeGrowthRate,OperIncomeGrowthRate,FinancialStatementsTime,TFXRatio,MonthlyNetSalesYoY,RevenueMonth" advise="1">
        <values cols="10">
          <value t="str">
            <val>3294</val>
          </value>
          <value t="str">
            <val>英濟</val>
          </value>
          <value t="str">
            <val>26.7</val>
          </value>
          <value t="str">
            <val>13.20</val>
          </value>
          <value t="str">
            <val>-298.44</val>
          </value>
          <value t="str">
            <val>-165.98</val>
          </value>
          <value t="str">
            <val>2022/03</val>
          </value>
          <value t="str">
            <val>119.80</val>
          </value>
          <value t="str">
            <val>20.86</val>
          </value>
          <value t="str">
            <val>2022/06</val>
          </value>
        </values>
      </ddeItem>
      <ddeItem name="3294.TW-OperatingProfitRatio,Price,PriceChangeRatio,InOutRatioNumber,Value,YearReturn,MonthReturn,WeekReturn,FinanceBalanceDif,ChipsField2" advise="1">
        <values cols="10">
          <value t="str">
            <val>-2.30</val>
          </value>
          <value>
            <val>20.2</val>
          </value>
          <value>
            <val>-0.98</val>
          </value>
          <value t="str">
            <val>55.48%</val>
          </value>
          <value t="str">
            <val>297萬</val>
          </value>
          <value t="str">
            <val>+10.47</val>
          </value>
          <value t="str">
            <val>+14.77</val>
          </value>
          <value t="str">
            <val>+1.76</val>
          </value>
          <value>
            <val>-1</val>
          </value>
          <value>
            <val>0</val>
          </value>
        </values>
      </ddeItem>
      <ddeItem name="329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0.00</val>
          </value>
          <value>
            <val>0</val>
          </value>
          <value t="str">
            <val>-0.13</val>
          </value>
          <value t="str">
            <val>0.16</val>
          </value>
          <value t="str">
            <val>杭特</val>
          </value>
          <value t="str">
            <val>上櫃光電</val>
          </value>
          <value t="str">
            <val>中低階安全監控設備廠商</val>
          </value>
        </values>
      </ddeItem>
      <ddeItem name="3297.TW-CName,InvestorConferenceDate,DateofMeetingofShareHolders,TradingDate" advise="1">
        <values cols="4">
          <value t="str">
            <val>杭特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3297.TW-ID,Name,MarketValue,Capital,NetIncomeGrowthRate,OperIncomeGrowthRate,FinancialStatementsTime,TFXRatio,MonthlyNetSalesYoY,RevenueMonth" advise="1">
        <values cols="10">
          <value t="str">
            <val>3297</val>
          </value>
          <value t="str">
            <val>杭特</val>
          </value>
          <value t="str">
            <val>5.5</val>
          </value>
          <value t="str">
            <val>3.60</val>
          </value>
          <value t="str">
            <val>227.46</val>
          </value>
          <value t="str">
            <val>26.19</val>
          </value>
          <value t="str">
            <val>2022/03</val>
          </value>
          <value t="str">
            <val>-23.17</val>
          </value>
          <value t="str">
            <val>-23.01</val>
          </value>
          <value t="str">
            <val>2022/06</val>
          </value>
        </values>
      </ddeItem>
      <ddeItem name="3297.TW-OperatingProfitRatio,Price,PriceChangeRatio,InOutRatioNumber,Value,YearReturn,MonthReturn,WeekReturn,FinanceBalanceDif,ChipsField2" advise="1">
        <values cols="10">
          <value t="str">
            <val>-7.30</val>
          </value>
          <value>
            <val>15.2</val>
          </value>
          <value>
            <val>-1.62</val>
          </value>
          <value t="str">
            <val>12.50%</val>
          </value>
          <value t="str">
            <val>50.4萬</val>
          </value>
          <value t="str">
            <val>-1.30</val>
          </value>
          <value t="str">
            <val>+6.67</val>
          </value>
          <value t="str">
            <val>0.00</val>
          </value>
          <value>
            <val>-1</val>
          </value>
          <value>
            <val>0</val>
          </value>
        </values>
      </ddeItem>
      <ddeItem name="33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58</val>
          </value>
          <value t="str">
            <val>2022/07/07</val>
          </value>
          <value t="str">
            <val>1.45</val>
          </value>
          <value>
            <val>4.8600000000000003</val>
          </value>
          <value t="str">
            <val>1.96</val>
          </value>
          <value t="str">
            <val>0.87</val>
          </value>
          <value t="str">
            <val>岱稜</val>
          </value>
          <value t="str">
            <val>上櫃其他電子</val>
          </value>
          <value t="str">
            <val>全球前三大的燙金箔領導商</val>
          </value>
        </values>
      </ddeItem>
      <ddeItem name="3303.TW-CName,InvestorConferenceDate,DateofMeetingofShareHolders,TradingDate" advise="1">
        <values cols="4">
          <value t="str">
            <val>岱稜</val>
          </value>
          <value t="str">
            <val>2021/11/23</val>
          </value>
          <value t="str">
            <val>2022/05/26</val>
          </value>
          <value t="str">
            <val>2022/08/01</val>
          </value>
        </values>
      </ddeItem>
      <ddeItem name="3303.TW-ID,Name,MarketValue,Capital,NetIncomeGrowthRate,OperIncomeGrowthRate,FinancialStatementsTime,TFXRatio,MonthlyNetSalesYoY,RevenueMonth" advise="1">
        <values cols="10">
          <value t="str">
            <val>3303</val>
          </value>
          <value t="str">
            <val>岱稜</val>
          </value>
          <value t="str">
            <val>28.1</val>
          </value>
          <value t="str">
            <val>9.41</val>
          </value>
          <value t="str">
            <val>64.76</val>
          </value>
          <value t="str">
            <val>23.89</val>
          </value>
          <value t="str">
            <val>2022/03</val>
          </value>
          <value t="str">
            <val>-4.48</val>
          </value>
          <value t="str">
            <val>3.79</val>
          </value>
          <value t="str">
            <val>2022/06</val>
          </value>
        </values>
      </ddeItem>
      <ddeItem name="3303.TW-OperatingProfitRatio,Price,PriceChangeRatio,InOutRatioNumber,Value,YearReturn,MonthReturn,WeekReturn,FinanceBalanceDif,ChipsField2" advise="1">
        <values cols="10">
          <value t="str">
            <val>11.74</val>
          </value>
          <value>
            <val>29.85</val>
          </value>
          <value>
            <val>-0.83</val>
          </value>
          <value t="str">
            <val>27.47%</val>
          </value>
          <value t="str">
            <val>272萬</val>
          </value>
          <value t="str">
            <val>+47.90</val>
          </value>
          <value t="str">
            <val>+14.35</val>
          </value>
          <value t="str">
            <val>+4.92</val>
          </value>
          <value>
            <val>44</val>
          </value>
          <value>
            <val>0</val>
          </value>
        </values>
      </ddeItem>
      <ddeItem name="33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42</val>
          </value>
          <value t="str">
            <val>2022/08/04</val>
          </value>
          <value t="str">
            <val>0.80</val>
          </value>
          <value>
            <val>3.23</val>
          </value>
          <value t="str">
            <val>0.81</val>
          </value>
          <value t="str">
            <val>-0.14</val>
          </value>
          <value t="str">
            <val>鼎天</val>
          </value>
          <value t="str">
            <val>上櫃通信網路</val>
          </value>
          <value t="str">
            <val>廣達轉投資的GPS及個人導航廠商</val>
          </value>
        </values>
      </ddeItem>
      <ddeItem name="3306.TW-CName,InvestorConferenceDate,DateofMeetingofShareHolders,TradingDate" advise="1">
        <values cols="4">
          <value t="str">
            <val>鼎天</val>
          </value>
          <value t="str">
            <val>2022/06/16</val>
          </value>
          <value t="str">
            <val>2022/06/09</val>
          </value>
          <value t="str">
            <val>2022/08/01</val>
          </value>
        </values>
      </ddeItem>
      <ddeItem name="3306.TW-ID,Name,MarketValue,Capital,NetIncomeGrowthRate,OperIncomeGrowthRate,FinancialStatementsTime,TFXRatio,MonthlyNetSalesYoY,RevenueMonth" advise="1">
        <values cols="10">
          <value t="str">
            <val>3306</val>
          </value>
          <value t="str">
            <val>鼎天</val>
          </value>
          <value t="str">
            <val>12.5</val>
          </value>
          <value t="str">
            <val>5.06</val>
          </value>
          <value t="str">
            <val>-243.33</val>
          </value>
          <value t="str">
            <val>-332.51</val>
          </value>
          <value t="str">
            <val>2022/03</val>
          </value>
          <value t="str">
            <val>32.18</val>
          </value>
          <value t="str">
            <val>-9.40</val>
          </value>
          <value t="str">
            <val>2022/06</val>
          </value>
        </values>
      </ddeItem>
      <ddeItem name="3306.TW-OperatingProfitRatio,Price,PriceChangeRatio,InOutRatioNumber,Value,YearReturn,MonthReturn,WeekReturn,FinanceBalanceDif,ChipsField2" advise="1">
        <values cols="10">
          <value t="str">
            <val>-3.27</val>
          </value>
          <value>
            <val>24.75</val>
          </value>
          <value>
            <val>0.61</val>
          </value>
          <value t="str">
            <val>48.39%</val>
          </value>
          <value t="str">
            <val>1814萬</val>
          </value>
          <value t="str">
            <val>+4.38</val>
          </value>
          <value t="str">
            <val>+4.65</val>
          </value>
          <value t="str">
            <val>+2.27</val>
          </value>
          <value>
            <val>-14</val>
          </value>
          <value>
            <val>0</val>
          </value>
        </values>
      </ddeItem>
      <ddeItem name="3310.TW-ChipsField3,ChipsField1,ChipsField25,CashAndStockDividend,CashDividendYieldRate,ProfitFourSeason,ProfitSingle,CName,ExchangeIndustry,CompanyPos" advise="1">
        <values cols="10">
          <value>
            <val>3</val>
          </value>
          <value>
            <val>-21</val>
          </value>
          <value t="str">
            <val>2022/07/12</val>
          </value>
          <value t="str">
            <val>2.17</val>
          </value>
          <value>
            <val>5.26</val>
          </value>
          <value t="str">
            <val>1.78</val>
          </value>
          <value t="str">
            <val>0.82</val>
          </value>
          <value t="str">
            <val>佳穎</val>
          </value>
          <value t="str">
            <val>上櫃電子零組件</val>
          </value>
          <value t="str">
            <val>台灣LED導線架及沖壓零件供應商</val>
          </value>
        </values>
      </ddeItem>
      <ddeItem name="3310.TW-CName,InvestorConferenceDate,DateofMeetingofShareHolders,TradingDate" advise="1">
        <values cols="4">
          <value t="str">
            <val>佳穎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3310.TW-ID,Name,MarketValue,Capital,NetIncomeGrowthRate,OperIncomeGrowthRate,FinancialStatementsTime,TFXRatio,MonthlyNetSalesYoY,RevenueMonth" advise="1">
        <values cols="10">
          <value t="str">
            <val>3310</val>
          </value>
          <value t="str">
            <val>佳穎</val>
          </value>
          <value t="str">
            <val>21.7</val>
          </value>
          <value t="str">
            <val>5.27</val>
          </value>
          <value t="str">
            <val>125.05</val>
          </value>
          <value t="str">
            <val>-9.62</val>
          </value>
          <value t="str">
            <val>2022/03</val>
          </value>
          <value t="str">
            <val>14.30</val>
          </value>
          <value t="str">
            <val>39.18</val>
          </value>
          <value t="str">
            <val>2022/06</val>
          </value>
        </values>
      </ddeItem>
      <ddeItem name="3310.TW-OperatingProfitRatio,Price,PriceChangeRatio,InOutRatioNumber,Value,YearReturn,MonthReturn,WeekReturn,FinanceBalanceDif,ChipsField2" advise="1">
        <values cols="10">
          <value t="str">
            <val>5.93</val>
          </value>
          <value>
            <val>41.25</val>
          </value>
          <value>
            <val>1.85</val>
          </value>
          <value t="str">
            <val>53.42%</val>
          </value>
          <value t="str">
            <val>1616萬</val>
          </value>
          <value t="str">
            <val>+55.90</val>
          </value>
          <value t="str">
            <val>+17.24</val>
          </value>
          <value t="str">
            <val>+13.32</val>
          </value>
          <value>
            <val>91</val>
          </value>
          <value>
            <val>0</val>
          </value>
        </values>
      </ddeItem>
      <ddeItem name="33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--</val>
          </value>
          <value t="str">
            <val>0.00</val>
          </value>
          <value>
            <val>0</val>
          </value>
          <value t="str">
            <val>0.53</val>
          </value>
          <value t="str">
            <val>-0.15</val>
          </value>
          <value t="str">
            <val>斐成</val>
          </value>
          <value t="str">
            <val>上櫃其他</val>
          </value>
          <value t="str">
            <val>大宗原物料買賣、家畜禽飼養及販售</val>
          </value>
        </values>
      </ddeItem>
      <ddeItem name="3313.TW-CName,InvestorConferenceDate,DateofMeetingofShareHolders,TradingDate" advise="1">
        <values cols="4">
          <value t="str">
            <val>斐成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3313.TW-ID,Name,MarketValue,Capital,NetIncomeGrowthRate,OperIncomeGrowthRate,FinancialStatementsTime,TFXRatio,MonthlyNetSalesYoY,RevenueMonth" advise="1">
        <values cols="10">
          <value t="str">
            <val>3313</val>
          </value>
          <value t="str">
            <val>斐成</val>
          </value>
          <value t="str">
            <val>13.2</val>
          </value>
          <value t="str">
            <val>11.88</val>
          </value>
          <value t="str">
            <val>42.39</val>
          </value>
          <value t="str">
            <val>-78.09</val>
          </value>
          <value t="str">
            <val>2022/03</val>
          </value>
          <value t="str">
            <val>-23.67</val>
          </value>
          <value t="str">
            <val>-97.58</val>
          </value>
          <value t="str">
            <val>2022/06</val>
          </value>
        </values>
      </ddeItem>
      <ddeItem name="3313.TW-OperatingProfitRatio,Price,PriceChangeRatio,InOutRatioNumber,Value,YearReturn,MonthReturn,WeekReturn,FinanceBalanceDif,ChipsField2" advise="1">
        <values cols="10">
          <value t="str">
            <val>-513.22</val>
          </value>
          <value>
            <val>11.1</val>
          </value>
          <value>
            <val>-0.89</val>
          </value>
          <value t="str">
            <val>55.77%</val>
          </value>
          <value t="str">
            <val>58.2萬</val>
          </value>
          <value t="str">
            <val>-4.72</val>
          </value>
          <value t="str">
            <val>+5.21</val>
          </value>
          <value t="str">
            <val>0.00</val>
          </value>
          <value>
            <val>0</val>
          </value>
          <value>
            <val>0</val>
          </value>
        </values>
      </ddeItem>
      <ddeItem name="331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110</val>
          </value>
          <value t="str">
            <val>--</val>
          </value>
          <value t="str">
            <val>1.20</val>
          </value>
          <value>
            <val>1.92</val>
          </value>
          <value t="str">
            <val>6.79</val>
          </value>
          <value t="str">
            <val>2.48</val>
          </value>
          <value t="str">
            <val>尼克森</val>
          </value>
          <value t="str">
            <val>上櫃半導體</val>
          </value>
          <value t="str">
            <val>台灣電源管理功率元件公司</val>
          </value>
        </values>
      </ddeItem>
      <ddeItem name="3317.TW-CName,InvestorConferenceDate,DateofMeetingofShareHolders,TradingDate" advise="1">
        <values cols="4">
          <value t="str">
            <val>尼克森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3317.TW-ID,Name,MarketValue,Capital,NetIncomeGrowthRate,OperIncomeGrowthRate,FinancialStatementsTime,TFXRatio,MonthlyNetSalesYoY,RevenueMonth" advise="1">
        <values cols="10">
          <value t="str">
            <val>3317</val>
          </value>
          <value t="str">
            <val>尼克森</val>
          </value>
          <value t="str">
            <val>38.3</val>
          </value>
          <value t="str">
            <val>6.13</val>
          </value>
          <value t="str">
            <val>68.34</val>
          </value>
          <value t="str">
            <val>13.67</val>
          </value>
          <value t="str">
            <val>2022/03</val>
          </value>
          <value t="str">
            <val>4.07</val>
          </value>
          <value t="str">
            <val>7.89</val>
          </value>
          <value t="str">
            <val>2022/06</val>
          </value>
        </values>
      </ddeItem>
      <ddeItem name="3317.TW-OperatingProfitRatio,Price,PriceChangeRatio,InOutRatioNumber,Value,YearReturn,MonthReturn,WeekReturn,FinanceBalanceDif,ChipsField2" advise="1">
        <values cols="10">
          <value t="str">
            <val>16.84</val>
          </value>
          <value>
            <val>62.6</val>
          </value>
          <value>
            <val>-1.73</val>
          </value>
          <value t="str">
            <val>25.90%</val>
          </value>
          <value t="str">
            <val>3304萬</val>
          </value>
          <value t="str">
            <val>-23.12</val>
          </value>
          <value t="str">
            <val>+14.86</val>
          </value>
          <value t="str">
            <val>-2.49</val>
          </value>
          <value>
            <val>-27</val>
          </value>
          <value>
            <val>0</val>
          </value>
        </values>
      </ddeItem>
      <ddeItem name="332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301</val>
          </value>
          <value t="str">
            <val>--</val>
          </value>
          <value t="str">
            <val>0.60</val>
          </value>
          <value>
            <val>3.31</val>
          </value>
          <value t="str">
            <val>2.02</val>
          </value>
          <value t="str">
            <val>0.29</val>
          </value>
          <value t="str">
            <val>建舜電</val>
          </value>
          <value t="str">
            <val>上櫃電子零組件</val>
          </value>
          <value t="str">
            <val>台灣連接元件及電子週邊元件廠</val>
          </value>
        </values>
      </ddeItem>
      <ddeItem name="3322.TW-CName,InvestorConferenceDate,DateofMeetingofShareHolders,TradingDate" advise="1">
        <values cols="4">
          <value t="str">
            <val>建舜電</val>
          </value>
          <value t="str">
            <val>2021/11/18</val>
          </value>
          <value t="str">
            <val>2022/06/16</val>
          </value>
          <value t="str">
            <val>2022/08/01</val>
          </value>
        </values>
      </ddeItem>
      <ddeItem name="3322.TW-ID,Name,MarketValue,Capital,NetIncomeGrowthRate,OperIncomeGrowthRate,FinancialStatementsTime,TFXRatio,MonthlyNetSalesYoY,RevenueMonth" advise="1">
        <values cols="10">
          <value t="str">
            <val>3322</val>
          </value>
          <value t="str">
            <val>建舜電</val>
          </value>
          <value t="str">
            <val>19.5</val>
          </value>
          <value t="str">
            <val>10.75</val>
          </value>
          <value t="str">
            <val>46.03</val>
          </value>
          <value t="str">
            <val>-12.56</val>
          </value>
          <value t="str">
            <val>2022/03</val>
          </value>
          <value t="str">
            <val>18.45</val>
          </value>
          <value t="str">
            <val>-37.45</val>
          </value>
          <value t="str">
            <val>2022/06</val>
          </value>
        </values>
      </ddeItem>
      <ddeItem name="3322.TW-OperatingProfitRatio,Price,PriceChangeRatio,InOutRatioNumber,Value,YearReturn,MonthReturn,WeekReturn,FinanceBalanceDif,ChipsField2" advise="1">
        <values cols="10">
          <value t="str">
            <val>2.30</val>
          </value>
          <value>
            <val>18.100000000000001</val>
          </value>
          <value>
            <val>0.28000000000000003</val>
          </value>
          <value t="str">
            <val>41.67%</val>
          </value>
          <value t="str">
            <val>602萬</val>
          </value>
          <value t="str">
            <val>+7.74</val>
          </value>
          <value t="str">
            <val>+21.07</val>
          </value>
          <value t="str">
            <val>+1.69</val>
          </value>
          <value>
            <val>8</val>
          </value>
          <value>
            <val>0</val>
          </value>
        </values>
      </ddeItem>
      <ddeItem name="33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38</val>
          </value>
          <value t="str">
            <val>2022/07/22</val>
          </value>
          <value t="str">
            <val>2.00</val>
          </value>
          <value>
            <val>6.18</val>
          </value>
          <value t="str">
            <val>3.00</val>
          </value>
          <value t="str">
            <val>0.97</val>
          </value>
          <value t="str">
            <val>加百裕</val>
          </value>
          <value t="str">
            <val>上櫃電腦及週邊設備</val>
          </value>
          <value t="str">
            <val>台灣三大NB電池模組廠之一</val>
          </value>
        </values>
      </ddeItem>
      <ddeItem name="3323.TW-CName,InvestorConferenceDate,DateofMeetingofShareHolders,TradingDate" advise="1">
        <values cols="4">
          <value t="str">
            <val>加百裕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3323.TW-ID,Name,MarketValue,Capital,NetIncomeGrowthRate,OperIncomeGrowthRate,FinancialStatementsTime,TFXRatio,MonthlyNetSalesYoY,RevenueMonth" advise="1">
        <values cols="10">
          <value t="str">
            <val>3323</val>
          </value>
          <value t="str">
            <val>加百裕</val>
          </value>
          <value t="str">
            <val>26.0</val>
          </value>
          <value t="str">
            <val>8.03</val>
          </value>
          <value t="str">
            <val>-14.15</val>
          </value>
          <value t="str">
            <val>-45.67</val>
          </value>
          <value t="str">
            <val>2022/03</val>
          </value>
          <value t="str">
            <val>205.89</val>
          </value>
          <value t="str">
            <val>-11.91</val>
          </value>
          <value t="str">
            <val>2022/06</val>
          </value>
        </values>
      </ddeItem>
      <ddeItem name="3323.TW-OperatingProfitRatio,Price,PriceChangeRatio,InOutRatioNumber,Value,YearReturn,MonthReturn,WeekReturn,FinanceBalanceDif,ChipsField2" advise="1">
        <values cols="10">
          <value t="str">
            <val>1.98</val>
          </value>
          <value>
            <val>32.35</val>
          </value>
          <value>
            <val>1.41</val>
          </value>
          <value t="str">
            <val>80.51%</val>
          </value>
          <value t="str">
            <val>455萬</val>
          </value>
          <value t="str">
            <val>-27.21</val>
          </value>
          <value t="str">
            <val>+12.28</val>
          </value>
          <value t="str">
            <val>+1.09</val>
          </value>
          <value>
            <val>0</val>
          </value>
          <value>
            <val>0</val>
          </value>
        </values>
      </ddeItem>
      <ddeItem name="3324.TW-ChipsField3,ChipsField1,ChipsField25,CashAndStockDividend,CashDividendYieldRate,ProfitFourSeason,ProfitSingle,CName,ExchangeIndustry,CompanyPos" advise="1">
        <values cols="10">
          <value>
            <val>74</val>
          </value>
          <value>
            <val>632</val>
          </value>
          <value t="str">
            <val>2022/06/30</val>
          </value>
          <value t="str">
            <val>6.00</val>
          </value>
          <value>
            <val>3.43</val>
          </value>
          <value t="str">
            <val>13.14</val>
          </value>
          <value t="str">
            <val>3.42</val>
          </value>
          <value t="str">
            <val>雙鴻</val>
          </value>
          <value t="str">
            <val>上櫃其他電子</val>
          </value>
          <value t="str">
            <val>台灣前二大散熱模組廠商</val>
          </value>
        </values>
      </ddeItem>
      <ddeItem name="3324.TW-CName,InvestorConferenceDate,DateofMeetingofShareHolders,TradingDate" advise="1">
        <values cols="4">
          <value t="str">
            <val>雙鴻</val>
          </value>
          <value t="str">
            <val>2021/08/31</val>
          </value>
          <value t="str">
            <val>2022/06/02</val>
          </value>
          <value t="str">
            <val>2022/08/01</val>
          </value>
        </values>
      </ddeItem>
      <ddeItem name="3324.TW-ID,Name,MarketValue,Capital,NetIncomeGrowthRate,OperIncomeGrowthRate,FinancialStatementsTime,TFXRatio,MonthlyNetSalesYoY,RevenueMonth" advise="1">
        <values cols="10">
          <value t="str">
            <val>3324</val>
          </value>
          <value t="str">
            <val>雙鴻</val>
          </value>
          <value t="str">
            <val>154.7</val>
          </value>
          <value t="str">
            <val>8.84</val>
          </value>
          <value t="str">
            <val>-3.64</val>
          </value>
          <value t="str">
            <val>-14.27</val>
          </value>
          <value t="str">
            <val>2022/03</val>
          </value>
          <value t="str">
            <val>15.48</val>
          </value>
          <value t="str">
            <val>26.04</val>
          </value>
          <value t="str">
            <val>2022/06</val>
          </value>
        </values>
      </ddeItem>
      <ddeItem name="3324.TW-OperatingProfitRatio,Price,PriceChangeRatio,InOutRatioNumber,Value,YearReturn,MonthReturn,WeekReturn,FinanceBalanceDif,ChipsField2" advise="1">
        <values cols="10">
          <value t="str">
            <val>7.75</val>
          </value>
          <value>
            <val>175</val>
          </value>
          <value>
            <val>-0.85</val>
          </value>
          <value t="str">
            <val>50.73%</val>
          </value>
          <value t="str">
            <val>2.91億</val>
          </value>
          <value t="str">
            <val>+5.55</val>
          </value>
          <value t="str">
            <val>+16.28</val>
          </value>
          <value t="str">
            <val>-0.57</val>
          </value>
          <value>
            <val>-88</val>
          </value>
          <value>
            <val>0</val>
          </value>
        </values>
      </ddeItem>
      <ddeItem name="33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--</val>
          </value>
          <value t="str">
            <val>0.00</val>
          </value>
          <value>
            <val>0</val>
          </value>
          <value t="str">
            <val>-1.15</val>
          </value>
          <value t="str">
            <val>-0.43</val>
          </value>
          <value t="str">
            <val>旭品</val>
          </value>
          <value t="str">
            <val>上櫃電腦及週邊設備</val>
          </value>
          <value t="str">
            <val>主要生產電腦機殼及電源供應器</val>
          </value>
        </values>
      </ddeItem>
      <ddeItem name="3325.TW-CName,InvestorConferenceDate,DateofMeetingofShareHolders,TradingDate" advise="1">
        <values cols="4">
          <value t="str">
            <val>旭品</val>
          </value>
          <value t="str">
            <val>2021/01/14</val>
          </value>
          <value t="str">
            <val>2022/06/30</val>
          </value>
          <value t="str">
            <val>2022/08/01</val>
          </value>
        </values>
      </ddeItem>
      <ddeItem name="3325.TW-ID,Name,MarketValue,Capital,NetIncomeGrowthRate,OperIncomeGrowthRate,FinancialStatementsTime,TFXRatio,MonthlyNetSalesYoY,RevenueMonth" advise="1">
        <values cols="10">
          <value t="str">
            <val>3325</val>
          </value>
          <value t="str">
            <val>旭品</val>
          </value>
          <value t="str">
            <val>10.6</val>
          </value>
          <value t="str">
            <val>8.46</val>
          </value>
          <value t="str">
            <val>-2903.97</val>
          </value>
          <value t="str">
            <val>-3217.74</val>
          </value>
          <value t="str">
            <val>2022/03</val>
          </value>
          <value t="str">
            <val>-9.27</val>
          </value>
          <value t="str">
            <val>19.56</val>
          </value>
          <value t="str">
            <val>2022/06</val>
          </value>
        </values>
      </ddeItem>
      <ddeItem name="3325.TW-OperatingProfitRatio,Price,PriceChangeRatio,InOutRatioNumber,Value,YearReturn,MonthReturn,WeekReturn,FinanceBalanceDif,ChipsField2" advise="1">
        <values cols="10">
          <value t="str">
            <val>-19.68</val>
          </value>
          <value>
            <val>12.55</val>
          </value>
          <value>
            <val>1.62</val>
          </value>
          <value t="str">
            <val>38.10%</val>
          </value>
          <value t="str">
            <val>132萬</val>
          </value>
          <value t="str">
            <val>-40.08</val>
          </value>
          <value t="str">
            <val>+6.81</val>
          </value>
          <value t="str">
            <val>+2.03</val>
          </value>
          <value>
            <val>6</val>
          </value>
          <value>
            <val>0</val>
          </value>
        </values>
      </ddeItem>
      <ddeItem name="33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2022/08/04</val>
          </value>
          <value t="str">
            <val>1.00</val>
          </value>
          <value>
            <val>2.0099999999999998</val>
          </value>
          <value t="str">
            <val>2.69</val>
          </value>
          <value t="str">
            <val>0.86</val>
          </value>
          <value t="str">
            <val>幸康</val>
          </value>
          <value t="str">
            <val>上櫃電子零組件</val>
          </value>
          <value t="str">
            <val>台灣專攻工業電源供應器廠，主銷歐美市場</val>
          </value>
        </values>
      </ddeItem>
      <ddeItem name="3332.TW-CName,InvestorConferenceDate,DateofMeetingofShareHolders,TradingDate" advise="1">
        <values cols="4">
          <value t="str">
            <val>幸康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3332.TW-ID,Name,MarketValue,Capital,NetIncomeGrowthRate,OperIncomeGrowthRate,FinancialStatementsTime,TFXRatio,MonthlyNetSalesYoY,RevenueMonth" advise="1">
        <values cols="10">
          <value t="str">
            <val>3332</val>
          </value>
          <value t="str">
            <val>幸康</val>
          </value>
          <value t="str">
            <val>23.9</val>
          </value>
          <value t="str">
            <val>4.81</val>
          </value>
          <value t="str">
            <val>131.03</val>
          </value>
          <value t="str">
            <val>56.71</val>
          </value>
          <value t="str">
            <val>2022/03</val>
          </value>
          <value t="str">
            <val>9.46</val>
          </value>
          <value t="str">
            <val>96.29</val>
          </value>
          <value t="str">
            <val>2022/06</val>
          </value>
        </values>
      </ddeItem>
      <ddeItem name="3332.TW-OperatingProfitRatio,Price,PriceChangeRatio,InOutRatioNumber,Value,YearReturn,MonthReturn,WeekReturn,FinanceBalanceDif,ChipsField2" advise="1">
        <values cols="10">
          <value t="str">
            <val>9.70</val>
          </value>
          <value>
            <val>49.7</val>
          </value>
          <value>
            <val>3.43</val>
          </value>
          <value t="str">
            <val>62.50%</val>
          </value>
          <value t="str">
            <val>567萬</val>
          </value>
          <value t="str">
            <val>+34.50</val>
          </value>
          <value t="str">
            <val>+25.35</val>
          </value>
          <value t="str">
            <val>+1.74</val>
          </value>
          <value>
            <val>4</val>
          </value>
          <value>
            <val>0</val>
          </value>
        </values>
      </ddeItem>
      <ddeItem name="333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101</val>
          </value>
          <value t="str">
            <val>--</val>
          </value>
          <value t="str">
            <val>0.00</val>
          </value>
          <value>
            <val>0</val>
          </value>
          <value t="str">
            <val>1.18</val>
          </value>
          <value t="str">
            <val>-0.06</val>
          </value>
          <value t="str">
            <val>泰谷</val>
          </value>
          <value t="str">
            <val>上櫃光電</val>
          </value>
          <value t="str">
            <val>台灣專業生產綠光、藍光、紫外光LED磊晶片及晶粒供應廠</val>
          </value>
        </values>
      </ddeItem>
      <ddeItem name="3339.TW-CName,InvestorConferenceDate,DateofMeetingofShareHolders,TradingDate" advise="1">
        <values cols="4">
          <value t="str">
            <val>泰谷</val>
          </value>
          <value t="str">
            <val>2022/07/12</val>
          </value>
          <value t="str">
            <val>2022/06/08</val>
          </value>
          <value t="str">
            <val>2022/08/01</val>
          </value>
        </values>
      </ddeItem>
      <ddeItem name="3339.TW-ID,Name,MarketValue,Capital,NetIncomeGrowthRate,OperIncomeGrowthRate,FinancialStatementsTime,TFXRatio,MonthlyNetSalesYoY,RevenueMonth" advise="1">
        <values cols="10">
          <value t="str">
            <val>3339</val>
          </value>
          <value t="str">
            <val>泰谷</val>
          </value>
          <value t="str">
            <val>7.0</val>
          </value>
          <value t="str">
            <val>5.16</val>
          </value>
          <value t="str">
            <val>-113.23</val>
          </value>
          <value t="str">
            <val>-152.62</val>
          </value>
          <value t="str">
            <val>2022/03</val>
          </value>
          <value t="str">
            <val>-13.13</val>
          </value>
          <value t="str">
            <val>-44.93</val>
          </value>
          <value t="str">
            <val>2022/06</val>
          </value>
        </values>
      </ddeItem>
      <ddeItem name="3339.TW-OperatingProfitRatio,Price,PriceChangeRatio,InOutRatioNumber,Value,YearReturn,MonthReturn,WeekReturn,FinanceBalanceDif,ChipsField2" advise="1">
        <values cols="10">
          <value t="str">
            <val>-3.78</val>
          </value>
          <value>
            <val>13.55</val>
          </value>
          <value>
            <val>0.37</val>
          </value>
          <value t="str">
            <val>45.52%</val>
          </value>
          <value t="str">
            <val>974萬</val>
          </value>
          <value t="str">
            <val>-41.85</val>
          </value>
          <value t="str">
            <val>+7.97</val>
          </value>
          <value t="str">
            <val>+3.83</val>
          </value>
          <value>
            <val>24</val>
          </value>
          <value>
            <val>0</val>
          </value>
        </values>
      </ddeItem>
      <ddeItem name="33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1.20</val>
          </value>
          <value>
            <val>7.59</val>
          </value>
          <value t="str">
            <val>1.16</val>
          </value>
          <value t="str">
            <val>-0.08</val>
          </value>
          <value t="str">
            <val>寶德</val>
          </value>
          <value t="str">
            <val>上櫃電腦及週邊設備</val>
          </value>
          <value t="str">
            <val>台灣無線光學滑鼠製造商之一</val>
          </value>
        </values>
      </ddeItem>
      <ddeItem name="3349.TW-CName,InvestorConferenceDate,DateofMeetingofShareHolders,TradingDate" advise="1">
        <values cols="4">
          <value t="str">
            <val>寶德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3349.TW-ID,Name,MarketValue,Capital,NetIncomeGrowthRate,OperIncomeGrowthRate,FinancialStatementsTime,TFXRatio,MonthlyNetSalesYoY,RevenueMonth" advise="1">
        <values cols="10">
          <value t="str">
            <val>3349</val>
          </value>
          <value t="str">
            <val>寶德</val>
          </value>
          <value t="str">
            <val>6.1</val>
          </value>
          <value t="str">
            <val>3.85</val>
          </value>
          <value t="str">
            <val>-115.47</val>
          </value>
          <value t="str">
            <val>-140.15</val>
          </value>
          <value t="str">
            <val>2022/03</val>
          </value>
          <value t="str">
            <val>0.82</val>
          </value>
          <value t="str">
            <val>-53.08</val>
          </value>
          <value t="str">
            <val>2022/06</val>
          </value>
        </values>
      </ddeItem>
      <ddeItem name="3349.TW-OperatingProfitRatio,Price,PriceChangeRatio,InOutRatioNumber,Value,YearReturn,MonthReturn,WeekReturn,FinanceBalanceDif,ChipsField2" advise="1">
        <values cols="10">
          <value t="str">
            <val>-3.52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-9.20</val>
          </value>
          <value t="str">
            <val>+0.64</val>
          </value>
          <value>
            <val>0</val>
          </value>
          <value>
            <val>0</val>
          </value>
        </values>
      </ddeItem>
      <ddeItem name="33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-21</val>
          </value>
          <value t="str">
            <val>2022/07/12</val>
          </value>
          <value t="str">
            <val>0.30</val>
          </value>
          <value>
            <val>1.74</val>
          </value>
          <value t="str">
            <val>-0.58</val>
          </value>
          <value t="str">
            <val>0.06</val>
          </value>
          <value t="str">
            <val>律勝</val>
          </value>
          <value t="str">
            <val>上櫃電子零組件</val>
          </value>
          <value t="str">
            <val>台灣軟式印刷電路板基材製造商</val>
          </value>
        </values>
      </ddeItem>
      <ddeItem name="3354.TW-CName,InvestorConferenceDate,DateofMeetingofShareHolders,TradingDate" advise="1">
        <values cols="4">
          <value t="str">
            <val>律勝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3354.TW-ID,Name,MarketValue,Capital,NetIncomeGrowthRate,OperIncomeGrowthRate,FinancialStatementsTime,TFXRatio,MonthlyNetSalesYoY,RevenueMonth" advise="1">
        <values cols="10">
          <value t="str">
            <val>3354</val>
          </value>
          <value t="str">
            <val>律勝</val>
          </value>
          <value t="str">
            <val>12.1</val>
          </value>
          <value t="str">
            <val>7.01</val>
          </value>
          <value t="str">
            <val>166.42</val>
          </value>
          <value t="str">
            <val>-9.60</val>
          </value>
          <value t="str">
            <val>2022/03</val>
          </value>
          <value t="str">
            <val>-9.92</val>
          </value>
          <value t="str">
            <val>1.61</val>
          </value>
          <value t="str">
            <val>2022/06</val>
          </value>
        </values>
      </ddeItem>
      <ddeItem name="3354.TW-OperatingProfitRatio,Price,PriceChangeRatio,InOutRatioNumber,Value,YearReturn,MonthReturn,WeekReturn,FinanceBalanceDif,ChipsField2" advise="1">
        <values cols="10">
          <value t="str">
            <val>-39.21</val>
          </value>
          <value>
            <val>17.2</val>
          </value>
          <value>
            <val>-0.57999999999999996</val>
          </value>
          <value t="str">
            <val>55.33%</val>
          </value>
          <value t="str">
            <val>522萬</val>
          </value>
          <value t="str">
            <val>+10.92</val>
          </value>
          <value t="str">
            <val>-2.09</val>
          </value>
          <value t="str">
            <val>+1.78</val>
          </value>
          <value>
            <val>33</val>
          </value>
          <value>
            <val>0</val>
          </value>
        </values>
      </ddeItem>
      <ddeItem name="335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2022/07/07</val>
          </value>
          <value t="str">
            <val>7.00</val>
          </value>
          <value>
            <val>7.95</val>
          </value>
          <value t="str">
            <val>12.58</val>
          </value>
          <value t="str">
            <val>2.97</val>
          </value>
          <value t="str">
            <val>臺慶科</val>
          </value>
          <value t="str">
            <val>上櫃電子零組件</val>
          </value>
          <value t="str">
            <val>台灣全系列電感元件製造商</val>
          </value>
        </values>
      </ddeItem>
      <ddeItem name="3357.TW-CName,InvestorConferenceDate,DateofMeetingofShareHolders,TradingDate" advise="1">
        <values cols="4">
          <value t="str">
            <val>臺慶科</val>
          </value>
          <value t="str">
            <val>2021/11/17</val>
          </value>
          <value t="str">
            <val>2022/06/21</val>
          </value>
          <value t="str">
            <val>2022/08/01</val>
          </value>
        </values>
      </ddeItem>
      <ddeItem name="3357.TW-ID,Name,MarketValue,Capital,NetIncomeGrowthRate,OperIncomeGrowthRate,FinancialStatementsTime,TFXRatio,MonthlyNetSalesYoY,RevenueMonth" advise="1">
        <values cols="10">
          <value t="str">
            <val>3357</val>
          </value>
          <value t="str">
            <val>臺慶科</val>
          </value>
          <value t="str">
            <val>90.8</val>
          </value>
          <value t="str">
            <val>10.31</val>
          </value>
          <value t="str">
            <val>32.52</val>
          </value>
          <value t="str">
            <val>17.34</val>
          </value>
          <value t="str">
            <val>2022/03</val>
          </value>
          <value t="str">
            <val>-13.74</val>
          </value>
          <value t="str">
            <val>-19.60</val>
          </value>
          <value t="str">
            <val>2022/06</val>
          </value>
        </values>
      </ddeItem>
      <ddeItem name="3357.TW-OperatingProfitRatio,Price,PriceChangeRatio,InOutRatioNumber,Value,YearReturn,MonthReturn,WeekReturn,FinanceBalanceDif,ChipsField2" advise="1">
        <values cols="10">
          <value t="str">
            <val>20.08</val>
          </value>
          <value>
            <val>88</val>
          </value>
          <value>
            <val>-0.23</val>
          </value>
          <value t="str">
            <val>42.86%</val>
          </value>
          <value t="str">
            <val>385萬</val>
          </value>
          <value t="str">
            <val>-43.64</val>
          </value>
          <value t="str">
            <val>+12.99</val>
          </value>
          <value t="str">
            <val>-0.11</val>
          </value>
          <value>
            <val>3</val>
          </value>
          <value>
            <val>0</val>
          </value>
        </values>
      </ddeItem>
      <ddeItem name="33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2022/07/12</val>
          </value>
          <value t="str">
            <val>1.25</val>
          </value>
          <value>
            <val>9.06</val>
          </value>
          <value t="str">
            <val>1.64</val>
          </value>
          <value t="str">
            <val>0.52</val>
          </value>
          <value t="str">
            <val>尚立</val>
          </value>
          <value t="str">
            <val>上櫃電子通路</val>
          </value>
          <value t="str">
            <val>主要代理SONY與SHARP的CMOS/CIS元件與面板為主</val>
          </value>
        </values>
      </ddeItem>
      <ddeItem name="3360.TW-CName,InvestorConferenceDate,DateofMeetingofShareHolders,TradingDate" advise="1">
        <values cols="4">
          <value t="str">
            <val>尚立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3360.TW-ID,Name,MarketValue,Capital,NetIncomeGrowthRate,OperIncomeGrowthRate,FinancialStatementsTime,TFXRatio,MonthlyNetSalesYoY,RevenueMonth" advise="1">
        <values cols="10">
          <value t="str">
            <val>3360</val>
          </value>
          <value t="str">
            <val>尚立</val>
          </value>
          <value t="str">
            <val>10.5</val>
          </value>
          <value t="str">
            <val>7.64</val>
          </value>
          <value t="str">
            <val>57.64</val>
          </value>
          <value t="str">
            <val>45.52</val>
          </value>
          <value t="str">
            <val>2022/03</val>
          </value>
          <value t="str">
            <val>-21.85</val>
          </value>
          <value t="str">
            <val>-10.30</val>
          </value>
          <value t="str">
            <val>2022/06</val>
          </value>
        </values>
      </ddeItem>
      <ddeItem name="3360.TW-OperatingProfitRatio,Price,PriceChangeRatio,InOutRatioNumber,Value,YearReturn,MonthReturn,WeekReturn,FinanceBalanceDif,ChipsField2" advise="1">
        <values cols="10">
          <value t="str">
            <val>1.50</val>
          </value>
          <value>
            <val>13.8</val>
          </value>
          <value>
            <val>-0.36</val>
          </value>
          <value t="str">
            <val>64.60%</val>
          </value>
          <value t="str">
            <val>155萬</val>
          </value>
          <value t="str">
            <val>+6.74</val>
          </value>
          <value t="str">
            <val>+3.90</val>
          </value>
          <value t="str">
            <val>-1.08</val>
          </value>
          <value>
            <val>1</val>
          </value>
          <value>
            <val>0</val>
          </value>
        </values>
      </ddeItem>
      <ddeItem name="3362.TW-ChipsField3,ChipsField1,ChipsField25,CashAndStockDividend,CashDividendYieldRate,ProfitFourSeason,ProfitSingle,CName,ExchangeIndustry,CompanyPos" advise="1">
        <values cols="10">
          <value>
            <val>6</val>
          </value>
          <value>
            <val>320</val>
          </value>
          <value t="str">
            <val>--</val>
          </value>
          <value t="str">
            <val>0.00</val>
          </value>
          <value>
            <val>0</val>
          </value>
          <value t="str">
            <val>0.60</val>
          </value>
          <value t="str">
            <val>0.81</val>
          </value>
          <value t="str">
            <val>先進光</val>
          </value>
          <value t="str">
            <val>上櫃光電</val>
          </value>
          <value t="str">
            <val>台灣光學鏡頭研發及製造廠商</val>
          </value>
        </values>
      </ddeItem>
      <ddeItem name="3362.TW-CName,InvestorConferenceDate,DateofMeetingofShareHolders,TradingDate" advise="1">
        <values cols="4">
          <value t="str">
            <val>先進光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3362.TW-ID,Name,MarketValue,Capital,NetIncomeGrowthRate,OperIncomeGrowthRate,FinancialStatementsTime,TFXRatio,MonthlyNetSalesYoY,RevenueMonth" advise="1">
        <values cols="10">
          <value t="str">
            <val>3362</val>
          </value>
          <value t="str">
            <val>先進光</val>
          </value>
          <value t="str">
            <val>110.7</val>
          </value>
          <value t="str">
            <val>14.19</val>
          </value>
          <value t="str">
            <val>254.43</val>
          </value>
          <value t="str">
            <val>98.15</val>
          </value>
          <value t="str">
            <val>2022/03</val>
          </value>
          <value t="str">
            <val>-23.50</val>
          </value>
          <value t="str">
            <val>9.15</val>
          </value>
          <value t="str">
            <val>2022/06</val>
          </value>
        </values>
      </ddeItem>
      <ddeItem name="3362.TW-OperatingProfitRatio,Price,PriceChangeRatio,InOutRatioNumber,Value,YearReturn,MonthReturn,WeekReturn,FinanceBalanceDif,ChipsField2" advise="1">
        <values cols="10">
          <value t="str">
            <val>6.78</val>
          </value>
          <value>
            <val>78.2</val>
          </value>
          <value>
            <val>-0.76</val>
          </value>
          <value t="str">
            <val>50.62%</val>
          </value>
          <value t="str">
            <val>1.13億</val>
          </value>
          <value t="str">
            <val>+0.13</val>
          </value>
          <value t="str">
            <val>+50.38</val>
          </value>
          <value t="str">
            <val>-1.14</val>
          </value>
          <value>
            <val>237</val>
          </value>
          <value>
            <val>0</val>
          </value>
        </values>
      </ddeItem>
      <ddeItem name="33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19</val>
          </value>
          <value t="str">
            <val>2022/06/24</val>
          </value>
          <value t="str">
            <val>1.60</val>
          </value>
          <value>
            <val>6.3</val>
          </value>
          <value t="str">
            <val>2.25</val>
          </value>
          <value t="str">
            <val>-0.04</val>
          </value>
          <value t="str">
            <val>上詮</val>
          </value>
          <value t="str">
            <val>上櫃通信網路</val>
          </value>
          <value t="str">
            <val>台灣光纖被動元件大廠</val>
          </value>
        </values>
      </ddeItem>
      <ddeItem name="3363.TW-CName,InvestorConferenceDate,DateofMeetingofShareHolders,TradingDate" advise="1">
        <values cols="4">
          <value t="str">
            <val>上詮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3363.TW-ID,Name,MarketValue,Capital,NetIncomeGrowthRate,OperIncomeGrowthRate,FinancialStatementsTime,TFXRatio,MonthlyNetSalesYoY,RevenueMonth" advise="1">
        <values cols="10">
          <value t="str">
            <val>3363</val>
          </value>
          <value t="str">
            <val>上詮</val>
          </value>
          <value t="str">
            <val>22.4</val>
          </value>
          <value t="str">
            <val>8.83</val>
          </value>
          <value t="str">
            <val>-260.82</val>
          </value>
          <value t="str">
            <val>609.45</val>
          </value>
          <value t="str">
            <val>2022/03</val>
          </value>
          <value t="str">
            <val>9.01</val>
          </value>
          <value t="str">
            <val>12.94</val>
          </value>
          <value t="str">
            <val>2022/06</val>
          </value>
        </values>
      </ddeItem>
      <ddeItem name="3363.TW-OperatingProfitRatio,Price,PriceChangeRatio,InOutRatioNumber,Value,YearReturn,MonthReturn,WeekReturn,FinanceBalanceDif,ChipsField2" advise="1">
        <values cols="10">
          <value t="str">
            <val>9.19</val>
          </value>
          <value>
            <val>25.4</val>
          </value>
          <value>
            <val>4.0999999999999996</val>
          </value>
          <value t="str">
            <val>73.56%</val>
          </value>
          <value t="str">
            <val>1179萬</val>
          </value>
          <value t="str">
            <val>+2.80</val>
          </value>
          <value t="str">
            <val>+11.40</val>
          </value>
          <value t="str">
            <val>+4.96</val>
          </value>
          <value>
            <val>7</val>
          </value>
          <value>
            <val>0</val>
          </value>
        </values>
      </ddeItem>
      <ddeItem name="33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52</val>
          </value>
          <value t="str">
            <val>--</val>
          </value>
          <value t="str">
            <val>1.00</val>
          </value>
          <value>
            <val>7.35</val>
          </value>
          <value t="str">
            <val>2.40</val>
          </value>
          <value t="str">
            <val>0.41</val>
          </value>
          <value t="str">
            <val>典範</val>
          </value>
          <value t="str">
            <val>上櫃半導體</val>
          </value>
          <value t="str">
            <val>記憶卡、影像感測元件封裝廠</val>
          </value>
        </values>
      </ddeItem>
      <ddeItem name="3372.TW-CName,InvestorConferenceDate,DateofMeetingofShareHolders,TradingDate" advise="1">
        <values cols="4">
          <value t="str">
            <val>典範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3372.TW-ID,Name,MarketValue,Capital,NetIncomeGrowthRate,OperIncomeGrowthRate,FinancialStatementsTime,TFXRatio,MonthlyNetSalesYoY,RevenueMonth" advise="1">
        <values cols="10">
          <value t="str">
            <val>3372</val>
          </value>
          <value t="str">
            <val>典範</val>
          </value>
          <value t="str">
            <val>23.9</val>
          </value>
          <value t="str">
            <val>17.55</val>
          </value>
          <value t="str">
            <val>2.93</val>
          </value>
          <value t="str">
            <val>-38.92</val>
          </value>
          <value t="str">
            <val>2022/03</val>
          </value>
          <value t="str">
            <val>-11.30</val>
          </value>
          <value t="str">
            <val>-38.96</val>
          </value>
          <value t="str">
            <val>2022/06</val>
          </value>
        </values>
      </ddeItem>
      <ddeItem name="3372.TW-OperatingProfitRatio,Price,PriceChangeRatio,InOutRatioNumber,Value,YearReturn,MonthReturn,WeekReturn,FinanceBalanceDif,ChipsField2" advise="1">
        <values cols="10">
          <value t="str">
            <val>10.81</val>
          </value>
          <value>
            <val>13.6</val>
          </value>
          <value>
            <val>0.37</val>
          </value>
          <value t="str">
            <val>50.00%</val>
          </value>
          <value t="str">
            <val>368萬</val>
          </value>
          <value t="str">
            <val>-55.56</val>
          </value>
          <value t="str">
            <val>+10.57</val>
          </value>
          <value t="str">
            <val>+1.87</val>
          </value>
          <value>
            <val>44</val>
          </value>
          <value>
            <val>0</val>
          </value>
        </values>
      </ddeItem>
      <ddeItem name="337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2022/07/01</val>
          </value>
          <value t="str">
            <val>1.50</val>
          </value>
          <value>
            <val>7.28</val>
          </value>
          <value t="str">
            <val>1.17</val>
          </value>
          <value t="str">
            <val>0.07</val>
          </value>
          <value t="str">
            <val>熱映</val>
          </value>
          <value t="str">
            <val>上櫃其他電子</val>
          </value>
          <value t="str">
            <val>主營紅外線精密量測技術產品</val>
          </value>
        </values>
      </ddeItem>
      <ddeItem name="3373.TW-CName,InvestorConferenceDate,DateofMeetingofShareHolders,TradingDate" advise="1">
        <values cols="4">
          <value t="str">
            <val>熱映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3373.TW-ID,Name,MarketValue,Capital,NetIncomeGrowthRate,OperIncomeGrowthRate,FinancialStatementsTime,TFXRatio,MonthlyNetSalesYoY,RevenueMonth" advise="1">
        <values cols="10">
          <value t="str">
            <val>3373</val>
          </value>
          <value t="str">
            <val>熱映</val>
          </value>
          <value t="str">
            <val>8.9</val>
          </value>
          <value t="str">
            <val>4.33</val>
          </value>
          <value t="str">
            <val>-95.22</val>
          </value>
          <value t="str">
            <val>-107.06</val>
          </value>
          <value t="str">
            <val>2022/03</val>
          </value>
          <value t="str">
            <val>-17.11</val>
          </value>
          <value t="str">
            <val>-20.95</val>
          </value>
          <value t="str">
            <val>2022/06</val>
          </value>
        </values>
      </ddeItem>
      <ddeItem name="3373.TW-OperatingProfitRatio,Price,PriceChangeRatio,InOutRatioNumber,Value,YearReturn,MonthReturn,WeekReturn,FinanceBalanceDif,ChipsField2" advise="1">
        <values cols="10">
          <value t="str">
            <val>-3.81</val>
          </value>
          <value>
            <val>20.6</val>
          </value>
          <value>
            <val>0.73</val>
          </value>
          <value t="str">
            <val>51.52%</val>
          </value>
          <value t="str">
            <val>67.2萬</val>
          </value>
          <value t="str">
            <val>-59.47</val>
          </value>
          <value t="str">
            <val>+6.19</val>
          </value>
          <value t="str">
            <val>-1.44</val>
          </value>
          <value>
            <val>4</val>
          </value>
          <value>
            <val>0</val>
          </value>
        </values>
      </ddeItem>
      <ddeItem name="3374.TW-ChipsField3,ChipsField1,ChipsField25,CashAndStockDividend,CashDividendYieldRate,ProfitFourSeason,ProfitSingle,CName,ExchangeIndustry,CompanyPos" advise="1">
        <values cols="10">
          <value>
            <val>-51</val>
          </value>
          <value>
            <val>500</val>
          </value>
          <value t="str">
            <val>2022/06/15</val>
          </value>
          <value t="str">
            <val>3.00</val>
          </value>
          <value>
            <val>2.36</val>
          </value>
          <value t="str">
            <val>6.06</val>
          </value>
          <value t="str">
            <val>1.31</val>
          </value>
          <value t="str">
            <val>精材</val>
          </value>
          <value t="str">
            <val>上櫃半導體</val>
          </value>
          <value t="str">
            <val>台積電旗下,台灣首家3D堆疊晶圓級封裝量產廠商</val>
          </value>
        </values>
      </ddeItem>
      <ddeItem name="3374.TW-CName,InvestorConferenceDate,DateofMeetingofShareHolders,TradingDate" advise="1">
        <values cols="4">
          <value t="str">
            <val>精材</val>
          </value>
          <value t="str">
            <val>2022/02/17</val>
          </value>
          <value t="str">
            <val>2022/05/26</val>
          </value>
          <value t="str">
            <val>2022/08/01</val>
          </value>
        </values>
      </ddeItem>
      <ddeItem name="3374.TW-ID,Name,MarketValue,Capital,NetIncomeGrowthRate,OperIncomeGrowthRate,FinancialStatementsTime,TFXRatio,MonthlyNetSalesYoY,RevenueMonth" advise="1">
        <values cols="10">
          <value t="str">
            <val>3374</val>
          </value>
          <value t="str">
            <val>精材</val>
          </value>
          <value t="str">
            <val>344.6</val>
          </value>
          <value t="str">
            <val>27.14</val>
          </value>
          <value t="str">
            <val>-39.62</val>
          </value>
          <value t="str">
            <val>-37.95</val>
          </value>
          <value t="str">
            <val>2022/03</val>
          </value>
          <value t="str">
            <val>2.66</val>
          </value>
          <value t="str">
            <val>23.26</val>
          </value>
          <value t="str">
            <val>2022/06</val>
          </value>
        </values>
      </ddeItem>
      <ddeItem name="3374.TW-OperatingProfitRatio,Price,PriceChangeRatio,InOutRatioNumber,Value,YearReturn,MonthReturn,WeekReturn,FinanceBalanceDif,ChipsField2" advise="1">
        <values cols="10">
          <value t="str">
            <val>25.89</val>
          </value>
          <value>
            <val>127</val>
          </value>
          <value>
            <val>-1.55</val>
          </value>
          <value t="str">
            <val>49.41%</val>
          </value>
          <value t="str">
            <val>1.67億</val>
          </value>
          <value t="str">
            <val>-21.44</val>
          </value>
          <value t="str">
            <val>+4.10</val>
          </value>
          <value t="str">
            <val>+0.79</val>
          </value>
          <value>
            <val>4</val>
          </value>
          <value>
            <val>-38</val>
          </value>
        </values>
      </ddeItem>
      <ddeItem name="337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0.25</val>
          </value>
          <value>
            <val>2.1</val>
          </value>
          <value t="str">
            <val>-0.15</val>
          </value>
          <value t="str">
            <val>-0.39</val>
          </value>
          <value t="str">
            <val>彬台</val>
          </value>
          <value t="str">
            <val>上櫃電機機械</val>
          </value>
          <value t="str">
            <val>台灣食品飲料機械設備供應大廠</val>
          </value>
        </values>
      </ddeItem>
      <ddeItem name="3379.TW-CName,InvestorConferenceDate,DateofMeetingofShareHolders,TradingDate" advise="1">
        <values cols="4">
          <value t="str">
            <val>彬台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3379.TW-ID,Name,MarketValue,Capital,NetIncomeGrowthRate,OperIncomeGrowthRate,FinancialStatementsTime,TFXRatio,MonthlyNetSalesYoY,RevenueMonth" advise="1">
        <values cols="10">
          <value t="str">
            <val>3379</val>
          </value>
          <value t="str">
            <val>彬台</val>
          </value>
          <value t="str">
            <val>4.5</val>
          </value>
          <value t="str">
            <val>3.80</val>
          </value>
          <value t="str">
            <val>-1382.11</val>
          </value>
          <value t="str">
            <val>-1173.45</val>
          </value>
          <value t="str">
            <val>2022/03</val>
          </value>
          <value t="str">
            <val>477.64</val>
          </value>
          <value t="str">
            <val>39.10</val>
          </value>
          <value t="str">
            <val>2022/06</val>
          </value>
        </values>
      </ddeItem>
      <ddeItem name="3379.TW-OperatingProfitRatio,Price,PriceChangeRatio,InOutRatioNumber,Value,YearReturn,MonthReturn,WeekReturn,FinanceBalanceDif,ChipsField2" advise="1">
        <values cols="10">
          <value t="str">
            <val>-21.02</val>
          </value>
          <value>
            <val>11.9</val>
          </value>
          <value>
            <val>0.42</val>
          </value>
          <value t="str">
            <val>55.79%</val>
          </value>
          <value t="str">
            <val>114萬</val>
          </value>
          <value t="str">
            <val>-7.40</val>
          </value>
          <value t="str">
            <val>+5.78</val>
          </value>
          <value t="str">
            <val>+0.85</val>
          </value>
          <value>
            <val>2</val>
          </value>
          <value>
            <val>0</val>
          </value>
        </values>
      </ddeItem>
      <ddeItem name="33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2022/06/16</val>
          </value>
          <value t="str">
            <val>6.00</val>
          </value>
          <value>
            <val>7.77</val>
          </value>
          <value t="str">
            <val>8.33</val>
          </value>
          <value t="str">
            <val>2.17</val>
          </value>
          <value t="str">
            <val>崇越電</val>
          </value>
          <value t="str">
            <val>上櫃電子零組件</val>
          </value>
          <value t="str">
            <val>台灣矽利光產品專業代理通路商</val>
          </value>
        </values>
      </ddeItem>
      <ddeItem name="3388.TW-CName,InvestorConferenceDate,DateofMeetingofShareHolders,TradingDate" advise="1">
        <values cols="4">
          <value t="str">
            <val>崇越電</val>
          </value>
          <value t="str">
            <val>2022/03/28</val>
          </value>
          <value t="str">
            <val>2022/05/31</val>
          </value>
          <value t="str">
            <val>2022/08/01</val>
          </value>
        </values>
      </ddeItem>
      <ddeItem name="3388.TW-ID,Name,MarketValue,Capital,NetIncomeGrowthRate,OperIncomeGrowthRate,FinancialStatementsTime,TFXRatio,MonthlyNetSalesYoY,RevenueMonth" advise="1">
        <values cols="10">
          <value t="str">
            <val>3388</val>
          </value>
          <value t="str">
            <val>崇越電</val>
          </value>
          <value t="str">
            <val>57.2</val>
          </value>
          <value t="str">
            <val>7.41</val>
          </value>
          <value t="str">
            <val>11.68</val>
          </value>
          <value t="str">
            <val>13.78</val>
          </value>
          <value t="str">
            <val>2022/03</val>
          </value>
          <value t="str">
            <val>5.49</val>
          </value>
          <value t="str">
            <val>7.46</val>
          </value>
          <value t="str">
            <val>2022/06</val>
          </value>
        </values>
      </ddeItem>
      <ddeItem name="3388.TW-OperatingProfitRatio,Price,PriceChangeRatio,InOutRatioNumber,Value,YearReturn,MonthReturn,WeekReturn,FinanceBalanceDif,ChipsField2" advise="1">
        <values cols="10">
          <value t="str">
            <val>8.56</val>
          </value>
          <value>
            <val>77.2</val>
          </value>
          <value>
            <val>0.13</val>
          </value>
          <value t="str">
            <val>10.61%</val>
          </value>
          <value t="str">
            <val>516萬</val>
          </value>
          <value t="str">
            <val>+8.76</val>
          </value>
          <value t="str">
            <val>+4.89</val>
          </value>
          <value t="str">
            <val>0.00</val>
          </value>
          <value>
            <val>0</val>
          </value>
          <value>
            <val>0</val>
          </value>
        </values>
      </ddeItem>
      <ddeItem name="33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170</val>
          </value>
          <value t="str">
            <val>2022/07/14</val>
          </value>
          <value t="str">
            <val>0.38</val>
          </value>
          <value>
            <val>1.58</val>
          </value>
          <value t="str">
            <val>0.84</val>
          </value>
          <value t="str">
            <val>0.36</val>
          </value>
          <value t="str">
            <val>旭軟</val>
          </value>
          <value t="str">
            <val>上櫃電子零組件</val>
          </value>
          <value t="str">
            <val>專攻LCM模組的軟板廠</val>
          </value>
        </values>
      </ddeItem>
      <ddeItem name="3390.TW-CName,InvestorConferenceDate,DateofMeetingofShareHolders,TradingDate" advise="1">
        <values cols="4">
          <value t="str">
            <val>旭軟</val>
          </value>
          <value t="str">
            <val>2021/12/28</val>
          </value>
          <value t="str">
            <val>2022/06/17</val>
          </value>
          <value t="str">
            <val>2022/08/01</val>
          </value>
        </values>
      </ddeItem>
      <ddeItem name="3390.TW-ID,Name,MarketValue,Capital,NetIncomeGrowthRate,OperIncomeGrowthRate,FinancialStatementsTime,TFXRatio,MonthlyNetSalesYoY,RevenueMonth" advise="1">
        <values cols="10">
          <value t="str">
            <val>3390</val>
          </value>
          <value t="str">
            <val>旭軟</val>
          </value>
          <value t="str">
            <val>16.3</val>
          </value>
          <value t="str">
            <val>6.75</val>
          </value>
          <value t="str">
            <val>4252.57</val>
          </value>
          <value t="str">
            <val>-3090.70</val>
          </value>
          <value t="str">
            <val>2022/03</val>
          </value>
          <value t="str">
            <val>2.90</val>
          </value>
          <value t="str">
            <val>31.37</val>
          </value>
          <value t="str">
            <val>2022/06</val>
          </value>
        </values>
      </ddeItem>
      <ddeItem name="3390.TW-OperatingProfitRatio,Price,PriceChangeRatio,InOutRatioNumber,Value,YearReturn,MonthReturn,WeekReturn,FinanceBalanceDif,ChipsField2" advise="1">
        <values cols="10">
          <value t="str">
            <val>-6.91</val>
          </value>
          <value>
            <val>24.1</val>
          </value>
          <value>
            <val>0.21</val>
          </value>
          <value t="str">
            <val>36.97%</val>
          </value>
          <value t="str">
            <val>8290萬</val>
          </value>
          <value t="str">
            <val>+28.81</val>
          </value>
          <value t="str">
            <val>+25.19</val>
          </value>
          <value t="str">
            <val>+6.64</val>
          </value>
          <value>
            <val>572</val>
          </value>
          <value>
            <val>0</val>
          </value>
        </values>
      </ddeItem>
      <ddeItem name="34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110</val>
          </value>
          <value t="str">
            <val>2022/06/23</val>
          </value>
          <value t="str">
            <val>3.00</val>
          </value>
          <value>
            <val>6.29</val>
          </value>
          <value t="str">
            <val>4.38</val>
          </value>
          <value t="str">
            <val>1.19</val>
          </value>
          <value t="str">
            <val>漢科</val>
          </value>
          <value t="str">
            <val>上櫃其他電子</val>
          </value>
          <value t="str">
            <val>專注於特殊氣體輸配工程設備廠商</val>
          </value>
        </values>
      </ddeItem>
      <ddeItem name="3402.TW-CName,InvestorConferenceDate,DateofMeetingofShareHolders,TradingDate" advise="1">
        <values cols="4">
          <value t="str">
            <val>漢科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3402.TW-ID,Name,MarketValue,Capital,NetIncomeGrowthRate,OperIncomeGrowthRate,FinancialStatementsTime,TFXRatio,MonthlyNetSalesYoY,RevenueMonth" advise="1">
        <values cols="10">
          <value t="str">
            <val>3402</val>
          </value>
          <value t="str">
            <val>漢科</val>
          </value>
          <value t="str">
            <val>34.8</val>
          </value>
          <value t="str">
            <val>7.30</val>
          </value>
          <value t="str">
            <val>63.03</val>
          </value>
          <value t="str">
            <val>53.78</val>
          </value>
          <value t="str">
            <val>2022/03</val>
          </value>
          <value t="str">
            <val>17.03</val>
          </value>
          <value t="str">
            <val>63.16</val>
          </value>
          <value t="str">
            <val>2022/06</val>
          </value>
        </values>
      </ddeItem>
      <ddeItem name="3402.TW-OperatingProfitRatio,Price,PriceChangeRatio,InOutRatioNumber,Value,YearReturn,MonthReturn,WeekReturn,FinanceBalanceDif,ChipsField2" advise="1">
        <values cols="10">
          <value t="str">
            <val>10.71</val>
          </value>
          <value>
            <val>47.7</val>
          </value>
          <value>
            <val>0.42</val>
          </value>
          <value t="str">
            <val>55.07%</val>
          </value>
          <value t="str">
            <val>669萬</val>
          </value>
          <value t="str">
            <val>+25.16</val>
          </value>
          <value t="str">
            <val>+18.66</val>
          </value>
          <value t="str">
            <val>+1.92</val>
          </value>
          <value>
            <val>3</val>
          </value>
          <value>
            <val>0</val>
          </value>
        </values>
      </ddeItem>
      <ddeItem name="34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2022/07/22</val>
          </value>
          <value t="str">
            <val>2.00</val>
          </value>
          <value>
            <val>5.38</val>
          </value>
          <value t="str">
            <val>2.61</val>
          </value>
          <value t="str">
            <val>0.49</val>
          </value>
          <value t="str">
            <val>台興</val>
          </value>
          <value t="str">
            <val>上櫃電機機械</val>
          </value>
          <value t="str">
            <val>台灣專業電磁閥製造商</val>
          </value>
        </values>
      </ddeItem>
      <ddeItem name="3426.TW-CName,InvestorConferenceDate,DateofMeetingofShareHolders,TradingDate" advise="1">
        <values cols="4">
          <value t="str">
            <val>台興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3426.TW-ID,Name,MarketValue,Capital,NetIncomeGrowthRate,OperIncomeGrowthRate,FinancialStatementsTime,TFXRatio,MonthlyNetSalesYoY,RevenueMonth" advise="1">
        <values cols="10">
          <value t="str">
            <val>3426</val>
          </value>
          <value t="str">
            <val>台興</val>
          </value>
          <value t="str">
            <val>9.8</val>
          </value>
          <value t="str">
            <val>2.64</val>
          </value>
          <value t="str">
            <val>35.58</val>
          </value>
          <value t="str">
            <val>32.01</val>
          </value>
          <value t="str">
            <val>2022/03</val>
          </value>
          <value t="str">
            <val>-1.43</val>
          </value>
          <value t="str">
            <val>6.32</val>
          </value>
          <value t="str">
            <val>2022/06</val>
          </value>
        </values>
      </ddeItem>
      <ddeItem name="3426.TW-OperatingProfitRatio,Price,PriceChangeRatio,InOutRatioNumber,Value,YearReturn,MonthReturn,WeekReturn,FinanceBalanceDif,ChipsField2" advise="1">
        <values cols="10">
          <value t="str">
            <val>8.08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+2.86</val>
          </value>
          <value t="str">
            <val>+2.69</val>
          </value>
          <value t="str">
            <val>+0.95</val>
          </value>
          <value>
            <val>0</val>
          </value>
          <value>
            <val>-1</val>
          </value>
        </values>
      </ddeItem>
      <ddeItem name="3434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72</val>
          </value>
          <value t="str">
            <val>2022/07/11</val>
          </value>
          <value t="str">
            <val>0.80</val>
          </value>
          <value>
            <val>2.77</val>
          </value>
          <value t="str">
            <val>1.21</val>
          </value>
          <value t="str">
            <val>0.47</val>
          </value>
          <value t="str">
            <val>哲固</val>
          </value>
          <value t="str">
            <val>上櫃光電</val>
          </value>
          <value t="str">
            <val>台灣安全監控顯示器廠商</val>
          </value>
        </values>
      </ddeItem>
      <ddeItem name="3434.TW-CName,InvestorConferenceDate,DateofMeetingofShareHolders,TradingDate" advise="1">
        <values cols="4">
          <value t="str">
            <val>哲固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3434.TW-ID,Name,MarketValue,Capital,NetIncomeGrowthRate,OperIncomeGrowthRate,FinancialStatementsTime,TFXRatio,MonthlyNetSalesYoY,RevenueMonth" advise="1">
        <values cols="10">
          <value t="str">
            <val>3434</val>
          </value>
          <value t="str">
            <val>哲固</val>
          </value>
          <value t="str">
            <val>7.0</val>
          </value>
          <value t="str">
            <val>2.41</val>
          </value>
          <value t="str">
            <val>500.51</val>
          </value>
          <value t="str">
            <val>210.99</val>
          </value>
          <value t="str">
            <val>2022/03</val>
          </value>
          <value t="str">
            <val>2.30</val>
          </value>
          <value t="str">
            <val>-0.29</val>
          </value>
          <value t="str">
            <val>2022/06</val>
          </value>
        </values>
      </ddeItem>
      <ddeItem name="3434.TW-OperatingProfitRatio,Price,PriceChangeRatio,InOutRatioNumber,Value,YearReturn,MonthReturn,WeekReturn,FinanceBalanceDif,ChipsField2" advise="1">
        <values cols="10">
          <value t="str">
            <val>3.86</val>
          </value>
          <value>
            <val>28.9</val>
          </value>
          <value>
            <val>9.89</val>
          </value>
          <value t="str">
            <val>82.21%</val>
          </value>
          <value t="str">
            <val>2094萬</val>
          </value>
          <value t="str">
            <val>+120.48</val>
          </value>
          <value t="str">
            <val>+19.87</val>
          </value>
          <value t="str">
            <val>+12.45</val>
          </value>
          <value>
            <val>-33</val>
          </value>
          <value>
            <val>0</val>
          </value>
        </values>
      </ddeItem>
      <ddeItem name="3438.TW-ChipsField3,ChipsField1,ChipsField25,CashAndStockDividend,CashDividendYieldRate,ProfitFourSeason,ProfitSingle,CName,ExchangeIndustry,CompanyPos" advise="1">
        <values cols="10">
          <value>
            <val>-14</val>
          </value>
          <value>
            <val>-10</val>
          </value>
          <value t="str">
            <val>2022/06/30</val>
          </value>
          <value t="str">
            <val>3.60</val>
          </value>
          <value>
            <val>7.02</val>
          </value>
          <value t="str">
            <val>5.19</val>
          </value>
          <value t="str">
            <val>1.24</val>
          </value>
          <value t="str">
            <val>類比科</val>
          </value>
          <value t="str">
            <val>上櫃半導體</val>
          </value>
          <value t="str">
            <val>台灣面板電源管理IC龍頭</val>
          </value>
        </values>
      </ddeItem>
      <ddeItem name="3438.TW-CName,InvestorConferenceDate,DateofMeetingofShareHolders,TradingDate" advise="1">
        <values cols="4">
          <value t="str">
            <val>類比科</val>
          </value>
          <value t="str">
            <val>--</val>
          </value>
          <value t="str">
            <val>2022/06/01</val>
          </value>
          <value t="str">
            <val>2022/08/01</val>
          </value>
        </values>
      </ddeItem>
      <ddeItem name="3438.TW-ID,Name,MarketValue,Capital,NetIncomeGrowthRate,OperIncomeGrowthRate,FinancialStatementsTime,TFXRatio,MonthlyNetSalesYoY,RevenueMonth" advise="1">
        <values cols="10">
          <value t="str">
            <val>3438</val>
          </value>
          <value t="str">
            <val>類比科</val>
          </value>
          <value t="str">
            <val>24.2</val>
          </value>
          <value t="str">
            <val>4.72</val>
          </value>
          <value t="str">
            <val>3.86</val>
          </value>
          <value t="str">
            <val>-30.16</val>
          </value>
          <value t="str">
            <val>2022/03</val>
          </value>
          <value t="str">
            <val>-20.35</val>
          </value>
          <value t="str">
            <val>-41.84</val>
          </value>
          <value t="str">
            <val>2022/06</val>
          </value>
        </values>
      </ddeItem>
      <ddeItem name="3438.TW-OperatingProfitRatio,Price,PriceChangeRatio,InOutRatioNumber,Value,YearReturn,MonthReturn,WeekReturn,FinanceBalanceDif,ChipsField2" advise="1">
        <values cols="10">
          <value t="str">
            <val>13.56</val>
          </value>
          <value>
            <val>51.3</val>
          </value>
          <value>
            <val>-1.35</val>
          </value>
          <value t="str">
            <val>19.51%</val>
          </value>
          <value t="str">
            <val>641萬</val>
          </value>
          <value t="str">
            <val>-42.79</val>
          </value>
          <value t="str">
            <val>+15.02</val>
          </value>
          <value t="str">
            <val>-4.11</val>
          </value>
          <value>
            <val>10</val>
          </value>
          <value>
            <val>0</val>
          </value>
        </values>
      </ddeItem>
      <ddeItem name="34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364</val>
          </value>
          <value t="str">
            <val>2022/07/08</val>
          </value>
          <value t="str">
            <val>0.50</val>
          </value>
          <value>
            <val>1.23</val>
          </value>
          <value t="str">
            <val>1.26</val>
          </value>
          <value t="str">
            <val>0.65</val>
          </value>
          <value t="str">
            <val>聯一光</val>
          </value>
          <value t="str">
            <val>上櫃光電</val>
          </value>
          <value t="str">
            <val>台灣光學鏡頭上游專業光學毛胚廠</val>
          </value>
        </values>
      </ddeItem>
      <ddeItem name="3441.TW-CName,InvestorConferenceDate,DateofMeetingofShareHolders,TradingDate" advise="1">
        <values cols="4">
          <value t="str">
            <val>聯一光</val>
          </value>
          <value t="str">
            <val>--</val>
          </value>
          <value t="str">
            <val>2022/05/25</val>
          </value>
          <value t="str">
            <val>2022/08/01</val>
          </value>
        </values>
      </ddeItem>
      <ddeItem name="3441.TW-ID,Name,MarketValue,Capital,NetIncomeGrowthRate,OperIncomeGrowthRate,FinancialStatementsTime,TFXRatio,MonthlyNetSalesYoY,RevenueMonth" advise="1">
        <values cols="10">
          <value t="str">
            <val>3441</val>
          </value>
          <value t="str">
            <val>聯一光</val>
          </value>
          <value t="str">
            <val>16.2</val>
          </value>
          <value t="str">
            <val>4.00</val>
          </value>
          <value t="str">
            <val>1672.16</val>
          </value>
          <value t="str">
            <val>773.96</val>
          </value>
          <value t="str">
            <val>2022/03</val>
          </value>
          <value t="str">
            <val>3.15</val>
          </value>
          <value t="str">
            <val>8.94</val>
          </value>
          <value t="str">
            <val>2022/06</val>
          </value>
        </values>
      </ddeItem>
      <ddeItem name="3441.TW-OperatingProfitRatio,Price,PriceChangeRatio,InOutRatioNumber,Value,YearReturn,MonthReturn,WeekReturn,FinanceBalanceDif,ChipsField2" advise="1">
        <values cols="10">
          <value t="str">
            <val>14.00</val>
          </value>
          <value>
            <val>40.549999999999997</val>
          </value>
          <value>
            <val>0</val>
          </value>
          <value t="str">
            <val>33.78%</val>
          </value>
          <value t="str">
            <val>6787萬</val>
          </value>
          <value t="str">
            <val>+8.05</val>
          </value>
          <value t="str">
            <val>+37.24</val>
          </value>
          <value t="str">
            <val>+1.76</val>
          </value>
          <value>
            <val>320</val>
          </value>
          <value>
            <val>0</val>
          </value>
        </values>
      </ddeItem>
      <ddeItem name="34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63</val>
          </value>
          <value t="str">
            <val>2022/07/18</val>
          </value>
          <value t="str">
            <val>2.30</val>
          </value>
          <value>
            <val>3.99</val>
          </value>
          <value t="str">
            <val>4.05</val>
          </value>
          <value t="str">
            <val>1.30</val>
          </value>
          <value t="str">
            <val>利機</val>
          </value>
          <value t="str">
            <val>上櫃電子通路</val>
          </value>
          <value t="str">
            <val>台灣電子材料通路商</val>
          </value>
        </values>
      </ddeItem>
      <ddeItem name="3444.TW-CName,InvestorConferenceDate,DateofMeetingofShareHolders,TradingDate" advise="1">
        <values cols="4">
          <value t="str">
            <val>利機</val>
          </value>
          <value t="str">
            <val>2022/07/13</val>
          </value>
          <value t="str">
            <val>2022/06/15</val>
          </value>
          <value t="str">
            <val>2022/08/01</val>
          </value>
        </values>
      </ddeItem>
      <ddeItem name="3444.TW-ID,Name,MarketValue,Capital,NetIncomeGrowthRate,OperIncomeGrowthRate,FinancialStatementsTime,TFXRatio,MonthlyNetSalesYoY,RevenueMonth" advise="1">
        <values cols="10">
          <value t="str">
            <val>3444</val>
          </value>
          <value t="str">
            <val>利機</val>
          </value>
          <value t="str">
            <val>22.6</val>
          </value>
          <value t="str">
            <val>3.91</val>
          </value>
          <value t="str">
            <val>90.05</val>
          </value>
          <value t="str">
            <val>4.41</val>
          </value>
          <value t="str">
            <val>2022/03</val>
          </value>
          <value t="str">
            <val>-4.32</val>
          </value>
          <value t="str">
            <val>-23.63</val>
          </value>
          <value t="str">
            <val>2022/06</val>
          </value>
        </values>
      </ddeItem>
      <ddeItem name="3444.TW-OperatingProfitRatio,Price,PriceChangeRatio,InOutRatioNumber,Value,YearReturn,MonthReturn,WeekReturn,FinanceBalanceDif,ChipsField2" advise="1">
        <values cols="10">
          <value t="str">
            <val>11.61</val>
          </value>
          <value>
            <val>57.7</val>
          </value>
          <value>
            <val>1.41</val>
          </value>
          <value t="str">
            <val>40.15%</val>
          </value>
          <value t="str">
            <val>792萬</val>
          </value>
          <value t="str">
            <val>+57.59</val>
          </value>
          <value t="str">
            <val>+13.30</val>
          </value>
          <value t="str">
            <val>-0.17</val>
          </value>
          <value>
            <val>-10</val>
          </value>
          <value>
            <val>0</val>
          </value>
        </values>
      </ddeItem>
      <ddeItem name="34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107</val>
          </value>
          <value t="str">
            <val>--</val>
          </value>
          <value t="str">
            <val>5.50</val>
          </value>
          <value>
            <val>6.76</val>
          </value>
          <value t="str">
            <val>8.12</val>
          </value>
          <value t="str">
            <val>1.29</val>
          </value>
          <value t="str">
            <val>由田</val>
          </value>
          <value t="str">
            <val>上櫃光電</val>
          </value>
          <value t="str">
            <val>台灣最大光學檢測設備製造商</val>
          </value>
        </values>
      </ddeItem>
      <ddeItem name="3455.TW-CName,InvestorConferenceDate,DateofMeetingofShareHolders,TradingDate" advise="1">
        <values cols="4">
          <value t="str">
            <val>由田</val>
          </value>
          <value t="str">
            <val>--</val>
          </value>
          <value t="str">
            <val>2022/06/28</val>
          </value>
          <value t="str">
            <val>2022/08/01</val>
          </value>
        </values>
      </ddeItem>
      <ddeItem name="3455.TW-ID,Name,MarketValue,Capital,NetIncomeGrowthRate,OperIncomeGrowthRate,FinancialStatementsTime,TFXRatio,MonthlyNetSalesYoY,RevenueMonth" advise="1">
        <values cols="10">
          <value t="str">
            <val>3455</val>
          </value>
          <value t="str">
            <val>由田</val>
          </value>
          <value t="str">
            <val>48.7</val>
          </value>
          <value t="str">
            <val>5.99</val>
          </value>
          <value t="str">
            <val>90.90</val>
          </value>
          <value t="str">
            <val>11.28</val>
          </value>
          <value t="str">
            <val>2022/03</val>
          </value>
          <value t="str">
            <val>3.16</val>
          </value>
          <value t="str">
            <val>45.30</val>
          </value>
          <value t="str">
            <val>2022/06</val>
          </value>
        </values>
      </ddeItem>
      <ddeItem name="3455.TW-OperatingProfitRatio,Price,PriceChangeRatio,InOutRatioNumber,Value,YearReturn,MonthReturn,WeekReturn,FinanceBalanceDif,ChipsField2" advise="1">
        <values cols="10">
          <value t="str">
            <val>8.59</val>
          </value>
          <value>
            <val>81.400000000000006</val>
          </value>
          <value>
            <val>0.12</val>
          </value>
          <value t="str">
            <val>47.47%</val>
          </value>
          <value t="str">
            <val>824萬</val>
          </value>
          <value t="str">
            <val>+45.46</val>
          </value>
          <value t="str">
            <val>+13.06</val>
          </value>
          <value t="str">
            <val>+1.75</val>
          </value>
          <value>
            <val>-11</val>
          </value>
          <value>
            <val>0</val>
          </value>
        </values>
      </ddeItem>
      <ddeItem name="34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-52</val>
          </value>
          <value t="str">
            <val>2022/04/01</val>
          </value>
          <value t="str">
            <val>4.50</val>
          </value>
          <value>
            <val>8.65</val>
          </value>
          <value t="str">
            <val>13.19</val>
          </value>
          <value t="str">
            <val>1.19</val>
          </value>
          <value t="str">
            <val>進泰電子</val>
          </value>
          <value t="str">
            <val>上櫃電子零組件</val>
          </value>
          <value t="str">
            <val>轉型音響OEM/ODM製造商</val>
          </value>
        </values>
      </ddeItem>
      <ddeItem name="3465.TW-CName,InvestorConferenceDate,DateofMeetingofShareHolders,TradingDate" advise="1">
        <values cols="4">
          <value t="str">
            <val>進泰電子</val>
          </value>
          <value t="str">
            <val>2021/05/06</val>
          </value>
          <value t="str">
            <val>2022/06/23</val>
          </value>
          <value t="str">
            <val>2022/08/01</val>
          </value>
        </values>
      </ddeItem>
      <ddeItem name="3465.TW-ID,Name,MarketValue,Capital,NetIncomeGrowthRate,OperIncomeGrowthRate,FinancialStatementsTime,TFXRatio,MonthlyNetSalesYoY,RevenueMonth" advise="1">
        <values cols="10">
          <value t="str">
            <val>3465</val>
          </value>
          <value t="str">
            <val>進泰電子</val>
          </value>
          <value t="str">
            <val>31.8</val>
          </value>
          <value t="str">
            <val>3.23</val>
          </value>
          <value t="str">
            <val>-77.79</val>
          </value>
          <value t="str">
            <val>-83.43</val>
          </value>
          <value t="str">
            <val>2022/03</val>
          </value>
          <value t="str">
            <val>-8.93</val>
          </value>
          <value t="str">
            <val>-40.43</val>
          </value>
          <value t="str">
            <val>2022/06</val>
          </value>
        </values>
      </ddeItem>
      <ddeItem name="3465.TW-OperatingProfitRatio,Price,PriceChangeRatio,InOutRatioNumber,Value,YearReturn,MonthReturn,WeekReturn,FinanceBalanceDif,ChipsField2" advise="1">
        <values cols="10">
          <value t="str">
            <val>5.84</val>
          </value>
          <value>
            <val>98.3</val>
          </value>
          <value>
            <val>0.51</val>
          </value>
          <value t="str">
            <val>88.31%</val>
          </value>
          <value t="str">
            <val>769萬</val>
          </value>
          <value t="str">
            <val>-42.67</val>
          </value>
          <value t="str">
            <val>-1.70</val>
          </value>
          <value t="str">
            <val>-1.60</val>
          </value>
          <value>
            <val>0</val>
          </value>
          <value>
            <val>0</val>
          </value>
        </values>
      </ddeItem>
      <ddeItem name="346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22</val>
          </value>
          <value t="str">
            <val>--</val>
          </value>
          <value t="str">
            <val>0.00</val>
          </value>
          <value>
            <val>0</val>
          </value>
          <value t="str">
            <val>-1.69</val>
          </value>
          <value t="str">
            <val>-0.36</val>
          </value>
          <value t="str">
            <val>致振</val>
          </value>
          <value t="str">
            <val>上櫃通信網路</val>
          </value>
          <value t="str">
            <val>台灣機上盒製造廠</val>
          </value>
        </values>
      </ddeItem>
      <ddeItem name="3466.TW-CName,InvestorConferenceDate,DateofMeetingofShareHolders,TradingDate" advise="1">
        <values cols="4">
          <value t="str">
            <val>致振</val>
          </value>
          <value t="str">
            <val>--</val>
          </value>
          <value t="str">
            <val>2022/07/28</val>
          </value>
          <value t="str">
            <val>2022/08/01</val>
          </value>
        </values>
      </ddeItem>
      <ddeItem name="3466.TW-ID,Name,MarketValue,Capital,NetIncomeGrowthRate,OperIncomeGrowthRate,FinancialStatementsTime,TFXRatio,MonthlyNetSalesYoY,RevenueMonth" advise="1">
        <values cols="10">
          <value t="str">
            <val>3466</val>
          </value>
          <value t="str">
            <val>致振</val>
          </value>
          <value t="str">
            <val>16.1</val>
          </value>
          <value t="str">
            <val>6.09</val>
          </value>
          <value t="str">
            <val>-1399.64</val>
          </value>
          <value t="str">
            <val>-180.88</val>
          </value>
          <value t="str">
            <val>2022/03</val>
          </value>
          <value t="str">
            <val>-46.80</val>
          </value>
          <value t="str">
            <val>-54.36</val>
          </value>
          <value t="str">
            <val>2022/06</val>
          </value>
        </values>
      </ddeItem>
      <ddeItem name="3466.TW-OperatingProfitRatio,Price,PriceChangeRatio,InOutRatioNumber,Value,YearReturn,MonthReturn,WeekReturn,FinanceBalanceDif,ChipsField2" advise="1">
        <values cols="10">
          <value t="str">
            <val>-37.28</val>
          </value>
          <value>
            <val>26.4</val>
          </value>
          <value>
            <val>1.93</val>
          </value>
          <value t="str">
            <val>58.90%</val>
          </value>
          <value t="str">
            <val>1406萬</val>
          </value>
          <value t="str">
            <val>+116.39</val>
          </value>
          <value t="str">
            <val>+11.16</val>
          </value>
          <value t="str">
            <val>+4.14</val>
          </value>
          <value>
            <val>32</val>
          </value>
          <value>
            <val>0</val>
          </value>
        </values>
      </ddeItem>
      <ddeItem name="347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2022/06/27</val>
          </value>
          <value t="str">
            <val>2.58</val>
          </value>
          <value>
            <val>3.92</val>
          </value>
          <value t="str">
            <val>4.16</val>
          </value>
          <value t="str">
            <val>1.49</val>
          </value>
          <value t="str">
            <val>安勤</val>
          </value>
          <value t="str">
            <val>上櫃電腦及週邊設備</val>
          </value>
          <value t="str">
            <val>仁寶集團旗下工業電腦廠</val>
          </value>
        </values>
      </ddeItem>
      <ddeItem name="3479.TW-CName,InvestorConferenceDate,DateofMeetingofShareHolders,TradingDate" advise="1">
        <values cols="4">
          <value t="str">
            <val>安勤</val>
          </value>
          <value t="str">
            <val>2022/04/07</val>
          </value>
          <value t="str">
            <val>2022/06/24</val>
          </value>
          <value t="str">
            <val>2022/08/01</val>
          </value>
        </values>
      </ddeItem>
      <ddeItem name="3479.TW-ID,Name,MarketValue,Capital,NetIncomeGrowthRate,OperIncomeGrowthRate,FinancialStatementsTime,TFXRatio,MonthlyNetSalesYoY,RevenueMonth" advise="1">
        <values cols="10">
          <value t="str">
            <val>3479</val>
          </value>
          <value t="str">
            <val>安勤</val>
          </value>
          <value t="str">
            <val>46.8</val>
          </value>
          <value t="str">
            <val>7.11</val>
          </value>
          <value t="str">
            <val>399.09</val>
          </value>
          <value t="str">
            <val>288.97</val>
          </value>
          <value t="str">
            <val>2022/03</val>
          </value>
          <value t="str">
            <val>-0.35</val>
          </value>
          <value t="str">
            <val>77.29</val>
          </value>
          <value t="str">
            <val>2022/06</val>
          </value>
        </values>
      </ddeItem>
      <ddeItem name="3479.TW-OperatingProfitRatio,Price,PriceChangeRatio,InOutRatioNumber,Value,YearReturn,MonthReturn,WeekReturn,FinanceBalanceDif,ChipsField2" advise="1">
        <values cols="10">
          <value t="str">
            <val>9.21</val>
          </value>
          <value>
            <val>65.900000000000006</val>
          </value>
          <value>
            <val>1.23</val>
          </value>
          <value t="str">
            <val>68.28%</val>
          </value>
          <value t="str">
            <val>2866萬</val>
          </value>
          <value t="str">
            <val>+26.76</val>
          </value>
          <value t="str">
            <val>+12.07</val>
          </value>
          <value t="str">
            <val>+0.30</val>
          </value>
          <value>
            <val>4</val>
          </value>
          <value>
            <val>0</val>
          </value>
        </values>
      </ddeItem>
      <ddeItem name="3483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56</val>
          </value>
          <value t="str">
            <val>2022/07/22</val>
          </value>
          <value t="str">
            <val>3.00</val>
          </value>
          <value>
            <val>5.15</val>
          </value>
          <value t="str">
            <val>6.53</val>
          </value>
          <value t="str">
            <val>1.74</val>
          </value>
          <value t="str">
            <val>力致</val>
          </value>
          <value t="str">
            <val>上櫃電腦及週邊設備</val>
          </value>
          <value t="str">
            <val>具風扇及熱導管自製能力的散熱廠商</val>
          </value>
        </values>
      </ddeItem>
      <ddeItem name="3483.TW-CName,InvestorConferenceDate,DateofMeetingofShareHolders,TradingDate" advise="1">
        <values cols="4">
          <value t="str">
            <val>力致</val>
          </value>
          <value t="str">
            <val>2022/02/21</val>
          </value>
          <value t="str">
            <val>2022/06/21</val>
          </value>
          <value t="str">
            <val>2022/08/01</val>
          </value>
        </values>
      </ddeItem>
      <ddeItem name="3483.TW-ID,Name,MarketValue,Capital,NetIncomeGrowthRate,OperIncomeGrowthRate,FinancialStatementsTime,TFXRatio,MonthlyNetSalesYoY,RevenueMonth" advise="1">
        <values cols="10">
          <value t="str">
            <val>3483</val>
          </value>
          <value t="str">
            <val>力致</val>
          </value>
          <value t="str">
            <val>45.4</val>
          </value>
          <value t="str">
            <val>7.80</val>
          </value>
          <value t="str">
            <val>172.97</val>
          </value>
          <value t="str">
            <val>69.85</val>
          </value>
          <value t="str">
            <val>2022/03</val>
          </value>
          <value t="str">
            <val>1.88</val>
          </value>
          <value t="str">
            <val>14.84</val>
          </value>
          <value t="str">
            <val>2022/06</val>
          </value>
        </values>
      </ddeItem>
      <ddeItem name="3483.TW-OperatingProfitRatio,Price,PriceChangeRatio,InOutRatioNumber,Value,YearReturn,MonthReturn,WeekReturn,FinanceBalanceDif,ChipsField2" advise="1">
        <values cols="10">
          <value t="str">
            <val>6.06</val>
          </value>
          <value>
            <val>58.2</val>
          </value>
          <value>
            <val>-0.17</val>
          </value>
          <value t="str">
            <val>27.84%</val>
          </value>
          <value t="str">
            <val>1030萬</val>
          </value>
          <value t="str">
            <val>-29.12</val>
          </value>
          <value t="str">
            <val>+9.91</val>
          </value>
          <value t="str">
            <val>-0.85</val>
          </value>
          <value>
            <val>6</val>
          </value>
          <value>
            <val>0</val>
          </value>
        </values>
      </ddeItem>
      <ddeItem name="3484.TW-ChipsField3,ChipsField1,ChipsField25,CashAndStockDividend,CashDividendYieldRate,ProfitFourSeason,ProfitSingle,CName,ExchangeIndustry,CompanyPos" advise="1">
        <values cols="10">
          <value>
            <val>32</val>
          </value>
          <value>
            <val>43</val>
          </value>
          <value t="str">
            <val>--</val>
          </value>
          <value t="str">
            <val>4.10</val>
          </value>
          <value>
            <val>6.95</val>
          </value>
          <value t="str">
            <val>7.48</val>
          </value>
          <value t="str">
            <val>1.53</val>
          </value>
          <value t="str">
            <val>崧騰</val>
          </value>
          <value t="str">
            <val>上櫃電子零組件</val>
          </value>
          <value t="str">
            <val>全球第三大工具機開關領導廠商</val>
          </value>
        </values>
      </ddeItem>
      <ddeItem name="3484.TW-CName,InvestorConferenceDate,DateofMeetingofShareHolders,TradingDate" advise="1">
        <values cols="4">
          <value t="str">
            <val>崧騰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3484.TW-ID,Name,MarketValue,Capital,NetIncomeGrowthRate,OperIncomeGrowthRate,FinancialStatementsTime,TFXRatio,MonthlyNetSalesYoY,RevenueMonth" advise="1">
        <values cols="10">
          <value t="str">
            <val>3484</val>
          </value>
          <value t="str">
            <val>崧騰</val>
          </value>
          <value t="str">
            <val>41.1</val>
          </value>
          <value t="str">
            <val>6.97</val>
          </value>
          <value t="str">
            <val>-31.32</val>
          </value>
          <value t="str">
            <val>-39.52</val>
          </value>
          <value t="str">
            <val>2022/03</val>
          </value>
          <value t="str">
            <val>-1.52</val>
          </value>
          <value t="str">
            <val>-11.05</val>
          </value>
          <value t="str">
            <val>2022/06</val>
          </value>
        </values>
      </ddeItem>
      <ddeItem name="3484.TW-OperatingProfitRatio,Price,PriceChangeRatio,InOutRatioNumber,Value,YearReturn,MonthReturn,WeekReturn,FinanceBalanceDif,ChipsField2" advise="1">
        <values cols="10">
          <value t="str">
            <val>6.71</val>
          </value>
          <value>
            <val>59</val>
          </value>
          <value>
            <val>5.92</val>
          </value>
          <value t="str">
            <val>61.43%</val>
          </value>
          <value t="str">
            <val>4739萬</val>
          </value>
          <value t="str">
            <val>-19.90</val>
          </value>
          <value t="str">
            <val>+18.00</val>
          </value>
          <value t="str">
            <val>+7.66</val>
          </value>
          <value>
            <val>-9</val>
          </value>
          <value>
            <val>0</val>
          </value>
        </values>
      </ddeItem>
      <ddeItem name="34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2022/08/04</val>
          </value>
          <value t="str">
            <val>0.50</val>
          </value>
          <value>
            <val>4.8499999999999996</val>
          </value>
          <value t="str">
            <val>0.32</val>
          </value>
          <value t="str">
            <val>-0.09</val>
          </value>
          <value t="str">
            <val>森寶</val>
          </value>
          <value t="str">
            <val>上櫃建材營造</val>
          </value>
          <value t="str">
            <val>轉型為營建商，推案集中在新北市地區</val>
          </value>
        </values>
      </ddeItem>
      <ddeItem name="3489.TW-CName,InvestorConferenceDate,DateofMeetingofShareHolders,TradingDate" advise="1">
        <values cols="4">
          <value t="str">
            <val>森寶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3489.TW-ID,Name,MarketValue,Capital,NetIncomeGrowthRate,OperIncomeGrowthRate,FinancialStatementsTime,TFXRatio,MonthlyNetSalesYoY,RevenueMonth" advise="1">
        <values cols="10">
          <value t="str">
            <val>3489</val>
          </value>
          <value t="str">
            <val>森寶</val>
          </value>
          <value t="str">
            <val>8.6</val>
          </value>
          <value t="str">
            <val>8.31</val>
          </value>
          <value t="str">
            <val>-153.21</val>
          </value>
          <value t="str">
            <val>-126.79</val>
          </value>
          <value t="str">
            <val>2022/03</val>
          </value>
          <value t="str">
            <val>-3.29</val>
          </value>
          <value t="str">
            <val>-49.29</val>
          </value>
          <value t="str">
            <val>2022/06</val>
          </value>
        </values>
      </ddeItem>
      <ddeItem name="3489.TW-OperatingProfitRatio,Price,PriceChangeRatio,InOutRatioNumber,Value,YearReturn,MonthReturn,WeekReturn,FinanceBalanceDif,ChipsField2" advise="1">
        <values cols="10">
          <value t="str">
            <val>-1.67</val>
          </value>
          <value>
            <val>10.3</val>
          </value>
          <value>
            <val>0.49</val>
          </value>
          <value t="str">
            <val>71.43%</val>
          </value>
          <value t="str">
            <val>38.0萬</val>
          </value>
          <value t="str">
            <val>-3.25</val>
          </value>
          <value t="str">
            <val>+5.21</val>
          </value>
          <value t="str">
            <val>+4.57</val>
          </value>
          <value>
            <val>0</val>
          </value>
          <value>
            <val>0</val>
          </value>
        </values>
      </ddeItem>
      <ddeItem name="34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</val>
          </value>
          <value t="str">
            <val>2022/07/15</val>
          </value>
          <value t="str">
            <val>1.20</val>
          </value>
          <value>
            <val>5.15</val>
          </value>
          <value t="str">
            <val>2.74</val>
          </value>
          <value t="str">
            <val>0.76</val>
          </value>
          <value t="str">
            <val>單井</val>
          </value>
          <value t="str">
            <val>上櫃光電</val>
          </value>
          <value t="str">
            <val>台灣半導體封裝模具、自動化設備及太陽能系統安裝廠商</val>
          </value>
        </values>
      </ddeItem>
      <ddeItem name="3490.TW-CName,InvestorConferenceDate,DateofMeetingofShareHolders,TradingDate" advise="1">
        <values cols="4">
          <value t="str">
            <val>單井</val>
          </value>
          <value t="str">
            <val>--</val>
          </value>
          <value t="str">
            <val>2022/06/20</val>
          </value>
          <value t="str">
            <val>2022/08/01</val>
          </value>
        </values>
      </ddeItem>
      <ddeItem name="3490.TW-ID,Name,MarketValue,Capital,NetIncomeGrowthRate,OperIncomeGrowthRate,FinancialStatementsTime,TFXRatio,MonthlyNetSalesYoY,RevenueMonth" advise="1">
        <values cols="10">
          <value t="str">
            <val>3490</val>
          </value>
          <value t="str">
            <val>單井</val>
          </value>
          <value t="str">
            <val>13.3</val>
          </value>
          <value t="str">
            <val>5.70</val>
          </value>
          <value t="str">
            <val>280.57</val>
          </value>
          <value t="str">
            <val>323.84</val>
          </value>
          <value t="str">
            <val>2022/03</val>
          </value>
          <value t="str">
            <val>-6.39</val>
          </value>
          <value t="str">
            <val>-15.00</val>
          </value>
          <value t="str">
            <val>2022/06</val>
          </value>
        </values>
      </ddeItem>
      <ddeItem name="3490.TW-OperatingProfitRatio,Price,PriceChangeRatio,InOutRatioNumber,Value,YearReturn,MonthReturn,WeekReturn,FinanceBalanceDif,ChipsField2" advise="1">
        <values cols="10">
          <value t="str">
            <val>27.26</val>
          </value>
          <value>
            <val>23.3</val>
          </value>
          <value>
            <val>-0.43</val>
          </value>
          <value t="str">
            <val>45.28%</val>
          </value>
          <value t="str">
            <val>250萬</val>
          </value>
          <value t="str">
            <val>-8.72</val>
          </value>
          <value t="str">
            <val>+6.38</val>
          </value>
          <value t="str">
            <val>-1.27</val>
          </value>
          <value>
            <val>-9</val>
          </value>
          <value>
            <val>0</val>
          </value>
        </values>
      </ddeItem>
      <ddeItem name="3491.TW-ChipsField3,ChipsField1,ChipsField25,CashAndStockDividend,CashDividendYieldRate,ProfitFourSeason,ProfitSingle,CName,ExchangeIndustry,CompanyPos" advise="1">
        <values cols="10">
          <value>
            <val>-138</val>
          </value>
          <value>
            <val>-226</val>
          </value>
          <value t="str">
            <val>2022/07/05</val>
          </value>
          <value t="str">
            <val>4.00</val>
          </value>
          <value>
            <val>2.48</val>
          </value>
          <value t="str">
            <val>4.07</val>
          </value>
          <value t="str">
            <val>0.71</val>
          </value>
          <value t="str">
            <val>昇達科</val>
          </value>
          <value t="str">
            <val>上櫃通信網路</val>
          </value>
          <value t="str">
            <val>台灣微波及毫米波元件廠商</val>
          </value>
        </values>
      </ddeItem>
      <ddeItem name="3491.TW-CName,InvestorConferenceDate,DateofMeetingofShareHolders,TradingDate" advise="1">
        <values cols="4">
          <value t="str">
            <val>昇達科</val>
          </value>
          <value t="str">
            <val>2022/07/12</val>
          </value>
          <value t="str">
            <val>2022/06/15</val>
          </value>
          <value t="str">
            <val>2022/08/01</val>
          </value>
        </values>
      </ddeItem>
      <ddeItem name="3491.TW-ID,Name,MarketValue,Capital,NetIncomeGrowthRate,OperIncomeGrowthRate,FinancialStatementsTime,TFXRatio,MonthlyNetSalesYoY,RevenueMonth" advise="1">
        <values cols="10">
          <value t="str">
            <val>3491</val>
          </value>
          <value t="str">
            <val>昇達科</val>
          </value>
          <value t="str">
            <val>100.4</val>
          </value>
          <value t="str">
            <val>6.22</val>
          </value>
          <value t="str">
            <val>38.79</val>
          </value>
          <value t="str">
            <val>31.79</val>
          </value>
          <value t="str">
            <val>2022/03</val>
          </value>
          <value t="str">
            <val>22.17</val>
          </value>
          <value t="str">
            <val>54.47</val>
          </value>
          <value t="str">
            <val>2022/06</val>
          </value>
        </values>
      </ddeItem>
      <ddeItem name="3491.TW-OperatingProfitRatio,Price,PriceChangeRatio,InOutRatioNumber,Value,YearReturn,MonthReturn,WeekReturn,FinanceBalanceDif,ChipsField2" advise="1">
        <values cols="10">
          <value t="str">
            <val>11.24</val>
          </value>
          <value>
            <val>161.5</val>
          </value>
          <value>
            <val>0.31</val>
          </value>
          <value t="str">
            <val>55.80%</val>
          </value>
          <value t="str">
            <val>13.7億</val>
          </value>
          <value t="str">
            <val>+145.31</val>
          </value>
          <value t="str">
            <val>+18.80</val>
          </value>
          <value t="str">
            <val>+4.53</val>
          </value>
          <value>
            <val>-226</val>
          </value>
          <value>
            <val>228</val>
          </value>
        </values>
      </ddeItem>
      <ddeItem name="34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2022/07/13</val>
          </value>
          <value t="str">
            <val>0.30</val>
          </value>
          <value>
            <val>1.76</val>
          </value>
          <value t="str">
            <val>0.26</val>
          </value>
          <value t="str">
            <val>0.19</val>
          </value>
          <value t="str">
            <val>長盛</val>
          </value>
          <value t="str">
            <val>上櫃電子零組件</val>
          </value>
          <value t="str">
            <val>台灣連接器與線組製造商</val>
          </value>
        </values>
      </ddeItem>
      <ddeItem name="3492.TW-CName,InvestorConferenceDate,DateofMeetingofShareHolders,TradingDate" advise="1">
        <values cols="4">
          <value t="str">
            <val>長盛</val>
          </value>
          <value t="str">
            <val>2021/04/12</val>
          </value>
          <value t="str">
            <val>2022/06/20</val>
          </value>
          <value t="str">
            <val>2022/08/01</val>
          </value>
        </values>
      </ddeItem>
      <ddeItem name="3492.TW-ID,Name,MarketValue,Capital,NetIncomeGrowthRate,OperIncomeGrowthRate,FinancialStatementsTime,TFXRatio,MonthlyNetSalesYoY,RevenueMonth" advise="1">
        <values cols="10">
          <value t="str">
            <val>3492</val>
          </value>
          <value t="str">
            <val>長盛</val>
          </value>
          <value t="str">
            <val>6.0</val>
          </value>
          <value t="str">
            <val>3.55</val>
          </value>
          <value t="str">
            <val>-55.47</val>
          </value>
          <value t="str">
            <val>-125.28</val>
          </value>
          <value t="str">
            <val>2022/03</val>
          </value>
          <value t="str">
            <val>-8.26</val>
          </value>
          <value t="str">
            <val>27.59</val>
          </value>
          <value t="str">
            <val>2022/06</val>
          </value>
        </values>
      </ddeItem>
      <ddeItem name="3492.TW-OperatingProfitRatio,Price,PriceChangeRatio,InOutRatioNumber,Value,YearReturn,MonthReturn,WeekReturn,FinanceBalanceDif,ChipsField2" advise="1">
        <values cols="10">
          <value t="str">
            <val>-3.20</val>
          </value>
          <value>
            <val>17</val>
          </value>
          <value>
            <val>0.28999999999999998</val>
          </value>
          <value t="str">
            <val>35.71%</val>
          </value>
          <value t="str">
            <val>23.7萬</val>
          </value>
          <value t="str">
            <val>-8.86</val>
          </value>
          <value t="str">
            <val>+5.59</val>
          </value>
          <value t="str">
            <val>+1.80</val>
          </value>
          <value>
            <val>-4</val>
          </value>
          <value>
            <val>0</val>
          </value>
        </values>
      </ddeItem>
      <ddeItem name="349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18</val>
          </value>
          <value t="str">
            <val>--</val>
          </value>
          <value t="str">
            <val>0.00</val>
          </value>
          <value>
            <val>0</val>
          </value>
          <value t="str">
            <val>-0.25</val>
          </value>
          <value t="str">
            <val>-0.02</val>
          </value>
          <value t="str">
            <val>陽程</val>
          </value>
          <value t="str">
            <val>上櫃其他電子</val>
          </value>
          <value t="str">
            <val>台灣PCB暨CCL、環境工程及物流等自動化設備廠</val>
          </value>
        </values>
      </ddeItem>
      <ddeItem name="3498.TW-CName,InvestorConferenceDate,DateofMeetingofShareHolders,TradingDate" advise="1">
        <values cols="4">
          <value t="str">
            <val>陽程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3498.TW-ID,Name,MarketValue,Capital,NetIncomeGrowthRate,OperIncomeGrowthRate,FinancialStatementsTime,TFXRatio,MonthlyNetSalesYoY,RevenueMonth" advise="1">
        <values cols="10">
          <value t="str">
            <val>3498</val>
          </value>
          <value t="str">
            <val>陽程</val>
          </value>
          <value t="str">
            <val>16.4</val>
          </value>
          <value t="str">
            <val>6.29</val>
          </value>
          <value t="str">
            <val>-105.33</val>
          </value>
          <value t="str">
            <val>-251.84</val>
          </value>
          <value t="str">
            <val>2022/03</val>
          </value>
          <value t="str">
            <val>12.23</val>
          </value>
          <value t="str">
            <val>-50.69</val>
          </value>
          <value t="str">
            <val>2022/06</val>
          </value>
        </values>
      </ddeItem>
      <ddeItem name="3498.TW-OperatingProfitRatio,Price,PriceChangeRatio,InOutRatioNumber,Value,YearReturn,MonthReturn,WeekReturn,FinanceBalanceDif,ChipsField2" advise="1">
        <values cols="10">
          <value t="str">
            <val>-10.65</val>
          </value>
          <value>
            <val>26.15</val>
          </value>
          <value>
            <val>-2.61</val>
          </value>
          <value t="str">
            <val>18.75%</val>
          </value>
          <value t="str">
            <val>963萬</val>
          </value>
          <value t="str">
            <val>-29.99</val>
          </value>
          <value t="str">
            <val>+15.45</val>
          </value>
          <value t="str">
            <val>+6.09</val>
          </value>
          <value>
            <val>78</val>
          </value>
          <value>
            <val>0</val>
          </value>
        </values>
      </ddeItem>
      <ddeItem name="34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54</val>
          </value>
          <value t="str">
            <val>--</val>
          </value>
          <value t="str">
            <val>0.00</val>
          </value>
          <value>
            <val>0</val>
          </value>
          <value t="str">
            <val>0.05</val>
          </value>
          <value t="str">
            <val>-0.03</val>
          </value>
          <value t="str">
            <val>環天科</val>
          </value>
          <value t="str">
            <val>上櫃通信網路</val>
          </value>
          <value t="str">
            <val>台灣GPS相關應用製造業者</val>
          </value>
        </values>
      </ddeItem>
      <ddeItem name="3499.TW-CName,InvestorConferenceDate,DateofMeetingofShareHolders,TradingDate" advise="1">
        <values cols="4">
          <value t="str">
            <val>環天科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3499.TW-ID,Name,MarketValue,Capital,NetIncomeGrowthRate,OperIncomeGrowthRate,FinancialStatementsTime,TFXRatio,MonthlyNetSalesYoY,RevenueMonth" advise="1">
        <values cols="10">
          <value t="str">
            <val>3499</val>
          </value>
          <value t="str">
            <val>環天科</val>
          </value>
          <value t="str">
            <val>10.3</val>
          </value>
          <value t="str">
            <val>5.50</val>
          </value>
          <value t="str">
            <val>90.00</val>
          </value>
          <value t="str">
            <val>39.67</val>
          </value>
          <value t="str">
            <val>2022/03</val>
          </value>
          <value t="str">
            <val>-17.33</val>
          </value>
          <value t="str">
            <val>-54.38</val>
          </value>
          <value t="str">
            <val>2022/06</val>
          </value>
        </values>
      </ddeItem>
      <ddeItem name="3499.TW-OperatingProfitRatio,Price,PriceChangeRatio,InOutRatioNumber,Value,YearReturn,MonthReturn,WeekReturn,FinanceBalanceDif,ChipsField2" advise="1">
        <values cols="10">
          <value t="str">
            <val>-15.08</val>
          </value>
          <value>
            <val>18.7</val>
          </value>
          <value>
            <val>10</val>
          </value>
          <value t="str">
            <val>90.19%</val>
          </value>
          <value t="str">
            <val>2259萬</val>
          </value>
          <value t="str">
            <val>+35.02</val>
          </value>
          <value t="str">
            <val>+11.98</val>
          </value>
          <value t="str">
            <val>+9.04</val>
          </value>
          <value>
            <val>35</val>
          </value>
          <value>
            <val>0</val>
          </value>
        </values>
      </ddeItem>
      <ddeItem name="35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-673</val>
          </value>
          <value t="str">
            <val>--</val>
          </value>
          <value t="str">
            <val>0.00</val>
          </value>
          <value>
            <val>0</val>
          </value>
          <value t="str">
            <val>-1.15</val>
          </value>
          <value t="str">
            <val>-0.41</val>
          </value>
          <value t="str">
            <val>位速</val>
          </value>
          <value t="str">
            <val>上櫃其他電子</val>
          </value>
          <value t="str">
            <val>手機外殼電鍍、濺鍍與塗裝之表面處理專業廠</val>
          </value>
        </values>
      </ddeItem>
      <ddeItem name="3508.TW-CName,InvestorConferenceDate,DateofMeetingofShareHolders,TradingDate" advise="1">
        <values cols="4">
          <value t="str">
            <val>位速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3508.TW-ID,Name,MarketValue,Capital,NetIncomeGrowthRate,OperIncomeGrowthRate,FinancialStatementsTime,TFXRatio,MonthlyNetSalesYoY,RevenueMonth" advise="1">
        <values cols="10">
          <value t="str">
            <val>3508</val>
          </value>
          <value t="str">
            <val>位速</val>
          </value>
          <value t="str">
            <val>46.0</val>
          </value>
          <value t="str">
            <val>10.21</val>
          </value>
          <value t="str">
            <val>-119.25</val>
          </value>
          <value t="str">
            <val>32.51</val>
          </value>
          <value t="str">
            <val>2022/03</val>
          </value>
          <value t="str">
            <val>76.40</val>
          </value>
          <value t="str">
            <val>59.24</val>
          </value>
          <value t="str">
            <val>2022/06</val>
          </value>
        </values>
      </ddeItem>
      <ddeItem name="3508.TW-OperatingProfitRatio,Price,PriceChangeRatio,InOutRatioNumber,Value,YearReturn,MonthReturn,WeekReturn,FinanceBalanceDif,ChipsField2" advise="1">
        <values cols="10">
          <value t="str">
            <val>-15.60</val>
          </value>
          <value>
            <val>45.05</val>
          </value>
          <value>
            <val>-0.11</val>
          </value>
          <value t="str">
            <val>54.72%</val>
          </value>
          <value t="str">
            <val>5.79億</val>
          </value>
          <value t="str">
            <val>+105.71</val>
          </value>
          <value t="str">
            <val>+19.34</val>
          </value>
          <value t="str">
            <val>-1.53</val>
          </value>
          <value>
            <val>-163</val>
          </value>
          <value>
            <val>0</val>
          </value>
        </values>
      </ddeItem>
      <ddeItem name="3511.TW-ChipsField3,ChipsField1,ChipsField25,CashAndStockDividend,CashDividendYieldRate,ProfitFourSeason,ProfitSingle,CName,ExchangeIndustry,CompanyPos" advise="1">
        <values cols="10">
          <value>
            <val>-31</val>
          </value>
          <value>
            <val>-302</val>
          </value>
          <value t="str">
            <val>2022/07/04</val>
          </value>
          <value t="str">
            <val>1.00</val>
          </value>
          <value>
            <val>3</val>
          </value>
          <value t="str">
            <val>2.44</val>
          </value>
          <value t="str">
            <val>0.86</val>
          </value>
          <value t="str">
            <val>矽瑪</val>
          </value>
          <value t="str">
            <val>上櫃電子零組件</val>
          </value>
          <value t="str">
            <val>台灣唯一有能力生產手機防水耳機連接器廠商</val>
          </value>
        </values>
      </ddeItem>
      <ddeItem name="3511.TW-CName,InvestorConferenceDate,DateofMeetingofShareHolders,TradingDate" advise="1">
        <values cols="4">
          <value t="str">
            <val>矽瑪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3511.TW-ID,Name,MarketValue,Capital,NetIncomeGrowthRate,OperIncomeGrowthRate,FinancialStatementsTime,TFXRatio,MonthlyNetSalesYoY,RevenueMonth" advise="1">
        <values cols="10">
          <value t="str">
            <val>3511</val>
          </value>
          <value t="str">
            <val>矽瑪</val>
          </value>
          <value t="str">
            <val>26.6</val>
          </value>
          <value t="str">
            <val>8.00</val>
          </value>
          <value t="str">
            <val>559.24</val>
          </value>
          <value t="str">
            <val>329.85</val>
          </value>
          <value t="str">
            <val>2022/06</val>
          </value>
          <value t="str">
            <val>1.64</val>
          </value>
          <value t="str">
            <val>25.00</val>
          </value>
          <value t="str">
            <val>2022/06</val>
          </value>
        </values>
      </ddeItem>
      <ddeItem name="3511.TW-OperatingProfitRatio,Price,PriceChangeRatio,InOutRatioNumber,Value,YearReturn,MonthReturn,WeekReturn,FinanceBalanceDif,ChipsField2" advise="1">
        <values cols="10">
          <value t="str">
            <val>9.72</val>
          </value>
          <value>
            <val>33.299999999999997</val>
          </value>
          <value>
            <val>-1.04</val>
          </value>
          <value t="str">
            <val>52.91%</val>
          </value>
          <value t="str">
            <val>1387萬</val>
          </value>
          <value t="str">
            <val>-21.66</val>
          </value>
          <value t="str">
            <val>+25.19</val>
          </value>
          <value t="str">
            <val>+5.05</val>
          </value>
          <value>
            <val>321</val>
          </value>
          <value>
            <val>0</val>
          </value>
        </values>
      </ddeItem>
      <ddeItem name="35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2022/07/13</val>
          </value>
          <value t="str">
            <val>3.00</val>
          </value>
          <value>
            <val>9.9</val>
          </value>
          <value t="str">
            <val>4.54</val>
          </value>
          <value t="str">
            <val>1.59</val>
          </value>
          <value t="str">
            <val>皇龍</val>
          </value>
          <value t="str">
            <val>上櫃電子零組件,上櫃建材營造</val>
          </value>
          <value t="str">
            <val>從事營建事業及散熱片設計製造</val>
          </value>
        </values>
      </ddeItem>
      <ddeItem name="3512.TW-CName,InvestorConferenceDate,DateofMeetingofShareHolders,TradingDate" advise="1">
        <values cols="4">
          <value t="str">
            <val>皇龍</val>
          </value>
          <value t="str">
            <val>2021/08/27</val>
          </value>
          <value t="str">
            <val>2022/06/15</val>
          </value>
          <value t="str">
            <val>2022/08/01</val>
          </value>
        </values>
      </ddeItem>
      <ddeItem name="3512.TW-ID,Name,MarketValue,Capital,NetIncomeGrowthRate,OperIncomeGrowthRate,FinancialStatementsTime,TFXRatio,MonthlyNetSalesYoY,RevenueMonth" advise="1">
        <values cols="10">
          <value t="str">
            <val>3512</val>
          </value>
          <value t="str">
            <val>皇龍</val>
          </value>
          <value t="str">
            <val>25.5</val>
          </value>
          <value t="str">
            <val>8.40</val>
          </value>
          <value t="str">
            <val>89.33</val>
          </value>
          <value t="str">
            <val>137.27</val>
          </value>
          <value t="str">
            <val>2022/03</val>
          </value>
          <value t="str">
            <val>-4.17</val>
          </value>
          <value t="str">
            <val>45.68</val>
          </value>
          <value t="str">
            <val>2022/06</val>
          </value>
        </values>
      </ddeItem>
      <ddeItem name="3512.TW-OperatingProfitRatio,Price,PriceChangeRatio,InOutRatioNumber,Value,YearReturn,MonthReturn,WeekReturn,FinanceBalanceDif,ChipsField2" advise="1">
        <values cols="10">
          <value t="str">
            <val>23.62</val>
          </value>
          <value>
            <val>30.3</val>
          </value>
          <value>
            <val>0</val>
          </value>
          <value t="str">
            <val>34.55%</val>
          </value>
          <value t="str">
            <val>170萬</val>
          </value>
          <value t="str">
            <val>+9.48</val>
          </value>
          <value t="str">
            <val>+2.06</val>
          </value>
          <value t="str">
            <val>+0.17</val>
          </value>
          <value>
            <val>-10</val>
          </value>
          <value>
            <val>0</val>
          </value>
        </values>
      </ddeItem>
      <ddeItem name="35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2022/07/07</val>
          </value>
          <value t="str">
            <val>0.20</val>
          </value>
          <value>
            <val>1.26</val>
          </value>
          <value t="str">
            <val>1.26</val>
          </value>
          <value t="str">
            <val>0.29</val>
          </value>
          <value t="str">
            <val>亞帝歐</val>
          </value>
          <value t="str">
            <val>上櫃光電</val>
          </value>
          <value t="str">
            <val>台灣連接線材及LED照明廠商</val>
          </value>
        </values>
      </ddeItem>
      <ddeItem name="3516.TW-CName,InvestorConferenceDate,DateofMeetingofShareHolders,TradingDate" advise="1">
        <values cols="4">
          <value t="str">
            <val>亞帝歐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3516.TW-ID,Name,MarketValue,Capital,NetIncomeGrowthRate,OperIncomeGrowthRate,FinancialStatementsTime,TFXRatio,MonthlyNetSalesYoY,RevenueMonth" advise="1">
        <values cols="10">
          <value t="str">
            <val>3516</val>
          </value>
          <value t="str">
            <val>亞帝歐</val>
          </value>
          <value t="str">
            <val>8.0</val>
          </value>
          <value t="str">
            <val>5.06</val>
          </value>
          <value t="str">
            <val>351.01</val>
          </value>
          <value t="str">
            <val>104.24</val>
          </value>
          <value t="str">
            <val>2022/03</val>
          </value>
          <value t="str">
            <val>11.51</val>
          </value>
          <value t="str">
            <val>-57.95</val>
          </value>
          <value t="str">
            <val>2022/06</val>
          </value>
        </values>
      </ddeItem>
      <ddeItem name="3516.TW-OperatingProfitRatio,Price,PriceChangeRatio,InOutRatioNumber,Value,YearReturn,MonthReturn,WeekReturn,FinanceBalanceDif,ChipsField2" advise="1">
        <values cols="10">
          <value t="str">
            <val>0.22</val>
          </value>
          <value>
            <val>15.85</val>
          </value>
          <value>
            <val>0</val>
          </value>
          <value t="str">
            <val>36.84%</val>
          </value>
          <value t="str">
            <val>90.2萬</val>
          </value>
          <value t="str">
            <val>-5.16</val>
          </value>
          <value t="str">
            <val>+1.94</val>
          </value>
          <value t="str">
            <val>+1.93</val>
          </value>
          <value>
            <val>7</val>
          </value>
          <value>
            <val>0</val>
          </value>
        </values>
      </ddeItem>
      <ddeItem name="35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863</val>
          </value>
          <value t="str">
            <val>--</val>
          </value>
          <value t="str">
            <val>0.00</val>
          </value>
          <value>
            <val>0</val>
          </value>
          <value t="str">
            <val>1.47</val>
          </value>
          <value t="str">
            <val>0.90</val>
          </value>
          <value t="str">
            <val>華盈</val>
          </value>
          <value t="str">
            <val>上櫃電子零組件</val>
          </value>
          <value t="str">
            <val>台灣連接線材及網通資安設備供應商</val>
          </value>
        </values>
      </ddeItem>
      <ddeItem name="3520.TW-CName,InvestorConferenceDate,DateofMeetingofShareHolders,TradingDate" advise="1">
        <values cols="4">
          <value t="str">
            <val>華盈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3520.TW-ID,Name,MarketValue,Capital,NetIncomeGrowthRate,OperIncomeGrowthRate,FinancialStatementsTime,TFXRatio,MonthlyNetSalesYoY,RevenueMonth" advise="1">
        <values cols="10">
          <value t="str">
            <val>3520</val>
          </value>
          <value t="str">
            <val>華盈</val>
          </value>
          <value t="str">
            <val>11.9</val>
          </value>
          <value t="str">
            <val>6.88</val>
          </value>
          <value t="str">
            <val>763.98</val>
          </value>
          <value t="str">
            <val>87.80</val>
          </value>
          <value t="str">
            <val>2022/03</val>
          </value>
          <value t="str">
            <val>-15.36</val>
          </value>
          <value t="str">
            <val>34.26</val>
          </value>
          <value t="str">
            <val>2022/06</val>
          </value>
        </values>
      </ddeItem>
      <ddeItem name="3520.TW-OperatingProfitRatio,Price,PriceChangeRatio,InOutRatioNumber,Value,YearReturn,MonthReturn,WeekReturn,FinanceBalanceDif,ChipsField2" advise="1">
        <values cols="10">
          <value t="str">
            <val>-0.58</val>
          </value>
          <value>
            <val>17.25</val>
          </value>
          <value>
            <val>-1.1499999999999999</val>
          </value>
          <value t="str">
            <val>34.65%</val>
          </value>
          <value t="str">
            <val>6373萬</val>
          </value>
          <value t="str">
            <val>+34.77</val>
          </value>
          <value t="str">
            <val>+22.34</val>
          </value>
          <value t="str">
            <val>-0.29</val>
          </value>
          <value>
            <val>-6</val>
          </value>
          <value>
            <val>0</val>
          </value>
        </values>
      </ddeItem>
      <ddeItem name="35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80</val>
          </value>
          <value t="str">
            <val>--</val>
          </value>
          <value t="str">
            <val>0.00</val>
          </value>
          <value>
            <val>0</val>
          </value>
          <value t="str">
            <val>-2.03</val>
          </value>
          <value t="str">
            <val>-0.34</val>
          </value>
          <value t="str">
            <val>鴻翊</val>
          </value>
          <value t="str">
            <val>上櫃電腦及週邊設備</val>
          </value>
          <value t="str">
            <val>台灣POS硬體系統服務製造商</val>
          </value>
        </values>
      </ddeItem>
      <ddeItem name="3521.TW-CName,InvestorConferenceDate,DateofMeetingofShareHolders,TradingDate" advise="1">
        <values cols="4">
          <value t="str">
            <val>鴻翊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3521.TW-ID,Name,MarketValue,Capital,NetIncomeGrowthRate,OperIncomeGrowthRate,FinancialStatementsTime,TFXRatio,MonthlyNetSalesYoY,RevenueMonth" advise="1">
        <values cols="10">
          <value t="str">
            <val>3521</val>
          </value>
          <value t="str">
            <val>鴻翊</val>
          </value>
          <value t="str">
            <val>7.6</val>
          </value>
          <value t="str">
            <val>4.73</val>
          </value>
          <value t="str">
            <val>-7195.83</val>
          </value>
          <value t="str">
            <val>-1647.12</val>
          </value>
          <value t="str">
            <val>2022/03</val>
          </value>
          <value t="str">
            <val>16.64</val>
          </value>
          <value t="str">
            <val>175.45</val>
          </value>
          <value t="str">
            <val>2022/06</val>
          </value>
        </values>
      </ddeItem>
      <ddeItem name="3521.TW-OperatingProfitRatio,Price,PriceChangeRatio,InOutRatioNumber,Value,YearReturn,MonthReturn,WeekReturn,FinanceBalanceDif,ChipsField2" advise="1">
        <values cols="10">
          <value t="str">
            <val>-22.94</val>
          </value>
          <value>
            <val>16</val>
          </value>
          <value>
            <val>-2.14</val>
          </value>
          <value t="str">
            <val>30.01%</val>
          </value>
          <value t="str">
            <val>3578萬</val>
          </value>
          <value t="str">
            <val>+33.89</val>
          </value>
          <value t="str">
            <val>+19.40</val>
          </value>
          <value t="str">
            <val>+3.90</val>
          </value>
          <value>
            <val>-25</val>
          </value>
          <value>
            <val>0</val>
          </value>
        </values>
      </ddeItem>
      <ddeItem name="352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--</val>
          </value>
          <value t="str">
            <val>0.00</val>
          </value>
          <value>
            <val>0</val>
          </value>
          <value t="str">
            <val>-5.62</val>
          </value>
          <value t="str">
            <val>0.57</val>
          </value>
          <value t="str">
            <val>御頂</val>
          </value>
          <value t="str">
            <val>上櫃觀光</val>
          </value>
          <value t="str">
            <val>連鎖餐飲事業，擁有頂鮮餐廳及晶宴會館</val>
          </value>
        </values>
      </ddeItem>
      <ddeItem name="3522.TW-CName,InvestorConferenceDate,DateofMeetingofShareHolders,TradingDate" advise="1">
        <values cols="4">
          <value t="str">
            <val>御頂</val>
          </value>
          <value t="str">
            <val>--</val>
          </value>
          <value t="str">
            <val>2022/05/23</val>
          </value>
          <value t="str">
            <val>2022/08/01</val>
          </value>
        </values>
      </ddeItem>
      <ddeItem name="3522.TW-ID,Name,MarketValue,Capital,NetIncomeGrowthRate,OperIncomeGrowthRate,FinancialStatementsTime,TFXRatio,MonthlyNetSalesYoY,RevenueMonth" advise="1">
        <values cols="10">
          <value t="str">
            <val>3522</val>
          </value>
          <value t="str">
            <val>御頂</val>
          </value>
          <value t="str">
            <val>6.9</val>
          </value>
          <value t="str">
            <val>7.11</val>
          </value>
          <value t="str">
            <val>223.81</val>
          </value>
          <value t="str">
            <val>15.05</val>
          </value>
          <value t="str">
            <val>2022/03</val>
          </value>
          <value t="str">
            <val>-18.03</val>
          </value>
          <value t="str">
            <val>437.21</val>
          </value>
          <value t="str">
            <val>2022/06</val>
          </value>
        </values>
      </ddeItem>
      <ddeItem name="3522.TW-OperatingProfitRatio,Price,PriceChangeRatio,InOutRatioNumber,Value,YearReturn,MonthReturn,WeekReturn,FinanceBalanceDif,ChipsField2" advise="1">
        <values cols="10">
          <value t="str">
            <val>-17.09</val>
          </value>
          <value>
            <val>9.7100000000000009</val>
          </value>
          <value>
            <val>-0.72</val>
          </value>
          <value t="str">
            <val>17.39%</val>
          </value>
          <value t="str">
            <val>44.7萬</val>
          </value>
          <value t="str">
            <val>-24.14</val>
          </value>
          <value t="str">
            <val>-3.86</val>
          </value>
          <value t="str">
            <val>-1.92</val>
          </value>
          <value>
            <val>0</val>
          </value>
          <value>
            <val>0</val>
          </value>
        </values>
      </ddeItem>
      <ddeItem name="35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-1.64</val>
          </value>
          <value t="str">
            <val>-0.45</val>
          </value>
          <value t="str">
            <val>迎輝</val>
          </value>
          <value t="str">
            <val>上櫃光電</val>
          </value>
          <value t="str">
            <val>轉型為3D電影銀幕製造、量子點膜以及工控ITO導電膜</val>
          </value>
        </values>
      </ddeItem>
      <ddeItem name="3523.TW-CName,InvestorConferenceDate,DateofMeetingofShareHolders,TradingDate" advise="1">
        <values cols="4">
          <value t="str">
            <val>迎輝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3523.TW-ID,Name,MarketValue,Capital,NetIncomeGrowthRate,OperIncomeGrowthRate,FinancialStatementsTime,TFXRatio,MonthlyNetSalesYoY,RevenueMonth" advise="1">
        <values cols="10">
          <value t="str">
            <val>3523</val>
          </value>
          <value t="str">
            <val>迎輝</val>
          </value>
          <value t="str">
            <val>6.6</val>
          </value>
          <value t="str">
            <val>6.18</val>
          </value>
          <value t="str">
            <val>3.71</val>
          </value>
          <value t="str">
            <val>13.38</val>
          </value>
          <value t="str">
            <val>2022/03</val>
          </value>
          <value t="str">
            <val>-8.71</val>
          </value>
          <value t="str">
            <val>-58.98</val>
          </value>
          <value t="str">
            <val>2022/06</val>
          </value>
        </values>
      </ddeItem>
      <ddeItem name="3523.TW-OperatingProfitRatio,Price,PriceChangeRatio,InOutRatioNumber,Value,YearReturn,MonthReturn,WeekReturn,FinanceBalanceDif,ChipsField2" advise="1">
        <values cols="10">
          <value t="str">
            <val>-58.21</val>
          </value>
          <value>
            <val>10.7</val>
          </value>
          <value>
            <val>-2.2799999999999998</val>
          </value>
          <value t="str">
            <val>0.00%</val>
          </value>
          <value t="str">
            <val>44.7萬</val>
          </value>
          <value t="str">
            <val>-28.27</val>
          </value>
          <value t="str">
            <val>-2.73</val>
          </value>
          <value t="str">
            <val>+1.42</val>
          </value>
          <value>
            <val>0</val>
          </value>
          <value>
            <val>0</val>
          </value>
        </values>
      </ddeItem>
      <ddeItem name="3526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7</val>
          </value>
          <value t="str">
            <val>2022/07/25</val>
          </value>
          <value t="str">
            <val>11.08</val>
          </value>
          <value>
            <val>7.41</val>
          </value>
          <value t="str">
            <val>11.73</val>
          </value>
          <value t="str">
            <val>2.64</val>
          </value>
          <value t="str">
            <val>凡甲</val>
          </value>
          <value t="str">
            <val>上櫃電子零組件</val>
          </value>
          <value t="str">
            <val>以NB為主要應用的連接器廠</val>
          </value>
        </values>
      </ddeItem>
      <ddeItem name="3526.TW-CName,InvestorConferenceDate,DateofMeetingofShareHolders,TradingDate" advise="1">
        <values cols="4">
          <value t="str">
            <val>凡甲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3526.TW-ID,Name,MarketValue,Capital,NetIncomeGrowthRate,OperIncomeGrowthRate,FinancialStatementsTime,TFXRatio,MonthlyNetSalesYoY,RevenueMonth" advise="1">
        <values cols="10">
          <value t="str">
            <val>3526</val>
          </value>
          <value t="str">
            <val>凡甲</val>
          </value>
          <value t="str">
            <val>88.1</val>
          </value>
          <value t="str">
            <val>5.90</val>
          </value>
          <value t="str">
            <val>23.84</val>
          </value>
          <value t="str">
            <val>26.07</val>
          </value>
          <value t="str">
            <val>2022/03</val>
          </value>
          <value t="str">
            <val>29.39</val>
          </value>
          <value t="str">
            <val>-9.26</val>
          </value>
          <value t="str">
            <val>2022/06</val>
          </value>
        </values>
      </ddeItem>
      <ddeItem name="3526.TW-OperatingProfitRatio,Price,PriceChangeRatio,InOutRatioNumber,Value,YearReturn,MonthReturn,WeekReturn,FinanceBalanceDif,ChipsField2" advise="1">
        <values cols="10">
          <value t="str">
            <val>26.54</val>
          </value>
          <value>
            <val>149.5</val>
          </value>
          <value>
            <val>-0.99</val>
          </value>
          <value t="str">
            <val>38.82%</val>
          </value>
          <value t="str">
            <val>3676萬</val>
          </value>
          <value t="str">
            <val>-13.11</val>
          </value>
          <value t="str">
            <val>+21.12</val>
          </value>
          <value t="str">
            <val>+6.79</val>
          </value>
          <value>
            <val>-27</val>
          </value>
          <value>
            <val>172</val>
          </value>
        </values>
      </ddeItem>
      <ddeItem name="3527.TW-ChipsField3,ChipsField1,ChipsField25,CashAndStockDividend,CashDividendYieldRate,ProfitFourSeason,ProfitSingle,CName,ExchangeIndustry,CompanyPos" advise="1">
        <values cols="10">
          <value>
            <val>45</val>
          </value>
          <value>
            <val>-121</val>
          </value>
          <value t="str">
            <val>2022/07/06</val>
          </value>
          <value t="str">
            <val>8.00</val>
          </value>
          <value>
            <val>6.78</val>
          </value>
          <value t="str">
            <val>14.91</val>
          </value>
          <value t="str">
            <val>2.92</val>
          </value>
          <value t="str">
            <val>聚積</val>
          </value>
          <value t="str">
            <val>上櫃半導體</val>
          </value>
          <value t="str">
            <val>全球LED顯示屏驅動IC設計龍頭廠</val>
          </value>
        </values>
      </ddeItem>
      <ddeItem name="3527.TW-CName,InvestorConferenceDate,DateofMeetingofShareHolders,TradingDate" advise="1">
        <values cols="4">
          <value t="str">
            <val>聚積</val>
          </value>
          <value t="str">
            <val>2021/08/10</val>
          </value>
          <value t="str">
            <val>2022/06/15</val>
          </value>
          <value t="str">
            <val>2022/08/01</val>
          </value>
        </values>
      </ddeItem>
      <ddeItem name="3527.TW-ID,Name,MarketValue,Capital,NetIncomeGrowthRate,OperIncomeGrowthRate,FinancialStatementsTime,TFXRatio,MonthlyNetSalesYoY,RevenueMonth" advise="1">
        <values cols="10">
          <value t="str">
            <val>3527</val>
          </value>
          <value t="str">
            <val>聚積</val>
          </value>
          <value t="str">
            <val>52.4</val>
          </value>
          <value t="str">
            <val>4.44</val>
          </value>
          <value t="str">
            <val>312.77</val>
          </value>
          <value t="str">
            <val>445.43</val>
          </value>
          <value t="str">
            <val>2022/03</val>
          </value>
          <value t="str">
            <val>-15.07</val>
          </value>
          <value t="str">
            <val>-27.11</val>
          </value>
          <value t="str">
            <val>2022/06</val>
          </value>
        </values>
      </ddeItem>
      <ddeItem name="3527.TW-OperatingProfitRatio,Price,PriceChangeRatio,InOutRatioNumber,Value,YearReturn,MonthReturn,WeekReturn,FinanceBalanceDif,ChipsField2" advise="1">
        <values cols="10">
          <value t="str">
            <val>17.95</val>
          </value>
          <value>
            <val>118</val>
          </value>
          <value>
            <val>-2.0699999999999998</val>
          </value>
          <value t="str">
            <val>29.61%</val>
          </value>
          <value t="str">
            <val>4420萬</val>
          </value>
          <value t="str">
            <val>-18.45</val>
          </value>
          <value t="str">
            <val>+14.55</val>
          </value>
          <value t="str">
            <val>+3.51</val>
          </value>
          <value>
            <val>-3</val>
          </value>
          <value>
            <val>0</val>
          </value>
        </values>
      </ddeItem>
      <ddeItem name="3529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138</val>
          </value>
          <value t="str">
            <val>2022/06/30</val>
          </value>
          <value t="str">
            <val>14.00</val>
          </value>
          <value>
            <val>1.27</val>
          </value>
          <value t="str">
            <val>17.97</val>
          </value>
          <value t="str">
            <val>5.48</val>
          </value>
          <value t="str">
            <val>力旺</val>
          </value>
          <value t="str">
            <val>上櫃半導體</val>
          </value>
          <value t="str">
            <val>全球嵌入式非揮發性記憶體矽智財(eNVM IP)領導廠</val>
          </value>
        </values>
      </ddeItem>
      <ddeItem name="3529.TW-CName,InvestorConferenceDate,DateofMeetingofShareHolders,TradingDate" advise="1">
        <values cols="4">
          <value t="str">
            <val>力旺</val>
          </value>
          <value t="str">
            <val>2022/08/10</val>
          </value>
          <value t="str">
            <val>2022/06/15</val>
          </value>
          <value t="str">
            <val>2022/08/01</val>
          </value>
        </values>
      </ddeItem>
      <ddeItem name="3529.TW-ID,Name,MarketValue,Capital,NetIncomeGrowthRate,OperIncomeGrowthRate,FinancialStatementsTime,TFXRatio,MonthlyNetSalesYoY,RevenueMonth" advise="1">
        <values cols="10">
          <value t="str">
            <val>3529</val>
          </value>
          <value t="str">
            <val>力旺</val>
          </value>
          <value t="str">
            <val>841.2</val>
          </value>
          <value t="str">
            <val>7.61</val>
          </value>
          <value t="str">
            <val>44.74</val>
          </value>
          <value t="str">
            <val>40.77</val>
          </value>
          <value t="str">
            <val>2022/06</val>
          </value>
          <value t="str">
            <val>-61.92</val>
          </value>
          <value t="str">
            <val>55.36</val>
          </value>
          <value t="str">
            <val>2022/06</val>
          </value>
        </values>
      </ddeItem>
      <ddeItem name="3529.TW-OperatingProfitRatio,Price,PriceChangeRatio,InOutRatioNumber,Value,YearReturn,MonthReturn,WeekReturn,FinanceBalanceDif,ChipsField2" advise="1">
        <values cols="10">
          <value t="str">
            <val>57.33</val>
          </value>
          <value>
            <val>1105</val>
          </value>
          <value>
            <val>-6.75</val>
          </value>
          <value t="str">
            <val>41.41%</val>
          </value>
          <value t="str">
            <val>13.6億</val>
          </value>
          <value t="str">
            <val>-14.62</val>
          </value>
          <value t="str">
            <val>+15.10</val>
          </value>
          <value t="str">
            <val>-4.74</val>
          </value>
          <value>
            <val>-52</val>
          </value>
          <value>
            <val>-1</val>
          </value>
        </values>
      </ddeItem>
      <ddeItem name="35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2022/07/27</val>
          </value>
          <value t="str">
            <val>1.20</val>
          </value>
          <value>
            <val>5.44</val>
          </value>
          <value t="str">
            <val>1.92</val>
          </value>
          <value t="str">
            <val>0.65</val>
          </value>
          <value t="str">
            <val>先益</val>
          </value>
          <value t="str">
            <val>上櫃光電</val>
          </value>
          <value t="str">
            <val>LED中小尺寸背光模組專業製造廠</val>
          </value>
        </values>
      </ddeItem>
      <ddeItem name="3531.TW-CName,InvestorConferenceDate,DateofMeetingofShareHolders,TradingDate" advise="1">
        <values cols="4">
          <value t="str">
            <val>先益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3531.TW-ID,Name,MarketValue,Capital,NetIncomeGrowthRate,OperIncomeGrowthRate,FinancialStatementsTime,TFXRatio,MonthlyNetSalesYoY,RevenueMonth" advise="1">
        <values cols="10">
          <value t="str">
            <val>3531</val>
          </value>
          <value t="str">
            <val>先益</val>
          </value>
          <value t="str">
            <val>13.5</val>
          </value>
          <value t="str">
            <val>6.12</val>
          </value>
          <value t="str">
            <val>777.69</val>
          </value>
          <value t="str">
            <val>106.17</val>
          </value>
          <value t="str">
            <val>2022/03</val>
          </value>
          <value t="str">
            <val>-2.33</val>
          </value>
          <value t="str">
            <val>27.24</val>
          </value>
          <value t="str">
            <val>2022/06</val>
          </value>
        </values>
      </ddeItem>
      <ddeItem name="3531.TW-OperatingProfitRatio,Price,PriceChangeRatio,InOutRatioNumber,Value,YearReturn,MonthReturn,WeekReturn,FinanceBalanceDif,ChipsField2" advise="1">
        <values cols="10">
          <value t="str">
            <val>1.58</val>
          </value>
          <value>
            <val>22.05</val>
          </value>
          <value>
            <val>-0.45</val>
          </value>
          <value t="str">
            <val>4.00%</val>
          </value>
          <value t="str">
            <val>110萬</val>
          </value>
          <value t="str">
            <val>+4.89</val>
          </value>
          <value t="str">
            <val>+6.43</val>
          </value>
          <value t="str">
            <val>+0.24</val>
          </value>
          <value>
            <val>-2</val>
          </value>
          <value>
            <val>0</val>
          </value>
        </values>
      </ddeItem>
      <ddeItem name="353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-12</val>
          </value>
          <value t="str">
            <val>2022/07/19</val>
          </value>
          <value t="str">
            <val>3.50</val>
          </value>
          <value>
            <val>10.43</val>
          </value>
          <value t="str">
            <val>4.36</val>
          </value>
          <value t="str">
            <val>1.57</val>
          </value>
          <value t="str">
            <val>堡達</val>
          </value>
          <value t="str">
            <val>上櫃電子零組件</val>
          </value>
          <value t="str">
            <val>主要為Panasonic被動元件代理通路商</val>
          </value>
        </values>
      </ddeItem>
      <ddeItem name="3537.TW-CName,InvestorConferenceDate,DateofMeetingofShareHolders,TradingDate" advise="1">
        <values cols="4">
          <value t="str">
            <val>堡達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3537.TW-ID,Name,MarketValue,Capital,NetIncomeGrowthRate,OperIncomeGrowthRate,FinancialStatementsTime,TFXRatio,MonthlyNetSalesYoY,RevenueMonth" advise="1">
        <values cols="10">
          <value t="str">
            <val>3537</val>
          </value>
          <value t="str">
            <val>堡達</val>
          </value>
          <value t="str">
            <val>18.0</val>
          </value>
          <value t="str">
            <val>5.36</val>
          </value>
          <value t="str">
            <val>33.59</val>
          </value>
          <value t="str">
            <val>-13.37</val>
          </value>
          <value t="str">
            <val>2022/03</val>
          </value>
          <value t="str">
            <val>-23.63</val>
          </value>
          <value t="str">
            <val>-15.79</val>
          </value>
          <value t="str">
            <val>2022/06</val>
          </value>
        </values>
      </ddeItem>
      <ddeItem name="3537.TW-OperatingProfitRatio,Price,PriceChangeRatio,InOutRatioNumber,Value,YearReturn,MonthReturn,WeekReturn,FinanceBalanceDif,ChipsField2" advise="1">
        <values cols="10">
          <value t="str">
            <val>7.34</val>
          </value>
          <value>
            <val>33.549999999999997</val>
          </value>
          <value>
            <val>0.75</val>
          </value>
          <value t="str">
            <val>54.72%</val>
          </value>
          <value t="str">
            <val>177萬</val>
          </value>
          <value t="str">
            <val>+2.56</val>
          </value>
          <value t="str">
            <val>+0.07</val>
          </value>
          <value t="str">
            <val>+0.15</val>
          </value>
          <value>
            <val>-7</val>
          </value>
          <value>
            <val>0</val>
          </value>
        </values>
      </ddeItem>
      <ddeItem name="35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67</val>
          </value>
          <value t="str">
            <val>2022/07/04</val>
          </value>
          <value t="str">
            <val>1.60</val>
          </value>
          <value>
            <val>6.13</val>
          </value>
          <value t="str">
            <val>0.74</val>
          </value>
          <value t="str">
            <val>-0.34</val>
          </value>
          <value t="str">
            <val>曜越</val>
          </value>
          <value t="str">
            <val>上櫃電腦及週邊設備</val>
          </value>
          <value t="str">
            <val>專攻Clone遊戲玩家市場之電競週邊設備製造商</val>
          </value>
        </values>
      </ddeItem>
      <ddeItem name="3540.TW-CName,InvestorConferenceDate,DateofMeetingofShareHolders,TradingDate" advise="1">
        <values cols="4">
          <value t="str">
            <val>曜越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3540.TW-ID,Name,MarketValue,Capital,NetIncomeGrowthRate,OperIncomeGrowthRate,FinancialStatementsTime,TFXRatio,MonthlyNetSalesYoY,RevenueMonth" advise="1">
        <values cols="10">
          <value t="str">
            <val>3540</val>
          </value>
          <value t="str">
            <val>曜越</val>
          </value>
          <value t="str">
            <val>19.1</val>
          </value>
          <value t="str">
            <val>7.31</val>
          </value>
          <value t="str">
            <val>-116.03</val>
          </value>
          <value t="str">
            <val>-133.59</val>
          </value>
          <value t="str">
            <val>2022/03</val>
          </value>
          <value t="str">
            <val>34.29</val>
          </value>
          <value t="str">
            <val>7.92</val>
          </value>
          <value t="str">
            <val>2022/06</val>
          </value>
        </values>
      </ddeItem>
      <ddeItem name="3540.TW-OperatingProfitRatio,Price,PriceChangeRatio,InOutRatioNumber,Value,YearReturn,MonthReturn,WeekReturn,FinanceBalanceDif,ChipsField2" advise="1">
        <values cols="10">
          <value t="str">
            <val>-8.92</val>
          </value>
          <value>
            <val>26.1</val>
          </value>
          <value>
            <val>0.57999999999999996</val>
          </value>
          <value t="str">
            <val>40.62%</val>
          </value>
          <value t="str">
            <val>166萬</val>
          </value>
          <value t="str">
            <val>-42.31</val>
          </value>
          <value t="str">
            <val>+17.04</val>
          </value>
          <value t="str">
            <val>-0.19</val>
          </value>
          <value>
            <val>8</val>
          </value>
          <value>
            <val>0</val>
          </value>
        </values>
      </ddeItem>
      <ddeItem name="35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2022/06/29</val>
          </value>
          <value t="str">
            <val>3.03</val>
          </value>
          <value>
            <val>4.9400000000000004</val>
          </value>
          <value t="str">
            <val>4.62</val>
          </value>
          <value t="str">
            <val>1.77</val>
          </value>
          <value t="str">
            <val>西柏</val>
          </value>
          <value t="str">
            <val>上櫃其他電子</val>
          </value>
          <value t="str">
            <val>台灣最大智慧型影音訊號解決方案商</val>
          </value>
        </values>
      </ddeItem>
      <ddeItem name="3541.TW-CName,InvestorConferenceDate,DateofMeetingofShareHolders,TradingDate" advise="1">
        <values cols="4">
          <value t="str">
            <val>西柏</val>
          </value>
          <value t="str">
            <val>2022/02/09</val>
          </value>
          <value t="str">
            <val>2022/06/22</val>
          </value>
          <value t="str">
            <val>2022/08/01</val>
          </value>
        </values>
      </ddeItem>
      <ddeItem name="3541.TW-ID,Name,MarketValue,Capital,NetIncomeGrowthRate,OperIncomeGrowthRate,FinancialStatementsTime,TFXRatio,MonthlyNetSalesYoY,RevenueMonth" advise="1">
        <values cols="10">
          <value t="str">
            <val>3541</val>
          </value>
          <value t="str">
            <val>西柏</val>
          </value>
          <value t="str">
            <val>34.8</val>
          </value>
          <value t="str">
            <val>5.68</val>
          </value>
          <value t="str">
            <val>231.75</val>
          </value>
          <value t="str">
            <val>143.52</val>
          </value>
          <value t="str">
            <val>2022/03</val>
          </value>
          <value t="str">
            <val>1.30</val>
          </value>
          <value t="str">
            <val>36.58</val>
          </value>
          <value t="str">
            <val>2022/06</val>
          </value>
        </values>
      </ddeItem>
      <ddeItem name="3541.TW-OperatingProfitRatio,Price,PriceChangeRatio,InOutRatioNumber,Value,YearReturn,MonthReturn,WeekReturn,FinanceBalanceDif,ChipsField2" advise="1">
        <values cols="10">
          <value t="str">
            <val>21.63</val>
          </value>
          <value>
            <val>61.3</val>
          </value>
          <value>
            <val>0</val>
          </value>
          <value t="str">
            <val>60.00%</val>
          </value>
          <value t="str">
            <val>339萬</val>
          </value>
          <value t="str">
            <val>+32.90</val>
          </value>
          <value t="str">
            <val>+10.85</val>
          </value>
          <value t="str">
            <val>-1.61</val>
          </value>
          <value>
            <val>2</val>
          </value>
          <value>
            <val>0</val>
          </value>
        </values>
      </ddeItem>
      <ddeItem name="35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2022/07/15</val>
          </value>
          <value t="str">
            <val>5.00</val>
          </value>
          <value>
            <val>7.27</val>
          </value>
          <value t="str">
            <val>5.81</val>
          </value>
          <value t="str">
            <val>0.91</val>
          </value>
          <value t="str">
            <val>宇峻</val>
          </value>
          <value t="str">
            <val>上櫃文化創意</val>
          </value>
          <value t="str">
            <val>台灣知名線上遊戲開發商</val>
          </value>
        </values>
      </ddeItem>
      <ddeItem name="3546.TW-CName,InvestorConferenceDate,DateofMeetingofShareHolders,TradingDate" advise="1">
        <values cols="4">
          <value t="str">
            <val>宇峻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3546.TW-ID,Name,MarketValue,Capital,NetIncomeGrowthRate,OperIncomeGrowthRate,FinancialStatementsTime,TFXRatio,MonthlyNetSalesYoY,RevenueMonth" advise="1">
        <values cols="10">
          <value t="str">
            <val>3546</val>
          </value>
          <value t="str">
            <val>宇峻</val>
          </value>
          <value t="str">
            <val>33.1</val>
          </value>
          <value t="str">
            <val>4.82</val>
          </value>
          <value t="str">
            <val>-22.93</val>
          </value>
          <value t="str">
            <val>-52.22</val>
          </value>
          <value t="str">
            <val>2022/03</val>
          </value>
          <value t="str">
            <val>-22.33</val>
          </value>
          <value t="str">
            <val>-31.13</val>
          </value>
          <value t="str">
            <val>2022/06</val>
          </value>
        </values>
      </ddeItem>
      <ddeItem name="3546.TW-OperatingProfitRatio,Price,PriceChangeRatio,InOutRatioNumber,Value,YearReturn,MonthReturn,WeekReturn,FinanceBalanceDif,ChipsField2" advise="1">
        <values cols="10">
          <value t="str">
            <val>8.28</val>
          </value>
          <value>
            <val>68.8</val>
          </value>
          <value>
            <val>0.44</val>
          </value>
          <value t="str">
            <val>52.78%</val>
          </value>
          <value t="str">
            <val>254萬</val>
          </value>
          <value t="str">
            <val>-11.89</val>
          </value>
          <value t="str">
            <val>+1.15</val>
          </value>
          <value t="str">
            <val>-0.58</val>
          </value>
          <value>
            <val>-3</val>
          </value>
          <value>
            <val>0</val>
          </value>
        </values>
      </ddeItem>
      <ddeItem name="3548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88</val>
          </value>
          <value t="str">
            <val>2022/07/14</val>
          </value>
          <value t="str">
            <val>2.00</val>
          </value>
          <value>
            <val>3.29</val>
          </value>
          <value t="str">
            <val>5.79</val>
          </value>
          <value t="str">
            <val>2.71</val>
          </value>
          <value t="str">
            <val>兆利</val>
          </value>
          <value t="str">
            <val>上櫃電子零組件</val>
          </value>
          <value t="str">
            <val>全球前三大NB樞紐生產商</val>
          </value>
        </values>
      </ddeItem>
      <ddeItem name="3548.TW-CName,InvestorConferenceDate,DateofMeetingofShareHolders,TradingDate" advise="1">
        <values cols="4">
          <value t="str">
            <val>兆利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3548.TW-ID,Name,MarketValue,Capital,NetIncomeGrowthRate,OperIncomeGrowthRate,FinancialStatementsTime,TFXRatio,MonthlyNetSalesYoY,RevenueMonth" advise="1">
        <values cols="10">
          <value t="str">
            <val>3548</val>
          </value>
          <value t="str">
            <val>兆利</val>
          </value>
          <value t="str">
            <val>36.6</val>
          </value>
          <value t="str">
            <val>6.01</val>
          </value>
          <value t="str">
            <val>160.54</val>
          </value>
          <value t="str">
            <val>320.37</val>
          </value>
          <value t="str">
            <val>2022/03</val>
          </value>
          <value t="str">
            <val>34.23</val>
          </value>
          <value t="str">
            <val>-3.65</val>
          </value>
          <value t="str">
            <val>2022/06</val>
          </value>
        </values>
      </ddeItem>
      <ddeItem name="3548.TW-OperatingProfitRatio,Price,PriceChangeRatio,InOutRatioNumber,Value,YearReturn,MonthReturn,WeekReturn,FinanceBalanceDif,ChipsField2" advise="1">
        <values cols="10">
          <value t="str">
            <val>9.08</val>
          </value>
          <value>
            <val>60.8</val>
          </value>
          <value>
            <val>0.66</val>
          </value>
          <value t="str">
            <val>50.85%</val>
          </value>
          <value t="str">
            <val>364萬</val>
          </value>
          <value t="str">
            <val>-8.82</val>
          </value>
          <value t="str">
            <val>+7.12</val>
          </value>
          <value t="str">
            <val>+1.67</val>
          </value>
          <value>
            <val>6</val>
          </value>
          <value>
            <val>0</val>
          </value>
        </values>
      </ddeItem>
      <ddeItem name="3551.TW-ChipsField3,ChipsField1,ChipsField25,CashAndStockDividend,CashDividendYieldRate,ProfitFourSeason,ProfitSingle,CName,ExchangeIndustry,CompanyPos" advise="1">
        <values cols="10">
          <value>
            <val>-18</val>
          </value>
          <value>
            <val>29</val>
          </value>
          <value t="str">
            <val>2022/07/25</val>
          </value>
          <value t="str">
            <val>3.50</val>
          </value>
          <value>
            <val>6.22</val>
          </value>
          <value t="str">
            <val>7.34</val>
          </value>
          <value t="str">
            <val>1.62</val>
          </value>
          <value t="str">
            <val>世禾</val>
          </value>
          <value t="str">
            <val>上櫃其他電子</val>
          </value>
          <value t="str">
            <val>台灣半導體與光電設備清洗龍頭廠</val>
          </value>
        </values>
      </ddeItem>
      <ddeItem name="3551.TW-CName,InvestorConferenceDate,DateofMeetingofShareHolders,TradingDate" advise="1">
        <values cols="4">
          <value t="str">
            <val>世禾</val>
          </value>
          <value t="str">
            <val>2021/11/25</val>
          </value>
          <value t="str">
            <val>2022/06/22</val>
          </value>
          <value t="str">
            <val>2022/08/01</val>
          </value>
        </values>
      </ddeItem>
      <ddeItem name="3551.TW-ID,Name,MarketValue,Capital,NetIncomeGrowthRate,OperIncomeGrowthRate,FinancialStatementsTime,TFXRatio,MonthlyNetSalesYoY,RevenueMonth" advise="1">
        <values cols="10">
          <value t="str">
            <val>3551</val>
          </value>
          <value t="str">
            <val>世禾</val>
          </value>
          <value t="str">
            <val>32.0</val>
          </value>
          <value t="str">
            <val>5.68</val>
          </value>
          <value t="str">
            <val>12.46</val>
          </value>
          <value t="str">
            <val>19.88</val>
          </value>
          <value t="str">
            <val>2022/03</val>
          </value>
          <value t="str">
            <val>2.31</val>
          </value>
          <value t="str">
            <val>16.47</val>
          </value>
          <value t="str">
            <val>2022/06</val>
          </value>
        </values>
      </ddeItem>
      <ddeItem name="3551.TW-OperatingProfitRatio,Price,PriceChangeRatio,InOutRatioNumber,Value,YearReturn,MonthReturn,WeekReturn,FinanceBalanceDif,ChipsField2" advise="1">
        <values cols="10">
          <value t="str">
            <val>18.23</val>
          </value>
          <value>
            <val>56.3</val>
          </value>
          <value>
            <val>0.72</val>
          </value>
          <value t="str">
            <val>50.00%</val>
          </value>
          <value t="str">
            <val>292萬</val>
          </value>
          <value t="str">
            <val>+7.66</val>
          </value>
          <value t="str">
            <val>+1.96</val>
          </value>
          <value t="str">
            <val>+1.62</val>
          </value>
          <value>
            <val>1</val>
          </value>
          <value>
            <val>0</val>
          </value>
        </values>
      </ddeItem>
      <ddeItem name="3552.TW-ChipsField3,ChipsField1,ChipsField25,CashAndStockDividend,CashDividendYieldRate,ProfitFourSeason,ProfitSingle,CName,ExchangeIndustry,CompanyPos" advise="1">
        <values cols="10">
          <value>
            <val>23</val>
          </value>
          <value>
            <val>312</val>
          </value>
          <value t="str">
            <val>--</val>
          </value>
          <value t="str">
            <val>2.50</val>
          </value>
          <value>
            <val>1.67</val>
          </value>
          <value t="str">
            <val>5.85</val>
          </value>
          <value t="str">
            <val>2.49</val>
          </value>
          <value t="str">
            <val>同致</val>
          </value>
          <value t="str">
            <val>上櫃其他電子</val>
          </value>
          <value t="str">
            <val>全球知名倒車雷達大廠</val>
          </value>
        </values>
      </ddeItem>
      <ddeItem name="3552.TW-CName,InvestorConferenceDate,DateofMeetingofShareHolders,TradingDate" advise="1">
        <values cols="4">
          <value t="str">
            <val>同致</val>
          </value>
          <value t="str">
            <val>--</val>
          </value>
          <value t="str">
            <val>2022/06/30</val>
          </value>
          <value t="str">
            <val>2022/08/01</val>
          </value>
        </values>
      </ddeItem>
      <ddeItem name="3552.TW-ID,Name,MarketValue,Capital,NetIncomeGrowthRate,OperIncomeGrowthRate,FinancialStatementsTime,TFXRatio,MonthlyNetSalesYoY,RevenueMonth" advise="1">
        <values cols="10">
          <value t="str">
            <val>3552</val>
          </value>
          <value t="str">
            <val>同致</val>
          </value>
          <value t="str">
            <val>128.4</val>
          </value>
          <value t="str">
            <val>8.56</val>
          </value>
          <value t="str">
            <val>19.62</val>
          </value>
          <value t="str">
            <val>-1.84</val>
          </value>
          <value t="str">
            <val>2022/03</val>
          </value>
          <value t="str">
            <val>21.59</val>
          </value>
          <value t="str">
            <val>28.79</val>
          </value>
          <value t="str">
            <val>2022/06</val>
          </value>
        </values>
      </ddeItem>
      <ddeItem name="3552.TW-OperatingProfitRatio,Price,PriceChangeRatio,InOutRatioNumber,Value,YearReturn,MonthReturn,WeekReturn,FinanceBalanceDif,ChipsField2" advise="1">
        <values cols="10">
          <value t="str">
            <val>9.03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-38.77</val>
          </value>
          <value t="str">
            <val>-8.54</val>
          </value>
          <value t="str">
            <val>-2.60</val>
          </value>
          <value>
            <val>-115</val>
          </value>
          <value>
            <val>0</val>
          </value>
        </values>
      </ddeItem>
      <ddeItem name="35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2022/06/30</val>
          </value>
          <value t="str">
            <val>0.20</val>
          </value>
          <value>
            <val>0.72</val>
          </value>
          <value t="str">
            <val>0.13</val>
          </value>
          <value t="str">
            <val>-0.90</val>
          </value>
          <value t="str">
            <val>重鵬</val>
          </value>
          <value t="str">
            <val>上櫃半導體</val>
          </value>
          <value t="str">
            <val>記憶體產品及生技產品之銷售</val>
          </value>
        </values>
      </ddeItem>
      <ddeItem name="3555.TW-CName,InvestorConferenceDate,DateofMeetingofShareHolders,TradingDate" advise="1">
        <values cols="4">
          <value t="str">
            <val>重鵬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3555.TW-ID,Name,MarketValue,Capital,NetIncomeGrowthRate,OperIncomeGrowthRate,FinancialStatementsTime,TFXRatio,MonthlyNetSalesYoY,RevenueMonth" advise="1">
        <values cols="10">
          <value t="str">
            <val>3555</val>
          </value>
          <value t="str">
            <val>重鵬</val>
          </value>
          <value t="str">
            <val>7.2</val>
          </value>
          <value t="str">
            <val>2.58</val>
          </value>
          <value t="str">
            <val>-782.86</val>
          </value>
          <value t="str">
            <val>27.90</val>
          </value>
          <value t="str">
            <val>2022/03</val>
          </value>
          <value t="str">
            <val>79.00</val>
          </value>
          <value t="str">
            <val>52.12</val>
          </value>
          <value t="str">
            <val>2022/06</val>
          </value>
        </values>
      </ddeItem>
      <ddeItem name="3555.TW-OperatingProfitRatio,Price,PriceChangeRatio,InOutRatioNumber,Value,YearReturn,MonthReturn,WeekReturn,FinanceBalanceDif,ChipsField2" advise="1">
        <values cols="10">
          <value t="str">
            <val>-82.21</val>
          </value>
          <value>
            <val>27.95</val>
          </value>
          <value>
            <val>-2.78</val>
          </value>
          <value t="str">
            <val>29.73%</val>
          </value>
          <value t="str">
            <val>107萬</val>
          </value>
          <value t="str">
            <val>-39.73</val>
          </value>
          <value t="str">
            <val>-18.99</val>
          </value>
          <value t="str">
            <val>-10.56</val>
          </value>
          <value>
            <val>7</val>
          </value>
          <value>
            <val>0</val>
          </value>
        </values>
      </ddeItem>
      <ddeItem name="3556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2</val>
          </value>
          <value t="str">
            <val>2022/07/28</val>
          </value>
          <value t="str">
            <val>5.40</val>
          </value>
          <value>
            <val>8.81</val>
          </value>
          <value t="str">
            <val>7.22</val>
          </value>
          <value t="str">
            <val>2.22</val>
          </value>
          <value t="str">
            <val>禾瑞亞</val>
          </value>
          <value t="str">
            <val>上櫃半導體</val>
          </value>
          <value t="str">
            <val>禾伸堂旗下觸控面板IC設計廠</val>
          </value>
        </values>
      </ddeItem>
      <ddeItem name="3556.TW-CName,InvestorConferenceDate,DateofMeetingofShareHolders,TradingDate" advise="1">
        <values cols="4">
          <value t="str">
            <val>禾瑞亞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3556.TW-ID,Name,MarketValue,Capital,NetIncomeGrowthRate,OperIncomeGrowthRate,FinancialStatementsTime,TFXRatio,MonthlyNetSalesYoY,RevenueMonth" advise="1">
        <values cols="10">
          <value t="str">
            <val>3556</val>
          </value>
          <value t="str">
            <val>禾瑞亞</val>
          </value>
          <value t="str">
            <val>39.0</val>
          </value>
          <value t="str">
            <val>6.37</val>
          </value>
          <value t="str">
            <val>96.52</val>
          </value>
          <value t="str">
            <val>99.75</val>
          </value>
          <value t="str">
            <val>2022/03</val>
          </value>
          <value t="str">
            <val>-22.74</val>
          </value>
          <value t="str">
            <val>-33.46</val>
          </value>
          <value t="str">
            <val>2022/06</val>
          </value>
        </values>
      </ddeItem>
      <ddeItem name="3556.TW-OperatingProfitRatio,Price,PriceChangeRatio,InOutRatioNumber,Value,YearReturn,MonthReturn,WeekReturn,FinanceBalanceDif,ChipsField2" advise="1">
        <values cols="10">
          <value t="str">
            <val>32.43</val>
          </value>
          <value>
            <val>61.3</val>
          </value>
          <value>
            <val>-0.97</val>
          </value>
          <value t="str">
            <val>14.84%</val>
          </value>
          <value t="str">
            <val>799萬</val>
          </value>
          <value t="str">
            <val>-35.39</val>
          </value>
          <value t="str">
            <val>+3.92</val>
          </value>
          <value t="str">
            <val>+0.28</val>
          </value>
          <value>
            <val>-27</val>
          </value>
          <value>
            <val>0</val>
          </value>
        </values>
      </ddeItem>
      <ddeItem name="3558.TW-ChipsField3,ChipsField1,ChipsField25,CashAndStockDividend,CashDividendYieldRate,ProfitFourSeason,ProfitSingle,CName,ExchangeIndustry,CompanyPos" advise="1">
        <values cols="10">
          <value>
            <val>155</val>
          </value>
          <value>
            <val>1181</val>
          </value>
          <value t="str">
            <val>2022/08/11</val>
          </value>
          <value t="str">
            <val>3.00</val>
          </value>
          <value>
            <val>1.38</val>
          </value>
          <value t="str">
            <val>12.10</val>
          </value>
          <value t="str">
            <val>4.78</val>
          </value>
          <value t="str">
            <val>神準</val>
          </value>
          <value t="str">
            <val>上櫃通信網路</val>
          </value>
          <value t="str">
            <val>神腦轉投資的無線網路設備大廠</val>
          </value>
        </values>
      </ddeItem>
      <ddeItem name="3558.TW-CName,InvestorConferenceDate,DateofMeetingofShareHolders,TradingDate" advise="1">
        <values cols="4">
          <value t="str">
            <val>神準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3558.TW-ID,Name,MarketValue,Capital,NetIncomeGrowthRate,OperIncomeGrowthRate,FinancialStatementsTime,TFXRatio,MonthlyNetSalesYoY,RevenueMonth" advise="1">
        <values cols="10">
          <value t="str">
            <val>3558</val>
          </value>
          <value t="str">
            <val>神準</val>
          </value>
          <value t="str">
            <val>106.7</val>
          </value>
          <value t="str">
            <val>4.91</val>
          </value>
          <value t="str">
            <val>133.27</val>
          </value>
          <value t="str">
            <val>117.82</val>
          </value>
          <value t="str">
            <val>2022/03</val>
          </value>
          <value t="str">
            <val>18.20</val>
          </value>
          <value t="str">
            <val>75.87</val>
          </value>
          <value t="str">
            <val>2022/06</val>
          </value>
        </values>
      </ddeItem>
      <ddeItem name="3558.TW-OperatingProfitRatio,Price,PriceChangeRatio,InOutRatioNumber,Value,YearReturn,MonthReturn,WeekReturn,FinanceBalanceDif,ChipsField2" advise="1">
        <values cols="10">
          <value t="str">
            <val>9.26</val>
          </value>
          <value>
            <val>217.5</val>
          </value>
          <value>
            <val>-0.46</val>
          </value>
          <value t="str">
            <val>42.10%</val>
          </value>
          <value t="str">
            <val>25.6億</val>
          </value>
          <value t="str">
            <val>+130.38</val>
          </value>
          <value t="str">
            <val>+34.26</val>
          </value>
          <value t="str">
            <val>+10.69</val>
          </value>
          <value>
            <val>756</val>
          </value>
          <value>
            <val>45</val>
          </value>
        </values>
      </ddeItem>
      <ddeItem name="35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42</val>
          </value>
          <value t="str">
            <val>2022/07/19</val>
          </value>
          <value t="str">
            <val>0.60</val>
          </value>
          <value>
            <val>1.83</val>
          </value>
          <value t="str">
            <val>0.95</val>
          </value>
          <value t="str">
            <val>0.26</val>
          </value>
          <value t="str">
            <val>其陽</val>
          </value>
          <value t="str">
            <val>上櫃通信網路</val>
          </value>
          <value t="str">
            <val>友通轉投資的網路安全設備廠</val>
          </value>
        </values>
      </ddeItem>
      <ddeItem name="3564.TW-CName,InvestorConferenceDate,DateofMeetingofShareHolders,TradingDate" advise="1">
        <values cols="4">
          <value t="str">
            <val>其陽</val>
          </value>
          <value t="str">
            <val>2021/11/26</val>
          </value>
          <value t="str">
            <val>2022/06/15</val>
          </value>
          <value t="str">
            <val>2022/08/01</val>
          </value>
        </values>
      </ddeItem>
      <ddeItem name="3564.TW-ID,Name,MarketValue,Capital,NetIncomeGrowthRate,OperIncomeGrowthRate,FinancialStatementsTime,TFXRatio,MonthlyNetSalesYoY,RevenueMonth" advise="1">
        <values cols="10">
          <value t="str">
            <val>3564</val>
          </value>
          <value t="str">
            <val>其陽</val>
          </value>
          <value t="str">
            <val>19.4</val>
          </value>
          <value t="str">
            <val>5.91</val>
          </value>
          <value t="str">
            <val>304.57</val>
          </value>
          <value t="str">
            <val>586.60</val>
          </value>
          <value t="str">
            <val>2022/03</val>
          </value>
          <value t="str">
            <val>13.34</val>
          </value>
          <value t="str">
            <val>82.97</val>
          </value>
          <value t="str">
            <val>2022/06</val>
          </value>
        </values>
      </ddeItem>
      <ddeItem name="3564.TW-OperatingProfitRatio,Price,PriceChangeRatio,InOutRatioNumber,Value,YearReturn,MonthReturn,WeekReturn,FinanceBalanceDif,ChipsField2" advise="1">
        <values cols="10">
          <value t="str">
            <val>5.16</val>
          </value>
          <value>
            <val>32.799999999999997</val>
          </value>
          <value>
            <val>4.79</val>
          </value>
          <value t="str">
            <val>60.61%</val>
          </value>
          <value t="str">
            <val>2013萬</val>
          </value>
          <value t="str">
            <val>+42.53</val>
          </value>
          <value t="str">
            <val>+25.92</val>
          </value>
          <value t="str">
            <val>+5.81</val>
          </value>
          <value>
            <val>0</val>
          </value>
          <value>
            <val>0</val>
          </value>
        </values>
      </ddeItem>
      <ddeItem name="35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2022/07/27</val>
          </value>
          <value t="str">
            <val>2.60</val>
          </value>
          <value>
            <val>9.2899999999999991</val>
          </value>
          <value t="str">
            <val>3.32</val>
          </value>
          <value t="str">
            <val>0.80</val>
          </value>
          <value t="str">
            <val>逸昌</val>
          </value>
          <value t="str">
            <val>上櫃半導體</val>
          </value>
          <value t="str">
            <val>專注類比與混合訊號IC測試廠</val>
          </value>
        </values>
      </ddeItem>
      <ddeItem name="3567.TW-CName,InvestorConferenceDate,DateofMeetingofShareHolders,TradingDate" advise="1">
        <values cols="4">
          <value t="str">
            <val>逸昌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3567.TW-ID,Name,MarketValue,Capital,NetIncomeGrowthRate,OperIncomeGrowthRate,FinancialStatementsTime,TFXRatio,MonthlyNetSalesYoY,RevenueMonth" advise="1">
        <values cols="10">
          <value t="str">
            <val>3567</val>
          </value>
          <value t="str">
            <val>逸昌</val>
          </value>
          <value t="str">
            <val>9.6</val>
          </value>
          <value t="str">
            <val>3.41</val>
          </value>
          <value t="str">
            <val>41.83</val>
          </value>
          <value t="str">
            <val>36.12</val>
          </value>
          <value t="str">
            <val>2022/03</val>
          </value>
          <value t="str">
            <val>-7.41</val>
          </value>
          <value t="str">
            <val>-12.21</val>
          </value>
          <value t="str">
            <val>2022/06</val>
          </value>
        </values>
      </ddeItem>
      <ddeItem name="3567.TW-OperatingProfitRatio,Price,PriceChangeRatio,InOutRatioNumber,Value,YearReturn,MonthReturn,WeekReturn,FinanceBalanceDif,ChipsField2" advise="1">
        <values cols="10">
          <value t="str">
            <val>29.55</val>
          </value>
          <value>
            <val>28</val>
          </value>
          <value>
            <val>0</val>
          </value>
          <value t="str">
            <val>45.71%</val>
          </value>
          <value t="str">
            <val>100萬</val>
          </value>
          <value t="str">
            <val>-10.59</val>
          </value>
          <value t="str">
            <val>+1.92</val>
          </value>
          <value t="str">
            <val>-0.24</val>
          </value>
          <value>
            <val>-2</val>
          </value>
          <value>
            <val>-18</val>
          </value>
        </values>
      </ddeItem>
      <ddeItem name="35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2022/06/30</val>
          </value>
          <value t="str">
            <val>6.00</val>
          </value>
          <value>
            <val>6.64</val>
          </value>
          <value t="str">
            <val>9.29</val>
          </value>
          <value t="str">
            <val>2.34</val>
          </value>
          <value t="str">
            <val>大塚</val>
          </value>
          <value t="str">
            <val>上櫃資訊服務</val>
          </value>
          <value t="str">
            <val>工程繪圖CAD/CAM/CAE/CAID軟體代理商</val>
          </value>
        </values>
      </ddeItem>
      <ddeItem name="3570.TW-CName,InvestorConferenceDate,DateofMeetingofShareHolders,TradingDate" advise="1">
        <values cols="4">
          <value t="str">
            <val>大塚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3570.TW-ID,Name,MarketValue,Capital,NetIncomeGrowthRate,OperIncomeGrowthRate,FinancialStatementsTime,TFXRatio,MonthlyNetSalesYoY,RevenueMonth" advise="1">
        <values cols="10">
          <value t="str">
            <val>3570</val>
          </value>
          <value t="str">
            <val>大塚</val>
          </value>
          <value t="str">
            <val>15.5</val>
          </value>
          <value t="str">
            <val>1.71</val>
          </value>
          <value t="str">
            <val>50.42</val>
          </value>
          <value t="str">
            <val>69.87</val>
          </value>
          <value t="str">
            <val>2022/03</val>
          </value>
          <value t="str">
            <val>1.38</val>
          </value>
          <value t="str">
            <val>31.84</val>
          </value>
          <value t="str">
            <val>2022/06</val>
          </value>
        </values>
      </ddeItem>
      <ddeItem name="3570.TW-OperatingProfitRatio,Price,PriceChangeRatio,InOutRatioNumber,Value,YearReturn,MonthReturn,WeekReturn,FinanceBalanceDif,ChipsField2" advise="1">
        <values cols="10">
          <value t="str">
            <val>16.74</val>
          </value>
          <value>
            <val>90.4</val>
          </value>
          <value>
            <val>1.57</val>
          </value>
          <value t="str">
            <val>89.74%</val>
          </value>
          <value t="str">
            <val>352萬</val>
          </value>
          <value t="str">
            <val>+38.71</val>
          </value>
          <value t="str">
            <val>+13.71</val>
          </value>
          <value t="str">
            <val>+3.08</val>
          </value>
          <value>
            <val>0</val>
          </value>
          <value>
            <val>0</val>
          </value>
        </values>
      </ddeItem>
      <ddeItem name="35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2.50</val>
          </value>
          <value>
            <val>3.18</val>
          </value>
          <value t="str">
            <val>3.42</val>
          </value>
          <value t="str">
            <val>0.63</val>
          </value>
          <value t="str">
            <val>泓格</val>
          </value>
          <value t="str">
            <val>上櫃電腦及週邊設備</val>
          </value>
          <value t="str">
            <val>專攻PAC遠端控制器的IPC廠</val>
          </value>
        </values>
      </ddeItem>
      <ddeItem name="3577.TW-CName,InvestorConferenceDate,DateofMeetingofShareHolders,TradingDate" advise="1">
        <values cols="4">
          <value t="str">
            <val>泓格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3577.TW-ID,Name,MarketValue,Capital,NetIncomeGrowthRate,OperIncomeGrowthRate,FinancialStatementsTime,TFXRatio,MonthlyNetSalesYoY,RevenueMonth" advise="1">
        <values cols="10">
          <value t="str">
            <val>3577</val>
          </value>
          <value t="str">
            <val>泓格</val>
          </value>
          <value t="str">
            <val>41.5</val>
          </value>
          <value t="str">
            <val>5.29</val>
          </value>
          <value t="str">
            <val>42.43</val>
          </value>
          <value t="str">
            <val>29.45</val>
          </value>
          <value t="str">
            <val>2022/03</val>
          </value>
          <value t="str">
            <val>52.92</val>
          </value>
          <value t="str">
            <val>28.91</val>
          </value>
          <value t="str">
            <val>2022/06</val>
          </value>
        </values>
      </ddeItem>
      <ddeItem name="3577.TW-OperatingProfitRatio,Price,PriceChangeRatio,InOutRatioNumber,Value,YearReturn,MonthReturn,WeekReturn,FinanceBalanceDif,ChipsField2" advise="1">
        <values cols="10">
          <value t="str">
            <val>14.92</val>
          </value>
          <value>
            <val>78.5</val>
          </value>
          <value>
            <val>0.26</val>
          </value>
          <value t="str">
            <val>92.31%</val>
          </value>
          <value t="str">
            <val>204萬</val>
          </value>
          <value t="str">
            <val>+82.39</val>
          </value>
          <value t="str">
            <val>+6.66</val>
          </value>
          <value t="str">
            <val>+1.16</val>
          </value>
          <value>
            <val>0</val>
          </value>
          <value>
            <val>0</val>
          </value>
        </values>
      </ddeItem>
      <ddeItem name="358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59</val>
          </value>
          <value t="str">
            <val>2022/06/27</val>
          </value>
          <value t="str">
            <val>2.10</val>
          </value>
          <value>
            <val>3.27</val>
          </value>
          <value t="str">
            <val>3.09</val>
          </value>
          <value t="str">
            <val>0.59</val>
          </value>
          <value t="str">
            <val>友威科</val>
          </value>
          <value t="str">
            <val>上櫃其他電子</val>
          </value>
          <value t="str">
            <val>台灣真空設備與真空濺鍍供應商</val>
          </value>
        </values>
      </ddeItem>
      <ddeItem name="3580.TW-CName,InvestorConferenceDate,DateofMeetingofShareHolders,TradingDate" advise="1">
        <values cols="4">
          <value t="str">
            <val>友威科</val>
          </value>
          <value t="str">
            <val>2021/12/22</val>
          </value>
          <value t="str">
            <val>2022/05/26</val>
          </value>
          <value t="str">
            <val>2022/08/01</val>
          </value>
        </values>
      </ddeItem>
      <ddeItem name="3580.TW-ID,Name,MarketValue,Capital,NetIncomeGrowthRate,OperIncomeGrowthRate,FinancialStatementsTime,TFXRatio,MonthlyNetSalesYoY,RevenueMonth" advise="1">
        <values cols="10">
          <value t="str">
            <val>3580</val>
          </value>
          <value t="str">
            <val>友威科</val>
          </value>
          <value t="str">
            <val>25.4</val>
          </value>
          <value t="str">
            <val>3.95</val>
          </value>
          <value t="str">
            <val>15.67</val>
          </value>
          <value t="str">
            <val>-86.20</val>
          </value>
          <value t="str">
            <val>2022/03</val>
          </value>
          <value t="str">
            <val>18.06</val>
          </value>
          <value t="str">
            <val>74.09</val>
          </value>
          <value t="str">
            <val>2022/06</val>
          </value>
        </values>
      </ddeItem>
      <ddeItem name="3580.TW-OperatingProfitRatio,Price,PriceChangeRatio,InOutRatioNumber,Value,YearReturn,MonthReturn,WeekReturn,FinanceBalanceDif,ChipsField2" advise="1">
        <values cols="10">
          <value t="str">
            <val>2.27</val>
          </value>
          <value>
            <val>64.3</val>
          </value>
          <value>
            <val>-0.31</val>
          </value>
          <value t="str">
            <val>85.62%</val>
          </value>
          <value t="str">
            <val>944萬</val>
          </value>
          <value t="str">
            <val>+13.64</val>
          </value>
          <value t="str">
            <val>+23.65</val>
          </value>
          <value t="str">
            <val>+0.78</val>
          </value>
          <value>
            <val>-1</val>
          </value>
          <value>
            <val>0</val>
          </value>
        </values>
      </ddeItem>
      <ddeItem name="35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2022/08/10</val>
          </value>
          <value t="str">
            <val>1.00</val>
          </value>
          <value>
            <val>4.6500000000000004</val>
          </value>
          <value t="str">
            <val>2.09</val>
          </value>
          <value t="str">
            <val>0.31</val>
          </value>
          <value t="str">
            <val>博磊</val>
          </value>
          <value t="str">
            <val>上櫃半導體</val>
          </value>
          <value t="str">
            <val>國內提供封裝測試設備及治具之專業製造商</val>
          </value>
        </values>
      </ddeItem>
      <ddeItem name="3581.TW-CName,InvestorConferenceDate,DateofMeetingofShareHolders,TradingDate" advise="1">
        <values cols="4">
          <value t="str">
            <val>博磊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3581.TW-ID,Name,MarketValue,Capital,NetIncomeGrowthRate,OperIncomeGrowthRate,FinancialStatementsTime,TFXRatio,MonthlyNetSalesYoY,RevenueMonth" advise="1">
        <values cols="10">
          <value t="str">
            <val>3581</val>
          </value>
          <value t="str">
            <val>博磊</val>
          </value>
          <value t="str">
            <val>11.0</val>
          </value>
          <value t="str">
            <val>5.10</val>
          </value>
          <value t="str">
            <val>12.84</val>
          </value>
          <value t="str">
            <val>105.39</val>
          </value>
          <value t="str">
            <val>2022/03</val>
          </value>
          <value t="str">
            <val>4.28</val>
          </value>
          <value t="str">
            <val>15.22</val>
          </value>
          <value t="str">
            <val>2022/06</val>
          </value>
        </values>
      </ddeItem>
      <ddeItem name="3581.TW-OperatingProfitRatio,Price,PriceChangeRatio,InOutRatioNumber,Value,YearReturn,MonthReturn,WeekReturn,FinanceBalanceDif,ChipsField2" advise="1">
        <values cols="10">
          <value t="str">
            <val>11.87</val>
          </value>
          <value>
            <val>21.5</val>
          </value>
          <value>
            <val>0.7</val>
          </value>
          <value t="str">
            <val>28.57%</val>
          </value>
          <value t="str">
            <val>15.0萬</val>
          </value>
          <value t="str">
            <val>-16.34</val>
          </value>
          <value t="str">
            <val>+6.44</val>
          </value>
          <value t="str">
            <val>+1.42</val>
          </value>
          <value>
            <val>-5</val>
          </value>
          <value>
            <val>0</val>
          </value>
        </values>
      </ddeItem>
      <ddeItem name="3587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-19</val>
          </value>
          <value t="str">
            <val>2022/04/14</val>
          </value>
          <value t="str">
            <val>5.00</val>
          </value>
          <value>
            <val>4.2699999999999996</val>
          </value>
          <value t="str">
            <val>9.78</val>
          </value>
          <value t="str">
            <val>2.04</val>
          </value>
          <value t="str">
            <val>閎康</val>
          </value>
          <value t="str">
            <val>上櫃其他電子</val>
          </value>
          <value t="str">
            <val>台灣材料分析及可靠性驗證服務廠</val>
          </value>
        </values>
      </ddeItem>
      <ddeItem name="3587.TW-CName,InvestorConferenceDate,DateofMeetingofShareHolders,TradingDate" advise="1">
        <values cols="4">
          <value t="str">
            <val>閎康</val>
          </value>
          <value t="str">
            <val>2021/12/10</val>
          </value>
          <value t="str">
            <val>2022/06/15</val>
          </value>
          <value t="str">
            <val>2022/08/01</val>
          </value>
        </values>
      </ddeItem>
      <ddeItem name="3587.TW-ID,Name,MarketValue,Capital,NetIncomeGrowthRate,OperIncomeGrowthRate,FinancialStatementsTime,TFXRatio,MonthlyNetSalesYoY,RevenueMonth" advise="1">
        <values cols="10">
          <value t="str">
            <val>3587</val>
          </value>
          <value t="str">
            <val>閎康</val>
          </value>
          <value t="str">
            <val>72.9</val>
          </value>
          <value t="str">
            <val>6.23</val>
          </value>
          <value t="str">
            <val>16.70</val>
          </value>
          <value t="str">
            <val>4.97</val>
          </value>
          <value t="str">
            <val>2022/03</val>
          </value>
          <value t="str">
            <val>14.66</val>
          </value>
          <value t="str">
            <val>13.45</val>
          </value>
          <value t="str">
            <val>2022/06</val>
          </value>
        </values>
      </ddeItem>
      <ddeItem name="3587.TW-OperatingProfitRatio,Price,PriceChangeRatio,InOutRatioNumber,Value,YearReturn,MonthReturn,WeekReturn,FinanceBalanceDif,ChipsField2" advise="1">
        <values cols="10">
          <value t="str">
            <val>16.70</val>
          </value>
          <value>
            <val>117</val>
          </value>
          <value>
            <val>-2.09</val>
          </value>
          <value t="str">
            <val>17.06%</val>
          </value>
          <value t="str">
            <val>2010萬</val>
          </value>
          <value t="str">
            <val>-17.32</val>
          </value>
          <value t="str">
            <val>+12.50</val>
          </value>
          <value t="str">
            <val>-1.68</val>
          </value>
          <value>
            <val>-28</val>
          </value>
          <value>
            <val>0</val>
          </value>
        </values>
      </ddeItem>
      <ddeItem name="359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488</val>
          </value>
          <value t="str">
            <val>--</val>
          </value>
          <value t="str">
            <val>0.10</val>
          </value>
          <value>
            <val>0.34</val>
          </value>
          <value t="str">
            <val>0.60</val>
          </value>
          <value t="str">
            <val>0.18</val>
          </value>
          <value t="str">
            <val>磐儀</val>
          </value>
          <value t="str">
            <val>上櫃電腦及週邊設備</val>
          </value>
          <value t="str">
            <val>專攻系統產品的工業電腦廠</val>
          </value>
        </values>
      </ddeItem>
      <ddeItem name="3594.TW-CName,InvestorConferenceDate,DateofMeetingofShareHolders,TradingDate" advise="1">
        <values cols="4">
          <value t="str">
            <val>磐儀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3594.TW-ID,Name,MarketValue,Capital,NetIncomeGrowthRate,OperIncomeGrowthRate,FinancialStatementsTime,TFXRatio,MonthlyNetSalesYoY,RevenueMonth" advise="1">
        <values cols="10">
          <value t="str">
            <val>3594</val>
          </value>
          <value t="str">
            <val>磐儀</val>
          </value>
          <value t="str">
            <val>26.5</val>
          </value>
          <value t="str">
            <val>9.07</val>
          </value>
          <value t="str">
            <val>246.36</val>
          </value>
          <value t="str">
            <val>76.97</val>
          </value>
          <value t="str">
            <val>2022/03</val>
          </value>
          <value t="str">
            <val>12.29</val>
          </value>
          <value t="str">
            <val>13.48</val>
          </value>
          <value t="str">
            <val>2022/06</val>
          </value>
        </values>
      </ddeItem>
      <ddeItem name="3594.TW-OperatingProfitRatio,Price,PriceChangeRatio,InOutRatioNumber,Value,YearReturn,MonthReturn,WeekReturn,FinanceBalanceDif,ChipsField2" advise="1">
        <values cols="10">
          <value t="str">
            <val>-0.77</val>
          </value>
          <value>
            <val>29.25</val>
          </value>
          <value>
            <val>-3.62</val>
          </value>
          <value t="str">
            <val>24.45%</val>
          </value>
          <value t="str">
            <val>6550萬</val>
          </value>
          <value t="str">
            <val>+25.42</val>
          </value>
          <value t="str">
            <val>+26.62</val>
          </value>
          <value t="str">
            <val>-2.34</val>
          </value>
          <value>
            <val>91</val>
          </value>
          <value>
            <val>0</val>
          </value>
        </values>
      </ddeItem>
      <ddeItem name="359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2022/07/14</val>
          </value>
          <value t="str">
            <val>1.70</val>
          </value>
          <value>
            <val>7.11</val>
          </value>
          <value t="str">
            <val>1.89</val>
          </value>
          <value t="str">
            <val>0.17</val>
          </value>
          <value t="str">
            <val>映興</val>
          </value>
          <value t="str">
            <val>上櫃電子零組件</val>
          </value>
          <value t="str">
            <val>台灣電子零組件製造及代理商</val>
          </value>
        </values>
      </ddeItem>
      <ddeItem name="3597.TW-CName,InvestorConferenceDate,DateofMeetingofShareHolders,TradingDate" advise="1">
        <values cols="4">
          <value t="str">
            <val>映興</val>
          </value>
          <value t="str">
            <val>2021/09/02</val>
          </value>
          <value t="str">
            <val>2022/06/06</val>
          </value>
          <value t="str">
            <val>2022/08/01</val>
          </value>
        </values>
      </ddeItem>
      <ddeItem name="3597.TW-ID,Name,MarketValue,Capital,NetIncomeGrowthRate,OperIncomeGrowthRate,FinancialStatementsTime,TFXRatio,MonthlyNetSalesYoY,RevenueMonth" advise="1">
        <values cols="10">
          <value t="str">
            <val>3597</val>
          </value>
          <value t="str">
            <val>映興</val>
          </value>
          <value t="str">
            <val>9.4</val>
          </value>
          <value t="str">
            <val>3.91</val>
          </value>
          <value t="str">
            <val>-53.20</val>
          </value>
          <value t="str">
            <val>-84.45</val>
          </value>
          <value t="str">
            <val>2022/03</val>
          </value>
          <value t="str">
            <val>11.29</val>
          </value>
          <value t="str">
            <val>5.48</val>
          </value>
          <value t="str">
            <val>2022/06</val>
          </value>
        </values>
      </ddeItem>
      <ddeItem name="3597.TW-OperatingProfitRatio,Price,PriceChangeRatio,InOutRatioNumber,Value,YearReturn,MonthReturn,WeekReturn,FinanceBalanceDif,ChipsField2" advise="1">
        <values cols="10">
          <value t="str">
            <val>1.19</val>
          </value>
          <value>
            <val>23.9</val>
          </value>
          <value>
            <val>2.14</val>
          </value>
          <value t="str">
            <val>100.00%</val>
          </value>
          <value t="str">
            <val>26.1萬</val>
          </value>
          <value t="str">
            <val>-7.94</val>
          </value>
          <value t="str">
            <val>+11.15</val>
          </value>
          <value t="str">
            <val>+0.63</val>
          </value>
          <value>
            <val>1</val>
          </value>
          <value>
            <val>0</val>
          </value>
        </values>
      </ddeItem>
      <ddeItem name="36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0.00</val>
          </value>
          <value>
            <val>0</val>
          </value>
          <value t="str">
            <val>0.01</val>
          </value>
          <value t="str">
            <val>-0.23</val>
          </value>
          <value t="str">
            <val>三一東林</val>
          </value>
          <value t="str">
            <val>上櫃電子零組件</val>
          </value>
          <value t="str">
            <val>台灣電子安定器廠</val>
          </value>
        </values>
      </ddeItem>
      <ddeItem name="3609.TW-CName,InvestorConferenceDate,DateofMeetingofShareHolders,TradingDate" advise="1">
        <values cols="4">
          <value t="str">
            <val>三一東林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3609.TW-ID,Name,MarketValue,Capital,NetIncomeGrowthRate,OperIncomeGrowthRate,FinancialStatementsTime,TFXRatio,MonthlyNetSalesYoY,RevenueMonth" advise="1">
        <values cols="10">
          <value t="str">
            <val>3609</val>
          </value>
          <value t="str">
            <val>三一東林</val>
          </value>
          <value t="str">
            <val>16.1</val>
          </value>
          <value t="str">
            <val>3.07</val>
          </value>
          <value t="str">
            <val>1.07</val>
          </value>
          <value t="str">
            <val>-95.30</val>
          </value>
          <value t="str">
            <val>2022/03</val>
          </value>
          <value t="str">
            <val>12.06</val>
          </value>
          <value t="str">
            <val>2.27</val>
          </value>
          <value t="str">
            <val>2022/06</val>
          </value>
        </values>
      </ddeItem>
      <ddeItem name="3609.TW-OperatingProfitRatio,Price,PriceChangeRatio,InOutRatioNumber,Value,YearReturn,MonthReturn,WeekReturn,FinanceBalanceDif,ChipsField2" advise="1">
        <values cols="10">
          <value t="str">
            <val>-3.77</val>
          </value>
          <value>
            <val>52.6</val>
          </value>
          <value>
            <val>-0.75</val>
          </value>
          <value t="str">
            <val>53.12%</val>
          </value>
          <value t="str">
            <val>167萬</val>
          </value>
          <value t="str">
            <val>+9.32</val>
          </value>
          <value t="str">
            <val>-1.87</val>
          </value>
          <value t="str">
            <val>-1.68</val>
          </value>
          <value>
            <val>0</val>
          </value>
          <value>
            <val>0</val>
          </value>
        </values>
      </ddeItem>
      <ddeItem name="36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2022/07/21</val>
          </value>
          <value t="str">
            <val>11.00</val>
          </value>
          <value>
            <val>6.29</val>
          </value>
          <value t="str">
            <val>18.00</val>
          </value>
          <value t="str">
            <val>3.66</val>
          </value>
          <value t="str">
            <val>鼎翰</val>
          </value>
          <value t="str">
            <val>上櫃電腦及週邊設備</val>
          </value>
          <value t="str">
            <val>台半轉投資的台灣最大條碼印表機製造廠</val>
          </value>
        </values>
      </ddeItem>
      <ddeItem name="3611.TW-CName,InvestorConferenceDate,DateofMeetingofShareHolders,TradingDate" advise="1">
        <values cols="4">
          <value t="str">
            <val>鼎翰</val>
          </value>
          <value t="str">
            <val>2022/05/10</val>
          </value>
          <value t="str">
            <val>2022/06/17</val>
          </value>
          <value t="str">
            <val>2022/08/01</val>
          </value>
        </values>
      </ddeItem>
      <ddeItem name="3611.TW-ID,Name,MarketValue,Capital,NetIncomeGrowthRate,OperIncomeGrowthRate,FinancialStatementsTime,TFXRatio,MonthlyNetSalesYoY,RevenueMonth" advise="1">
        <values cols="10">
          <value t="str">
            <val>3611</val>
          </value>
          <value t="str">
            <val>鼎翰</val>
          </value>
          <value t="str">
            <val>74.3</val>
          </value>
          <value t="str">
            <val>4.25</val>
          </value>
          <value t="str">
            <val>-11.34</val>
          </value>
          <value t="str">
            <val>-14.13</val>
          </value>
          <value t="str">
            <val>2022/03</val>
          </value>
          <value t="str">
            <val>6.94</val>
          </value>
          <value t="str">
            <val>25.57</val>
          </value>
          <value t="str">
            <val>2022/06</val>
          </value>
        </values>
      </ddeItem>
      <ddeItem name="3611.TW-OperatingProfitRatio,Price,PriceChangeRatio,InOutRatioNumber,Value,YearReturn,MonthReturn,WeekReturn,FinanceBalanceDif,ChipsField2" advise="1">
        <values cols="10">
          <value t="str">
            <val>11.64</val>
          </value>
          <value>
            <val>175</val>
          </value>
          <value>
            <val>0.86</val>
          </value>
          <value t="str">
            <val>40.00%</val>
          </value>
          <value t="str">
            <val>490萬</val>
          </value>
          <value t="str">
            <val>-15.55</val>
          </value>
          <value t="str">
            <val>+7.39</val>
          </value>
          <value t="str">
            <val>+1.16</val>
          </value>
          <value>
            <val>1</val>
          </value>
          <value>
            <val>0</val>
          </value>
        </values>
      </ddeItem>
      <ddeItem name="36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</val>
          </value>
          <value t="str">
            <val>2022/07/14</val>
          </value>
          <value t="str">
            <val>0.37</val>
          </value>
          <value>
            <val>2.0299999999999998</val>
          </value>
          <value t="str">
            <val>1.50</val>
          </value>
          <value t="str">
            <val>0.34</val>
          </value>
          <value t="str">
            <val>安可</val>
          </value>
          <value t="str">
            <val>上櫃光電</val>
          </value>
          <value t="str">
            <val>錸德轉投資的ITO導電玻璃專業鍍膜廠</val>
          </value>
        </values>
      </ddeItem>
      <ddeItem name="3615.TW-CName,InvestorConferenceDate,DateofMeetingofShareHolders,TradingDate" advise="1">
        <values cols="4">
          <value t="str">
            <val>安可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3615.TW-ID,Name,MarketValue,Capital,NetIncomeGrowthRate,OperIncomeGrowthRate,FinancialStatementsTime,TFXRatio,MonthlyNetSalesYoY,RevenueMonth" advise="1">
        <values cols="10">
          <value t="str">
            <val>3615</val>
          </value>
          <value t="str">
            <val>安可</val>
          </value>
          <value t="str">
            <val>12.5</val>
          </value>
          <value t="str">
            <val>6.85</val>
          </value>
          <value t="str">
            <val>41.19</val>
          </value>
          <value t="str">
            <val>154.77</val>
          </value>
          <value t="str">
            <val>2022/03</val>
          </value>
          <value t="str">
            <val>0.06</val>
          </value>
          <value t="str">
            <val>-2.15</val>
          </value>
          <value t="str">
            <val>2022/06</val>
          </value>
        </values>
      </ddeItem>
      <ddeItem name="3615.TW-OperatingProfitRatio,Price,PriceChangeRatio,InOutRatioNumber,Value,YearReturn,MonthReturn,WeekReturn,FinanceBalanceDif,ChipsField2" advise="1">
        <values cols="10">
          <value t="str">
            <val>9.74</val>
          </value>
          <value>
            <val>18.25</val>
          </value>
          <value>
            <val>0</val>
          </value>
          <value t="str">
            <val>46.48%</val>
          </value>
          <value t="str">
            <val>129萬</val>
          </value>
          <value t="str">
            <val>-17.76</val>
          </value>
          <value t="str">
            <val>+7.68</val>
          </value>
          <value t="str">
            <val>-1.08</val>
          </value>
          <value>
            <val>-13</val>
          </value>
          <value>
            <val>0</val>
          </value>
        </values>
      </ddeItem>
      <ddeItem name="36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--</val>
          </value>
          <value t="str">
            <val>0.00</val>
          </value>
          <value>
            <val>0</val>
          </value>
          <value t="str">
            <val>-0.96</val>
          </value>
          <value t="str">
            <val>-0.27</val>
          </value>
          <value t="str">
            <val>富晶通</val>
          </value>
          <value t="str">
            <val>上櫃光電</val>
          </value>
          <value t="str">
            <val>中環與富士通合資之觸控面板廠</val>
          </value>
        </values>
      </ddeItem>
      <ddeItem name="3623.TW-CName,InvestorConferenceDate,DateofMeetingofShareHolders,TradingDate" advise="1">
        <values cols="4">
          <value t="str">
            <val>富晶通</val>
          </value>
          <value t="str">
            <val>2021/12/17</val>
          </value>
          <value t="str">
            <val>2022/06/15</val>
          </value>
          <value t="str">
            <val>2022/08/01</val>
          </value>
        </values>
      </ddeItem>
      <ddeItem name="3623.TW-ID,Name,MarketValue,Capital,NetIncomeGrowthRate,OperIncomeGrowthRate,FinancialStatementsTime,TFXRatio,MonthlyNetSalesYoY,RevenueMonth" advise="1">
        <values cols="10">
          <value t="str">
            <val>3623</val>
          </value>
          <value t="str">
            <val>富晶通</val>
          </value>
          <value t="str">
            <val>5.1</val>
          </value>
          <value t="str">
            <val>2.92</val>
          </value>
          <value t="str">
            <val>51.09</val>
          </value>
          <value t="str">
            <val>47.28</val>
          </value>
          <value t="str">
            <val>2022/03</val>
          </value>
          <value t="str">
            <val>60.82</val>
          </value>
          <value t="str">
            <val>39.40</val>
          </value>
          <value t="str">
            <val>2022/06</val>
          </value>
        </values>
      </ddeItem>
      <ddeItem name="3623.TW-OperatingProfitRatio,Price,PriceChangeRatio,InOutRatioNumber,Value,YearReturn,MonthReturn,WeekReturn,FinanceBalanceDif,ChipsField2" advise="1">
        <values cols="10">
          <value t="str">
            <val>-9.33</val>
          </value>
          <value>
            <val>17.350000000000001</val>
          </value>
          <value>
            <val>9.81</val>
          </value>
          <value t="str">
            <val>79.11%</val>
          </value>
          <value t="str">
            <val>285萬</val>
          </value>
          <value t="str">
            <val>+8.44</val>
          </value>
          <value t="str">
            <val>+15.67</val>
          </value>
          <value t="str">
            <val>+7.10</val>
          </value>
          <value>
            <val>-27</val>
          </value>
          <value>
            <val>0</val>
          </value>
        </values>
      </ddeItem>
      <ddeItem name="3624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20</val>
          </value>
          <value t="str">
            <val>2022/08/16</val>
          </value>
          <value t="str">
            <val>2.20</val>
          </value>
          <value>
            <val>3.82</val>
          </value>
          <value t="str">
            <val>4.89</val>
          </value>
          <value t="str">
            <val>1.56</val>
          </value>
          <value t="str">
            <val>光頡</val>
          </value>
          <value t="str">
            <val>上櫃電子零組件</val>
          </value>
          <value t="str">
            <val>被動元件薄膜製程電阻元件廠</val>
          </value>
        </values>
      </ddeItem>
      <ddeItem name="3624.TW-CName,InvestorConferenceDate,DateofMeetingofShareHolders,TradingDate" advise="1">
        <values cols="4">
          <value t="str">
            <val>光頡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3624.TW-ID,Name,MarketValue,Capital,NetIncomeGrowthRate,OperIncomeGrowthRate,FinancialStatementsTime,TFXRatio,MonthlyNetSalesYoY,RevenueMonth" advise="1">
        <values cols="10">
          <value t="str">
            <val>3624</val>
          </value>
          <value t="str">
            <val>光頡</val>
          </value>
          <value t="str">
            <val>67.6</val>
          </value>
          <value t="str">
            <val>11.73</val>
          </value>
          <value t="str">
            <val>118.76</val>
          </value>
          <value t="str">
            <val>78.79</val>
          </value>
          <value t="str">
            <val>2022/03</val>
          </value>
          <value t="str">
            <val>-5.29</val>
          </value>
          <value t="str">
            <val>10.68</val>
          </value>
          <value t="str">
            <val>2022/06</val>
          </value>
        </values>
      </ddeItem>
      <ddeItem name="3624.TW-OperatingProfitRatio,Price,PriceChangeRatio,InOutRatioNumber,Value,YearReturn,MonthReturn,WeekReturn,FinanceBalanceDif,ChipsField2" advise="1">
        <values cols="10">
          <value t="str">
            <val>21.12</val>
          </value>
          <value>
            <val>57.6</val>
          </value>
          <value>
            <val>-1.54</val>
          </value>
          <value t="str">
            <val>30.08%</val>
          </value>
          <value t="str">
            <val>1.06億</val>
          </value>
          <value t="str">
            <val>+21.65</val>
          </value>
          <value t="str">
            <val>+6.67</val>
          </value>
          <value t="str">
            <val>-4.95</val>
          </value>
          <value>
            <val>31</val>
          </value>
          <value>
            <val>0</val>
          </value>
        </values>
      </ddeItem>
      <ddeItem name="36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89</val>
          </value>
          <value t="str">
            <val>--</val>
          </value>
          <value t="str">
            <val>0.00</val>
          </value>
          <value>
            <val>0</val>
          </value>
          <value t="str">
            <val>-1.76</val>
          </value>
          <value t="str">
            <val>-0.48</val>
          </value>
          <value t="str">
            <val>西勝</val>
          </value>
          <value t="str">
            <val>上櫃電腦及週邊設備</val>
          </value>
          <value t="str">
            <val>可攜式產品之電池模組及充電器供應商</val>
          </value>
        </values>
      </ddeItem>
      <ddeItem name="3625.TW-CName,InvestorConferenceDate,DateofMeetingofShareHolders,TradingDate" advise="1">
        <values cols="4">
          <value t="str">
            <val>西勝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3625.TW-ID,Name,MarketValue,Capital,NetIncomeGrowthRate,OperIncomeGrowthRate,FinancialStatementsTime,TFXRatio,MonthlyNetSalesYoY,RevenueMonth" advise="1">
        <values cols="10">
          <value t="str">
            <val>3625</val>
          </value>
          <value t="str">
            <val>西勝</val>
          </value>
          <value t="str">
            <val>18.8</val>
          </value>
          <value t="str">
            <val>11.41</val>
          </value>
          <value t="str">
            <val>17.25</val>
          </value>
          <value t="str">
            <val>58.03</val>
          </value>
          <value t="str">
            <val>2022/03</val>
          </value>
          <value t="str">
            <val>-33.46</val>
          </value>
          <value t="str">
            <val>-32.19</val>
          </value>
          <value t="str">
            <val>2022/06</val>
          </value>
        </values>
      </ddeItem>
      <ddeItem name="3625.TW-OperatingProfitRatio,Price,PriceChangeRatio,InOutRatioNumber,Value,YearReturn,MonthReturn,WeekReturn,FinanceBalanceDif,ChipsField2" advise="1">
        <values cols="10">
          <value t="str">
            <val>-3.94</val>
          </value>
          <value>
            <val>16.5</val>
          </value>
          <value>
            <val>-2.65</val>
          </value>
          <value t="str">
            <val>28.31%</val>
          </value>
          <value t="str">
            <val>2941萬</val>
          </value>
          <value t="str">
            <val>-39.67</val>
          </value>
          <value t="str">
            <val>+3.77</val>
          </value>
          <value t="str">
            <val>+2.80</val>
          </value>
          <value>
            <val>-69</val>
          </value>
          <value>
            <val>0</val>
          </value>
        </values>
      </ddeItem>
      <ddeItem name="36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19</val>
          </value>
          <value t="str">
            <val>--</val>
          </value>
          <value t="str">
            <val>1.25</val>
          </value>
          <value>
            <val>2.98</val>
          </value>
          <value t="str">
            <val>1.63</val>
          </value>
          <value t="str">
            <val>0.14</val>
          </value>
          <value t="str">
            <val>盈正</val>
          </value>
          <value t="str">
            <val>上櫃其他電子</val>
          </value>
          <value t="str">
            <val>專注於生產中.大.微型UPS之廠商</val>
          </value>
        </values>
      </ddeItem>
      <ddeItem name="3628.TW-CName,InvestorConferenceDate,DateofMeetingofShareHolders,TradingDate" advise="1">
        <values cols="4">
          <value t="str">
            <val>盈正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3628.TW-ID,Name,MarketValue,Capital,NetIncomeGrowthRate,OperIncomeGrowthRate,FinancialStatementsTime,TFXRatio,MonthlyNetSalesYoY,RevenueMonth" advise="1">
        <values cols="10">
          <value t="str">
            <val>3628</val>
          </value>
          <value t="str">
            <val>盈正</val>
          </value>
          <value t="str">
            <val>18.9</val>
          </value>
          <value t="str">
            <val>4.50</val>
          </value>
          <value t="str">
            <val>28.69</val>
          </value>
          <value t="str">
            <val>1.29</val>
          </value>
          <value t="str">
            <val>2022/03</val>
          </value>
          <value t="str">
            <val>22.58</val>
          </value>
          <value t="str">
            <val>-11.26</val>
          </value>
          <value t="str">
            <val>2022/06</val>
          </value>
        </values>
      </ddeItem>
      <ddeItem name="3628.TW-OperatingProfitRatio,Price,PriceChangeRatio,InOutRatioNumber,Value,YearReturn,MonthReturn,WeekReturn,FinanceBalanceDif,ChipsField2" advise="1">
        <values cols="10">
          <value t="str">
            <val>0.13</val>
          </value>
          <value>
            <val>41.9</val>
          </value>
          <value>
            <val>-2.1</val>
          </value>
          <value t="str">
            <val>10.53%</val>
          </value>
          <value t="str">
            <val>240萬</val>
          </value>
          <value t="str">
            <val>+18.30</val>
          </value>
          <value t="str">
            <val>+5.54</val>
          </value>
          <value t="str">
            <val>-1.87</val>
          </value>
          <value>
            <val>-11</val>
          </value>
          <value>
            <val>0</val>
          </value>
        </values>
      </ddeItem>
      <ddeItem name="36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-6.55</val>
          </value>
          <value t="str">
            <val>-1.38</val>
          </value>
          <value t="str">
            <val>地心引力</val>
          </value>
          <value t="str">
            <val>上櫃文化創意</val>
          </value>
          <value t="str">
            <val>轉型為手機遊戲代理運營商</val>
          </value>
        </values>
      </ddeItem>
      <ddeItem name="3629.TW-CName,InvestorConferenceDate,DateofMeetingofShareHolders,TradingDate" advise="1">
        <values cols="4">
          <value t="str">
            <val>地心引力</val>
          </value>
          <value t="str">
            <val>2021/10/26</val>
          </value>
          <value t="str">
            <val>2022/06/15</val>
          </value>
          <value t="str">
            <val>2022/08/01</val>
          </value>
        </values>
      </ddeItem>
      <ddeItem name="3629.TW-ID,Name,MarketValue,Capital,NetIncomeGrowthRate,OperIncomeGrowthRate,FinancialStatementsTime,TFXRatio,MonthlyNetSalesYoY,RevenueMonth" advise="1">
        <values cols="10">
          <value t="str">
            <val>3629</val>
          </value>
          <value t="str">
            <val>地心引力</val>
          </value>
          <value t="str">
            <val>15.8</val>
          </value>
          <value t="str">
            <val>3.36</val>
          </value>
          <value t="str">
            <val>-587.08</val>
          </value>
          <value t="str">
            <val>-110.58</val>
          </value>
          <value t="str">
            <val>2022/03</val>
          </value>
          <value t="str">
            <val>-4.33</val>
          </value>
          <value t="str">
            <val>-86.36</val>
          </value>
          <value t="str">
            <val>2022/06</val>
          </value>
        </values>
      </ddeItem>
      <ddeItem name="3629.TW-OperatingProfitRatio,Price,PriceChangeRatio,InOutRatioNumber,Value,YearReturn,MonthReturn,WeekReturn,FinanceBalanceDif,ChipsField2" advise="1">
        <values cols="10">
          <value t="str">
            <val>-103.03</val>
          </value>
          <value>
            <val>47.15</val>
          </value>
          <value>
            <val>7.89</val>
          </value>
          <value t="str">
            <val>100.00%</val>
          </value>
          <value t="str">
            <val>4.71萬</val>
          </value>
          <value t="str">
            <val>-19.68</val>
          </value>
          <value t="str">
            <val>+9.02</val>
          </value>
          <value t="str">
            <val>+5.96</val>
          </value>
          <value>
            <val>0</val>
          </value>
          <value>
            <val>0</val>
          </value>
        </values>
      </ddeItem>
      <ddeItem name="36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144</val>
          </value>
          <value t="str">
            <val>--</val>
          </value>
          <value t="str">
            <val>0.00</val>
          </value>
          <value>
            <val>0</val>
          </value>
          <value t="str">
            <val>-3.53</val>
          </value>
          <value t="str">
            <val>-0.64</val>
          </value>
          <value t="str">
            <val>新鉅科</val>
          </value>
          <value t="str">
            <val>上櫃光電</val>
          </value>
          <value t="str">
            <val>台灣感測鏡頭供應商</val>
          </value>
        </values>
      </ddeItem>
      <ddeItem name="3630.TW-CName,InvestorConferenceDate,DateofMeetingofShareHolders,TradingDate" advise="1">
        <values cols="4">
          <value t="str">
            <val>新鉅科</val>
          </value>
          <value t="str">
            <val>--</val>
          </value>
          <value t="str">
            <val>2022/06/20</val>
          </value>
          <value t="str">
            <val>2022/08/01</val>
          </value>
        </values>
      </ddeItem>
      <ddeItem name="3630.TW-ID,Name,MarketValue,Capital,NetIncomeGrowthRate,OperIncomeGrowthRate,FinancialStatementsTime,TFXRatio,MonthlyNetSalesYoY,RevenueMonth" advise="1">
        <values cols="10">
          <value t="str">
            <val>3630</val>
          </value>
          <value t="str">
            <val>新鉅科</val>
          </value>
          <value t="str">
            <val>55.4</val>
          </value>
          <value t="str">
            <val>18.42</val>
          </value>
          <value t="str">
            <val>-19.27</val>
          </value>
          <value t="str">
            <val>-19.29</val>
          </value>
          <value t="str">
            <val>2022/03</val>
          </value>
          <value t="str">
            <val>-40.32</val>
          </value>
          <value t="str">
            <val>-48.68</val>
          </value>
          <value t="str">
            <val>2022/06</val>
          </value>
        </values>
      </ddeItem>
      <ddeItem name="3630.TW-OperatingProfitRatio,Price,PriceChangeRatio,InOutRatioNumber,Value,YearReturn,MonthReturn,WeekReturn,FinanceBalanceDif,ChipsField2" advise="1">
        <values cols="10">
          <value t="str">
            <val>-27.14</val>
          </value>
          <value>
            <val>30.1</val>
          </value>
          <value>
            <val>-0.66</val>
          </value>
          <value t="str">
            <val>27.34%</val>
          </value>
          <value t="str">
            <val>867萬</val>
          </value>
          <value t="str">
            <val>-30.48</val>
          </value>
          <value t="str">
            <val>+16.22</val>
          </value>
          <value t="str">
            <val>-4.44</val>
          </value>
          <value>
            <val>13</val>
          </value>
          <value>
            <val>0</val>
          </value>
        </values>
      </ddeItem>
      <ddeItem name="36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2022/07/28</val>
          </value>
          <value t="str">
            <val>0.50</val>
          </value>
          <value>
            <val>1.1100000000000001</val>
          </value>
          <value t="str">
            <val>-0.09</val>
          </value>
          <value t="str">
            <val>0.02</val>
          </value>
          <value t="str">
            <val>晟楠</val>
          </value>
          <value t="str">
            <val>上櫃電子零組件</val>
          </value>
          <value t="str">
            <val>錫條、錫絲、錫膏及鉛助焊劑供應商</val>
          </value>
        </values>
      </ddeItem>
      <ddeItem name="3631.TW-CName,InvestorConferenceDate,DateofMeetingofShareHolders,TradingDate" advise="1">
        <values cols="4">
          <value t="str">
            <val>晟楠</val>
          </value>
          <value t="str">
            <val>--</val>
          </value>
          <value t="str">
            <val>2022/06/28</val>
          </value>
          <value t="str">
            <val>2022/08/01</val>
          </value>
        </values>
      </ddeItem>
      <ddeItem name="3631.TW-ID,Name,MarketValue,Capital,NetIncomeGrowthRate,OperIncomeGrowthRate,FinancialStatementsTime,TFXRatio,MonthlyNetSalesYoY,RevenueMonth" advise="1">
        <values cols="10">
          <value t="str">
            <val>3631</val>
          </value>
          <value t="str">
            <val>晟楠</val>
          </value>
          <value t="str">
            <val>36.7</val>
          </value>
          <value t="str">
            <val>8.18</val>
          </value>
          <value t="str">
            <val>158.11</val>
          </value>
          <value t="str">
            <val>15.32</val>
          </value>
          <value t="str">
            <val>2022/03</val>
          </value>
          <value t="str">
            <val>55.20</val>
          </value>
          <value t="str">
            <val>-11.58</val>
          </value>
          <value t="str">
            <val>2022/06</val>
          </value>
        </values>
      </ddeItem>
      <ddeItem name="3631.TW-OperatingProfitRatio,Price,PriceChangeRatio,InOutRatioNumber,Value,YearReturn,MonthReturn,WeekReturn,FinanceBalanceDif,ChipsField2" advise="1">
        <values cols="10">
          <value t="str">
            <val>-30.48</val>
          </value>
          <value>
            <val>44.9</val>
          </value>
          <value>
            <val>0.34</val>
          </value>
          <value t="str">
            <val>100.00%</val>
          </value>
          <value t="str">
            <val>26.9萬</val>
          </value>
          <value t="str">
            <val>-2.36</val>
          </value>
          <value t="str">
            <val>+19.95</val>
          </value>
          <value t="str">
            <val>+0.34</val>
          </value>
          <value>
            <val>2</val>
          </value>
          <value>
            <val>0</val>
          </value>
        </values>
      </ddeItem>
      <ddeItem name="36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-0.36</val>
          </value>
          <value t="str">
            <val>0.05</val>
          </value>
          <value t="str">
            <val>研勤</val>
          </value>
          <value t="str">
            <val>上櫃通信網路</val>
          </value>
          <value t="str">
            <val>以PAPAGO為品牌之行車紀錄器及導航軟體廠商</val>
          </value>
        </values>
      </ddeItem>
      <ddeItem name="3632.TW-CName,InvestorConferenceDate,DateofMeetingofShareHolders,TradingDate" advise="1">
        <values cols="4">
          <value t="str">
            <val>研勤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3632.TW-ID,Name,MarketValue,Capital,NetIncomeGrowthRate,OperIncomeGrowthRate,FinancialStatementsTime,TFXRatio,MonthlyNetSalesYoY,RevenueMonth" advise="1">
        <values cols="10">
          <value t="str">
            <val>3632</val>
          </value>
          <value t="str">
            <val>研勤</val>
          </value>
          <value t="str">
            <val>4.0</val>
          </value>
          <value t="str">
            <val>4.09</val>
          </value>
          <value t="str">
            <val>76.82</val>
          </value>
          <value t="str">
            <val>23.37</val>
          </value>
          <value t="str">
            <val>2022/03</val>
          </value>
          <value t="str">
            <val>45.63</val>
          </value>
          <value t="str">
            <val>89.98</val>
          </value>
          <value t="str">
            <val>2022/06</val>
          </value>
        </values>
      </ddeItem>
      <ddeItem name="3632.TW-OperatingProfitRatio,Price,PriceChangeRatio,InOutRatioNumber,Value,YearReturn,MonthReturn,WeekReturn,FinanceBalanceDif,ChipsField2" advise="1">
        <values cols="10">
          <value t="str">
            <val>-11.04</val>
          </value>
          <value>
            <val>9.89</val>
          </value>
          <value>
            <val>1.85</val>
          </value>
          <value t="str">
            <val>83.33%</val>
          </value>
          <value t="str">
            <val>5.84萬</val>
          </value>
          <value t="str">
            <val>+9.89</val>
          </value>
          <value t="str">
            <val>+1.33</val>
          </value>
          <value t="str">
            <val>+0.71</val>
          </value>
          <value>
            <val>0</val>
          </value>
          <value>
            <val>0</val>
          </value>
        </values>
      </ddeItem>
      <ddeItem name="36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-2.40</val>
          </value>
          <value t="str">
            <val>-0.58</val>
          </value>
          <value t="str">
            <val>駿熠電</val>
          </value>
          <value t="str">
            <val>上櫃其他電子</val>
          </value>
          <value t="str">
            <val>NB及手機按鍵大廠，並切入散熱片產品</val>
          </value>
        </values>
      </ddeItem>
      <ddeItem name="3642.TW-CName,InvestorConferenceDate,DateofMeetingofShareHolders,TradingDate" advise="1">
        <values cols="4">
          <value t="str">
            <val>駿熠電</val>
          </value>
          <value t="str">
            <val>--</val>
          </value>
          <value t="str">
            <val>2022/06/28</val>
          </value>
          <value t="str">
            <val>2022/08/01</val>
          </value>
        </values>
      </ddeItem>
      <ddeItem name="3642.TW-ID,Name,MarketValue,Capital,NetIncomeGrowthRate,OperIncomeGrowthRate,FinancialStatementsTime,TFXRatio,MonthlyNetSalesYoY,RevenueMonth" advise="1">
        <values cols="10">
          <value t="str">
            <val>3642</val>
          </value>
          <value t="str">
            <val>駿熠電</val>
          </value>
          <value t="str">
            <val>3.1</val>
          </value>
          <value t="str">
            <val>4.34</val>
          </value>
          <value t="str">
            <val>-30.42</val>
          </value>
          <value t="str">
            <val>-13.70</val>
          </value>
          <value t="str">
            <val>2022/03</val>
          </value>
          <value t="str">
            <val>4.51</val>
          </value>
          <value t="str">
            <val>96.69</val>
          </value>
          <value t="str">
            <val>2022/06</val>
          </value>
        </values>
      </ddeItem>
      <ddeItem name="3642.TW-OperatingProfitRatio,Price,PriceChangeRatio,InOutRatioNumber,Value,YearReturn,MonthReturn,WeekReturn,FinanceBalanceDif,ChipsField2" advise="1">
        <values cols="10">
          <value t="str">
            <val>-29.36</val>
          </value>
          <value>
            <val>7.15</val>
          </value>
          <value>
            <val>4.6900000000000004</val>
          </value>
          <value t="str">
            <val>71.15%</val>
          </value>
          <value t="str">
            <val>36.8萬</val>
          </value>
          <value t="str">
            <val>-42.11</val>
          </value>
          <value t="str">
            <val>+5.15</val>
          </value>
          <value t="str">
            <val>+13.85</val>
          </value>
          <value>
            <val>0</val>
          </value>
          <value>
            <val>0</val>
          </value>
        </values>
      </ddeItem>
      <ddeItem name="36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--</val>
          </value>
          <value t="str">
            <val>1.68</val>
          </value>
          <value>
            <val>6.6</val>
          </value>
          <value t="str">
            <val>2.28</val>
          </value>
          <value t="str">
            <val>0.45</val>
          </value>
          <value t="str">
            <val>艾恩特</val>
          </value>
          <value t="str">
            <val>上櫃電子零組件</val>
          </value>
          <value t="str">
            <val>台灣NB、DC用連接器大廠</val>
          </value>
        </values>
      </ddeItem>
      <ddeItem name="3646.TW-CName,InvestorConferenceDate,DateofMeetingofShareHolders,TradingDate" advise="1">
        <values cols="4">
          <value t="str">
            <val>艾恩特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3646.TW-ID,Name,MarketValue,Capital,NetIncomeGrowthRate,OperIncomeGrowthRate,FinancialStatementsTime,TFXRatio,MonthlyNetSalesYoY,RevenueMonth" advise="1">
        <values cols="10">
          <value t="str">
            <val>3646</val>
          </value>
          <value t="str">
            <val>艾恩特</val>
          </value>
          <value t="str">
            <val>10.0</val>
          </value>
          <value t="str">
            <val>3.93</val>
          </value>
          <value t="str">
            <val>32.44</val>
          </value>
          <value t="str">
            <val>-0.53</val>
          </value>
          <value t="str">
            <val>2022/03</val>
          </value>
          <value t="str">
            <val>-3.10</val>
          </value>
          <value t="str">
            <val>-6.14</val>
          </value>
          <value t="str">
            <val>2022/06</val>
          </value>
        </values>
      </ddeItem>
      <ddeItem name="3646.TW-OperatingProfitRatio,Price,PriceChangeRatio,InOutRatioNumber,Value,YearReturn,MonthReturn,WeekReturn,FinanceBalanceDif,ChipsField2" advise="1">
        <values cols="10">
          <value t="str">
            <val>9.92</val>
          </value>
          <value>
            <val>25.45</val>
          </value>
          <value>
            <val>0.2</val>
          </value>
          <value t="str">
            <val>34.48%</val>
          </value>
          <value t="str">
            <val>73.8萬</val>
          </value>
          <value t="str">
            <val>-13.56</val>
          </value>
          <value t="str">
            <val>-2.12</val>
          </value>
          <value t="str">
            <val>-0.39</val>
          </value>
          <value>
            <val>7</val>
          </value>
          <value>
            <val>0</val>
          </value>
        </values>
      </ddeItem>
      <ddeItem name="365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2022/06/30</val>
          </value>
          <value t="str">
            <val>0.41</val>
          </value>
          <value>
            <val>1.89</val>
          </value>
          <value t="str">
            <val>1.06</val>
          </value>
          <value t="str">
            <val>0.32</val>
          </value>
          <value t="str">
            <val>精聯</val>
          </value>
          <value t="str">
            <val>上櫃電腦及週邊設備</val>
          </value>
          <value t="str">
            <val>台灣自動資料收集ADC大廠</val>
          </value>
        </values>
      </ddeItem>
      <ddeItem name="3652.TW-CName,InvestorConferenceDate,DateofMeetingofShareHolders,TradingDate" advise="1">
        <values cols="4">
          <value t="str">
            <val>精聯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3652.TW-ID,Name,MarketValue,Capital,NetIncomeGrowthRate,OperIncomeGrowthRate,FinancialStatementsTime,TFXRatio,MonthlyNetSalesYoY,RevenueMonth" advise="1">
        <values cols="10">
          <value t="str">
            <val>3652</val>
          </value>
          <value t="str">
            <val>精聯</val>
          </value>
          <value t="str">
            <val>16.3</val>
          </value>
          <value t="str">
            <val>7.51</val>
          </value>
          <value t="str">
            <val>34.82</val>
          </value>
          <value t="str">
            <val>6.39</val>
          </value>
          <value t="str">
            <val>2022/03</val>
          </value>
          <value t="str">
            <val>-0.27</val>
          </value>
          <value t="str">
            <val>6.06</val>
          </value>
          <value t="str">
            <val>2022/06</val>
          </value>
        </values>
      </ddeItem>
      <ddeItem name="3652.TW-OperatingProfitRatio,Price,PriceChangeRatio,InOutRatioNumber,Value,YearReturn,MonthReturn,WeekReturn,FinanceBalanceDif,ChipsField2" advise="1">
        <values cols="10">
          <value t="str">
            <val>6.01</val>
          </value>
          <value>
            <val>21.7</val>
          </value>
          <value>
            <val>0.46</val>
          </value>
          <value t="str">
            <val>50.00%</val>
          </value>
          <value t="str">
            <val>167萬</val>
          </value>
          <value t="str">
            <val>+6.00</val>
          </value>
          <value t="str">
            <val>+8.50</val>
          </value>
          <value t="str">
            <val>+1.64</val>
          </value>
          <value>
            <val>-1</val>
          </value>
          <value>
            <val>0</val>
          </value>
        </values>
      </ddeItem>
      <ddeItem name="3663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-26</val>
          </value>
          <value t="str">
            <val>2022/08/22</val>
          </value>
          <value t="str">
            <val>0.90</val>
          </value>
          <value>
            <val>3.2</val>
          </value>
          <value t="str">
            <val>1.17</val>
          </value>
          <value t="str">
            <val>0.39</val>
          </value>
          <value t="str">
            <val>鑫科</val>
          </value>
          <value t="str">
            <val>上櫃其他電子</val>
          </value>
          <value t="str">
            <val>屬中鋼集團之台灣前兩大濺鍍靶材廠</val>
          </value>
        </values>
      </ddeItem>
      <ddeItem name="3663.TW-CName,InvestorConferenceDate,DateofMeetingofShareHolders,TradingDate" advise="1">
        <values cols="4">
          <value t="str">
            <val>鑫科</val>
          </value>
          <value t="str">
            <val>2021/11/23</val>
          </value>
          <value t="str">
            <val>2022/06/15</val>
          </value>
          <value t="str">
            <val>2022/08/01</val>
          </value>
        </values>
      </ddeItem>
      <ddeItem name="3663.TW-ID,Name,MarketValue,Capital,NetIncomeGrowthRate,OperIncomeGrowthRate,FinancialStatementsTime,TFXRatio,MonthlyNetSalesYoY,RevenueMonth" advise="1">
        <values cols="10">
          <value t="str">
            <val>3663</val>
          </value>
          <value t="str">
            <val>鑫科</val>
          </value>
          <value t="str">
            <val>20.7</val>
          </value>
          <value t="str">
            <val>7.35</val>
          </value>
          <value t="str">
            <val>119.52</val>
          </value>
          <value t="str">
            <val>40.64</val>
          </value>
          <value t="str">
            <val>2022/03</val>
          </value>
          <value t="str">
            <val>-48.30</val>
          </value>
          <value t="str">
            <val>-26.82</val>
          </value>
          <value t="str">
            <val>2022/06</val>
          </value>
        </values>
      </ddeItem>
      <ddeItem name="3663.TW-OperatingProfitRatio,Price,PriceChangeRatio,InOutRatioNumber,Value,YearReturn,MonthReturn,WeekReturn,FinanceBalanceDif,ChipsField2" advise="1">
        <values cols="10">
          <value t="str">
            <val>4.28</val>
          </value>
          <value>
            <val>28.15</val>
          </value>
          <value>
            <val>-2.4300000000000002</val>
          </value>
          <value t="str">
            <val>29.19%</val>
          </value>
          <value t="str">
            <val>954萬</val>
          </value>
          <value t="str">
            <val>-29.34</val>
          </value>
          <value t="str">
            <val>+2.93</val>
          </value>
          <value t="str">
            <val>+4.26</val>
          </value>
          <value>
            <val>29</val>
          </value>
          <value>
            <val>0</val>
          </value>
        </values>
      </ddeItem>
      <ddeItem name="36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0.00</val>
          </value>
          <value>
            <val>0</val>
          </value>
          <value t="str">
            <val>-2.76</val>
          </value>
          <value t="str">
            <val>-1.53</val>
          </value>
          <value t="str">
            <val>安瑞-KY</val>
          </value>
          <value t="str">
            <val>上櫃通信網路</val>
          </value>
          <value t="str">
            <val>雲端ADC設備廠</val>
          </value>
        </values>
      </ddeItem>
      <ddeItem name="3664.TW-CName,InvestorConferenceDate,DateofMeetingofShareHolders,TradingDate" advise="1">
        <values cols="4">
          <value t="str">
            <val>安瑞-KY</val>
          </value>
          <value t="str">
            <val>2021/12/17</val>
          </value>
          <value t="str">
            <val>2022/06/01</val>
          </value>
          <value t="str">
            <val>2022/08/01</val>
          </value>
        </values>
      </ddeItem>
      <ddeItem name="3664.TW-ID,Name,MarketValue,Capital,NetIncomeGrowthRate,OperIncomeGrowthRate,FinancialStatementsTime,TFXRatio,MonthlyNetSalesYoY,RevenueMonth" advise="1">
        <values cols="10">
          <value t="str">
            <val>3664</val>
          </value>
          <value t="str">
            <val>安瑞-KY</val>
          </value>
          <value t="str">
            <val>4.9</val>
          </value>
          <value t="str">
            <val>5.11</val>
          </value>
          <value t="str">
            <val>-114.12</val>
          </value>
          <value t="str">
            <val>-132.31</val>
          </value>
          <value t="str">
            <val>2022/03</val>
          </value>
          <value t="str">
            <val>384.10</val>
          </value>
          <value t="str">
            <val>215.04</val>
          </value>
          <value t="str">
            <val>2022/06</val>
          </value>
        </values>
      </ddeItem>
      <ddeItem name="3664.TW-OperatingProfitRatio,Price,PriceChangeRatio,InOutRatioNumber,Value,YearReturn,MonthReturn,WeekReturn,FinanceBalanceDif,ChipsField2" advise="1">
        <values cols="10">
          <value t="str">
            <val>-111.18</val>
          </value>
          <value>
            <val>9.49</val>
          </value>
          <value>
            <val>3.38</val>
          </value>
          <value t="str">
            <val>56.76%</val>
          </value>
          <value t="str">
            <val>145萬</val>
          </value>
          <value t="str">
            <val>-3.56</val>
          </value>
          <value t="str">
            <val>+10.99</val>
          </value>
          <value t="str">
            <val>+0.42</val>
          </value>
          <value>
            <val>0</val>
          </value>
          <value>
            <val>0</val>
          </value>
        </values>
      </ddeItem>
      <ddeItem name="366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44</val>
          </value>
          <value t="str">
            <val>--</val>
          </value>
          <value t="str">
            <val>0.00</val>
          </value>
          <value>
            <val>0</val>
          </value>
          <value t="str">
            <val>-0.97</val>
          </value>
          <value t="str">
            <val>0.22</val>
          </value>
          <value t="str">
            <val>光耀</val>
          </value>
          <value t="str">
            <val>上櫃光電</val>
          </value>
          <value t="str">
            <val>為光群雷轉投資之聚光片廠</val>
          </value>
        </values>
      </ddeItem>
      <ddeItem name="3666.TW-CName,InvestorConferenceDate,DateofMeetingofShareHolders,TradingDate" advise="1">
        <values cols="4">
          <value t="str">
            <val>光耀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3666.TW-ID,Name,MarketValue,Capital,NetIncomeGrowthRate,OperIncomeGrowthRate,FinancialStatementsTime,TFXRatio,MonthlyNetSalesYoY,RevenueMonth" advise="1">
        <values cols="10">
          <value t="str">
            <val>3666</val>
          </value>
          <value t="str">
            <val>光耀</val>
          </value>
          <value t="str">
            <val>15.2</val>
          </value>
          <value t="str">
            <val>5.87</val>
          </value>
          <value t="str">
            <val>-66.27</val>
          </value>
          <value t="str">
            <val>-184.05</val>
          </value>
          <value t="str">
            <val>2022/03</val>
          </value>
          <value t="str">
            <val>-32.86</val>
          </value>
          <value t="str">
            <val>-42.36</val>
          </value>
          <value t="str">
            <val>2022/06</val>
          </value>
        </values>
      </ddeItem>
      <ddeItem name="3666.TW-OperatingProfitRatio,Price,PriceChangeRatio,InOutRatioNumber,Value,YearReturn,MonthReturn,WeekReturn,FinanceBalanceDif,ChipsField2" advise="1">
        <values cols="10">
          <value t="str">
            <val>-6.77</val>
          </value>
          <value>
            <val>25.9</val>
          </value>
          <value>
            <val>-3</val>
          </value>
          <value t="str">
            <val>17.44%</val>
          </value>
          <value t="str">
            <val>459萬</val>
          </value>
          <value t="str">
            <val>-34.18</val>
          </value>
          <value t="str">
            <val>-1.33</val>
          </value>
          <value t="str">
            <val>-0.19</val>
          </value>
          <value>
            <val>-42</val>
          </value>
          <value>
            <val>0</val>
          </value>
        </values>
      </ddeItem>
      <ddeItem name="36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2022/08/02</val>
          </value>
          <value t="str">
            <val>0.10</val>
          </value>
          <value>
            <val>0.28000000000000003</val>
          </value>
          <value t="str">
            <val>0.65</val>
          </value>
          <value t="str">
            <val>0.15</val>
          </value>
          <value t="str">
            <val>康聯訊</val>
          </value>
          <value t="str">
            <val>上櫃通信網路</val>
          </value>
          <value t="str">
            <val>台灣光纖網路設備製造商</val>
          </value>
        </values>
      </ddeItem>
      <ddeItem name="3672.TW-CName,InvestorConferenceDate,DateofMeetingofShareHolders,TradingDate" advise="1">
        <values cols="4">
          <value t="str">
            <val>康聯訊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3672.TW-ID,Name,MarketValue,Capital,NetIncomeGrowthRate,OperIncomeGrowthRate,FinancialStatementsTime,TFXRatio,MonthlyNetSalesYoY,RevenueMonth" advise="1">
        <values cols="10">
          <value t="str">
            <val>3672</val>
          </value>
          <value t="str">
            <val>康聯訊</val>
          </value>
          <value t="str">
            <val>11.5</val>
          </value>
          <value t="str">
            <val>3.18</val>
          </value>
          <value t="str">
            <val>153.47</val>
          </value>
          <value t="str">
            <val>133.10</val>
          </value>
          <value t="str">
            <val>2022/03</val>
          </value>
          <value t="str">
            <val>-9.26</val>
          </value>
          <value t="str">
            <val>-7.48</val>
          </value>
          <value t="str">
            <val>2022/06</val>
          </value>
        </values>
      </ddeItem>
      <ddeItem name="3672.TW-OperatingProfitRatio,Price,PriceChangeRatio,InOutRatioNumber,Value,YearReturn,MonthReturn,WeekReturn,FinanceBalanceDif,ChipsField2" advise="1">
        <values cols="10">
          <value t="str">
            <val>1.41</val>
          </value>
          <value>
            <val>36.299999999999997</val>
          </value>
          <value>
            <val>2.54</val>
          </value>
          <value t="str">
            <val>53.85%</val>
          </value>
          <value t="str">
            <val>93.5萬</val>
          </value>
          <value t="str">
            <val>+123.91</val>
          </value>
          <value t="str">
            <val>+0.83</val>
          </value>
          <value t="str">
            <val>-1.09</val>
          </value>
          <value>
            <val>4</val>
          </value>
          <value>
            <val>0</val>
          </value>
        </values>
      </ddeItem>
      <ddeItem name="3675.TW-ChipsField3,ChipsField1,ChipsField25,CashAndStockDividend,CashDividendYieldRate,ProfitFourSeason,ProfitSingle,CName,ExchangeIndustry,CompanyPos" advise="1">
        <values cols="10">
          <value>
            <val>-23</val>
          </value>
          <value>
            <val>308</val>
          </value>
          <value t="str">
            <val>--</val>
          </value>
          <value t="str">
            <val>5.00</val>
          </value>
          <value>
            <val>2.2999999999999998</val>
          </value>
          <value t="str">
            <val>9.73</val>
          </value>
          <value t="str">
            <val>2.85</val>
          </value>
          <value t="str">
            <val>德微</val>
          </value>
          <value t="str">
            <val>上櫃半導體</val>
          </value>
          <value t="str">
            <val>台灣整流二極體供應商</val>
          </value>
        </values>
      </ddeItem>
      <ddeItem name="3675.TW-CName,InvestorConferenceDate,DateofMeetingofShareHolders,TradingDate" advise="1">
        <values cols="4">
          <value t="str">
            <val>德微</val>
          </value>
          <value t="str">
            <val>2021/12/30</val>
          </value>
          <value t="str">
            <val>2022/05/16</val>
          </value>
          <value t="str">
            <val>2022/08/01</val>
          </value>
        </values>
      </ddeItem>
      <ddeItem name="3675.TW-ID,Name,MarketValue,Capital,NetIncomeGrowthRate,OperIncomeGrowthRate,FinancialStatementsTime,TFXRatio,MonthlyNetSalesYoY,RevenueMonth" advise="1">
        <values cols="10">
          <value t="str">
            <val>3675</val>
          </value>
          <value t="str">
            <val>德微</val>
          </value>
          <value t="str">
            <val>96.6</val>
          </value>
          <value t="str">
            <val>4.44</val>
          </value>
          <value t="str">
            <val>80.71</val>
          </value>
          <value t="str">
            <val>50.76</val>
          </value>
          <value t="str">
            <val>2022/06</val>
          </value>
          <value t="str">
            <val>3.20</val>
          </value>
          <value t="str">
            <val>12.15</val>
          </value>
          <value t="str">
            <val>2022/06</val>
          </value>
        </values>
      </ddeItem>
      <ddeItem name="3675.TW-OperatingProfitRatio,Price,PriceChangeRatio,InOutRatioNumber,Value,YearReturn,MonthReturn,WeekReturn,FinanceBalanceDif,ChipsField2" advise="1">
        <values cols="10">
          <value t="str">
            <val>19.49</val>
          </value>
          <value>
            <val>217.5</val>
          </value>
          <value>
            <val>-0.23</val>
          </value>
          <value t="str">
            <val>47.12%</val>
          </value>
          <value t="str">
            <val>3.25億</val>
          </value>
          <value t="str">
            <val>+41.06</val>
          </value>
          <value t="str">
            <val>+1.64</val>
          </value>
          <value t="str">
            <val>-0.91</val>
          </value>
          <value>
            <val>58</val>
          </value>
          <value>
            <val>130</val>
          </value>
        </values>
      </ddeItem>
      <ddeItem name="3680.TW-ChipsField3,ChipsField1,ChipsField25,CashAndStockDividend,CashDividendYieldRate,ProfitFourSeason,ProfitSingle,CName,ExchangeIndustry,CompanyPos" advise="1">
        <values cols="10">
          <value>
            <val>-56</val>
          </value>
          <value>
            <val>-542</val>
          </value>
          <value t="str">
            <val>2022/06/16</val>
          </value>
          <value t="str">
            <val>2.00</val>
          </value>
          <value>
            <val>1.1399999999999999</val>
          </value>
          <value t="str">
            <val>5.99</val>
          </value>
          <value t="str">
            <val>2.32</val>
          </value>
          <value t="str">
            <val>家登</val>
          </value>
          <value t="str">
            <val>上櫃半導體</val>
          </value>
          <value t="str">
            <val>全球第一大半導體光罩載具廠</val>
          </value>
        </values>
      </ddeItem>
      <ddeItem name="3680.TW-CName,InvestorConferenceDate,DateofMeetingofShareHolders,TradingDate" advise="1">
        <values cols="4">
          <value t="str">
            <val>家登</val>
          </value>
          <value t="str">
            <val>2022/03/03</val>
          </value>
          <value t="str">
            <val>2022/05/27</val>
          </value>
          <value t="str">
            <val>2022/08/01</val>
          </value>
        </values>
      </ddeItem>
      <ddeItem name="3680.TW-ID,Name,MarketValue,Capital,NetIncomeGrowthRate,OperIncomeGrowthRate,FinancialStatementsTime,TFXRatio,MonthlyNetSalesYoY,RevenueMonth" advise="1">
        <values cols="10">
          <value t="str">
            <val>3680</val>
          </value>
          <value t="str">
            <val>家登</val>
          </value>
          <value t="str">
            <val>207.3</val>
          </value>
          <value t="str">
            <val>8.41</val>
          </value>
          <value t="str">
            <val>363.67</val>
          </value>
          <value t="str">
            <val>394.66</val>
          </value>
          <value t="str">
            <val>2022/03</val>
          </value>
          <value t="str">
            <val>18.70</val>
          </value>
          <value t="str">
            <val>87.75</val>
          </value>
          <value t="str">
            <val>2022/06</val>
          </value>
        </values>
      </ddeItem>
      <ddeItem name="3680.TW-OperatingProfitRatio,Price,PriceChangeRatio,InOutRatioNumber,Value,YearReturn,MonthReturn,WeekReturn,FinanceBalanceDif,ChipsField2" advise="1">
        <values cols="10">
          <value t="str">
            <val>23.50</val>
          </value>
          <value>
            <val>246.5</val>
          </value>
          <value>
            <val>1.02</val>
          </value>
          <value t="str">
            <val>50.46%</val>
          </value>
          <value t="str">
            <val>6.24億</val>
          </value>
          <value t="str">
            <val>-7.03</val>
          </value>
          <value t="str">
            <val>+25.45</val>
          </value>
          <value t="str">
            <val>+11.79</val>
          </value>
          <value>
            <val>126</val>
          </value>
          <value>
            <val>289</val>
          </value>
        </values>
      </ddeItem>
      <ddeItem name="36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2022/06/28</val>
          </value>
          <value t="str">
            <val>3.00</val>
          </value>
          <value>
            <val>6.42</val>
          </value>
          <value t="str">
            <val>3.92</val>
          </value>
          <value t="str">
            <val>0.89</val>
          </value>
          <value t="str">
            <val>榮昌</val>
          </value>
          <value t="str">
            <val>上櫃通信網路</val>
          </value>
          <value t="str">
            <val>高頻連接線及無線通訊整合次系統廠商</val>
          </value>
        </values>
      </ddeItem>
      <ddeItem name="3684.TW-CName,InvestorConferenceDate,DateofMeetingofShareHolders,TradingDate" advise="1">
        <values cols="4">
          <value t="str">
            <val>榮昌</val>
          </value>
          <value t="str">
            <val>2021/11/19</val>
          </value>
          <value t="str">
            <val>2022/05/26</val>
          </value>
          <value t="str">
            <val>2022/08/01</val>
          </value>
        </values>
      </ddeItem>
      <ddeItem name="3684.TW-ID,Name,MarketValue,Capital,NetIncomeGrowthRate,OperIncomeGrowthRate,FinancialStatementsTime,TFXRatio,MonthlyNetSalesYoY,RevenueMonth" advise="1">
        <values cols="10">
          <value t="str">
            <val>3684</val>
          </value>
          <value t="str">
            <val>榮昌</val>
          </value>
          <value t="str">
            <val>11.5</val>
          </value>
          <value t="str">
            <val>2.46</val>
          </value>
          <value t="str">
            <val>94.89</val>
          </value>
          <value t="str">
            <val>48.60</val>
          </value>
          <value t="str">
            <val>2022/03</val>
          </value>
          <value t="str">
            <val>6.89</val>
          </value>
          <value t="str">
            <val>31.58</val>
          </value>
          <value t="str">
            <val>2022/06</val>
          </value>
        </values>
      </ddeItem>
      <ddeItem name="3684.TW-OperatingProfitRatio,Price,PriceChangeRatio,InOutRatioNumber,Value,YearReturn,MonthReturn,WeekReturn,FinanceBalanceDif,ChipsField2" advise="1">
        <values cols="10">
          <value t="str">
            <val>9.57</val>
          </value>
          <value>
            <val>46.7</val>
          </value>
          <value>
            <val>0.65</val>
          </value>
          <value t="str">
            <val>40.00%</val>
          </value>
          <value t="str">
            <val>93.2萬</val>
          </value>
          <value t="str">
            <val>+34.77</val>
          </value>
          <value t="str">
            <val>+8.60</val>
          </value>
          <value t="str">
            <val>+1.08</val>
          </value>
          <value>
            <val>0</val>
          </value>
          <value>
            <val>0</val>
          </value>
        </values>
      </ddeItem>
      <ddeItem name="36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</val>
          </value>
          <value t="str">
            <val>--</val>
          </value>
          <value t="str">
            <val>0.00</val>
          </value>
          <value>
            <val>0</val>
          </value>
          <value t="str">
            <val>0.14</val>
          </value>
          <value t="str">
            <val>0.01</val>
          </value>
          <value t="str">
            <val>元創精密</val>
          </value>
          <value t="str">
            <val>上櫃電機機械</val>
          </value>
          <value t="str">
            <val>車用導光板及沖焊零件供應商</val>
          </value>
        </values>
      </ddeItem>
      <ddeItem name="3685.TW-CName,InvestorConferenceDate,DateofMeetingofShareHolders,TradingDate" advise="1">
        <values cols="4">
          <value t="str">
            <val>元創精密</val>
          </value>
          <value t="str">
            <val>--</val>
          </value>
          <value t="str">
            <val>2022/05/30</val>
          </value>
          <value t="str">
            <val>2022/08/01</val>
          </value>
        </values>
      </ddeItem>
      <ddeItem name="3685.TW-ID,Name,MarketValue,Capital,NetIncomeGrowthRate,OperIncomeGrowthRate,FinancialStatementsTime,TFXRatio,MonthlyNetSalesYoY,RevenueMonth" advise="1">
        <values cols="10">
          <value t="str">
            <val>3685</val>
          </value>
          <value t="str">
            <val>元創精密</val>
          </value>
          <value t="str">
            <val>21.6</val>
          </value>
          <value t="str">
            <val>7.96</val>
          </value>
          <value t="str">
            <val>134.68</val>
          </value>
          <value t="str">
            <val>66.77</val>
          </value>
          <value t="str">
            <val>2022/03</val>
          </value>
          <value t="str">
            <val>74.13</val>
          </value>
          <value t="str">
            <val>82.28</val>
          </value>
          <value t="str">
            <val>2022/06</val>
          </value>
        </values>
      </ddeItem>
      <ddeItem name="3685.TW-OperatingProfitRatio,Price,PriceChangeRatio,InOutRatioNumber,Value,YearReturn,MonthReturn,WeekReturn,FinanceBalanceDif,ChipsField2" advise="1">
        <values cols="10">
          <value t="str">
            <val>-0.80</val>
          </value>
          <value>
            <val>27.15</val>
          </value>
          <value>
            <val>0</val>
          </value>
          <value t="str">
            <val>56.52%</val>
          </value>
          <value t="str">
            <val>187萬</val>
          </value>
          <value t="str">
            <val>+1.80</val>
          </value>
          <value t="str">
            <val>+16.77</val>
          </value>
          <value t="str">
            <val>+1.69</val>
          </value>
          <value>
            <val>64</val>
          </value>
          <value>
            <val>0</val>
          </value>
        </values>
      </ddeItem>
      <ddeItem name="36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</val>
          </value>
          <value t="str">
            <val>2022/07/13</val>
          </value>
          <value t="str">
            <val>1.20</val>
          </value>
          <value>
            <val>1.27</val>
          </value>
          <value t="str">
            <val>2.44</val>
          </value>
          <value t="str">
            <val>0.54</val>
          </value>
          <value t="str">
            <val>歐買尬</val>
          </value>
          <value t="str">
            <val>上櫃電子商務</val>
          </value>
          <value t="str">
            <val>第三方金流服務及遊戲代理商</val>
          </value>
        </values>
      </ddeItem>
      <ddeItem name="3687.TW-CName,InvestorConferenceDate,DateofMeetingofShareHolders,TradingDate" advise="1">
        <values cols="4">
          <value t="str">
            <val>歐買尬</val>
          </value>
          <value t="str">
            <val>2021/12/28</val>
          </value>
          <value t="str">
            <val>2022/06/15</val>
          </value>
          <value t="str">
            <val>2022/08/01</val>
          </value>
        </values>
      </ddeItem>
      <ddeItem name="3687.TW-ID,Name,MarketValue,Capital,NetIncomeGrowthRate,OperIncomeGrowthRate,FinancialStatementsTime,TFXRatio,MonthlyNetSalesYoY,RevenueMonth" advise="1">
        <values cols="10">
          <value t="str">
            <val>3687</val>
          </value>
          <value t="str">
            <val>歐買尬</val>
          </value>
          <value t="str">
            <val>28.3</val>
          </value>
          <value t="str">
            <val>3.01</val>
          </value>
          <value t="str">
            <val>14.63</val>
          </value>
          <value t="str">
            <val>11.43</val>
          </value>
          <value t="str">
            <val>2022/03</val>
          </value>
          <value t="str">
            <val>13.32</val>
          </value>
          <value t="str">
            <val>10.10</val>
          </value>
          <value t="str">
            <val>2022/06</val>
          </value>
        </values>
      </ddeItem>
      <ddeItem name="3687.TW-OperatingProfitRatio,Price,PriceChangeRatio,InOutRatioNumber,Value,YearReturn,MonthReturn,WeekReturn,FinanceBalanceDif,ChipsField2" advise="1">
        <values cols="10">
          <value t="str">
            <val>19.54</val>
          </value>
          <value>
            <val>94.2</val>
          </value>
          <value>
            <val>-0.74</val>
          </value>
          <value t="str">
            <val>28.79%</val>
          </value>
          <value t="str">
            <val>1885萬</val>
          </value>
          <value t="str">
            <val>-11.67</val>
          </value>
          <value t="str">
            <val>-13.27</val>
          </value>
          <value t="str">
            <val>-4.56</val>
          </value>
          <value>
            <val>0</val>
          </value>
          <value>
            <val>0</val>
          </value>
        </values>
      </ddeItem>
      <ddeItem name="3689.TW-ChipsField3,ChipsField1,ChipsField25,CashAndStockDividend,CashDividendYieldRate,ProfitFourSeason,ProfitSingle,CName,ExchangeIndustry,CompanyPos" advise="1">
        <values cols="10">
          <value>
            <val>8</val>
          </value>
          <value>
            <val>47</val>
          </value>
          <value t="str">
            <val>2022/07/18</val>
          </value>
          <value t="str">
            <val>2.29</val>
          </value>
          <value>
            <val>6</val>
          </value>
          <value t="str">
            <val>4.38</val>
          </value>
          <value t="str">
            <val>1.36</val>
          </value>
          <value t="str">
            <val>湧德</val>
          </value>
          <value t="str">
            <val>上櫃電子零組件</val>
          </value>
          <value t="str">
            <val>主要生產DT主機板、網通用連接器</val>
          </value>
        </values>
      </ddeItem>
      <ddeItem name="3689.TW-CName,InvestorConferenceDate,DateofMeetingofShareHolders,TradingDate" advise="1">
        <values cols="4">
          <value t="str">
            <val>湧德</val>
          </value>
          <value t="str">
            <val>2021/09/15</val>
          </value>
          <value t="str">
            <val>2022/06/16</val>
          </value>
          <value t="str">
            <val>2022/08/01</val>
          </value>
        </values>
      </ddeItem>
      <ddeItem name="3689.TW-ID,Name,MarketValue,Capital,NetIncomeGrowthRate,OperIncomeGrowthRate,FinancialStatementsTime,TFXRatio,MonthlyNetSalesYoY,RevenueMonth" advise="1">
        <values cols="10">
          <value t="str">
            <val>3689</val>
          </value>
          <value t="str">
            <val>湧德</val>
          </value>
          <value t="str">
            <val>29.5</val>
          </value>
          <value t="str">
            <val>7.72</val>
          </value>
          <value t="str">
            <val>260.54</val>
          </value>
          <value t="str">
            <val>207.69</val>
          </value>
          <value t="str">
            <val>2022/03</val>
          </value>
          <value t="str">
            <val>-14.14</val>
          </value>
          <value t="str">
            <val>1.97</val>
          </value>
          <value t="str">
            <val>2022/06</val>
          </value>
        </values>
      </ddeItem>
      <ddeItem name="3689.TW-OperatingProfitRatio,Price,PriceChangeRatio,InOutRatioNumber,Value,YearReturn,MonthReturn,WeekReturn,FinanceBalanceDif,ChipsField2" advise="1">
        <values cols="10">
          <value t="str">
            <val>5.76</val>
          </value>
          <value>
            <val>38.15</val>
          </value>
          <value>
            <val>0.53</val>
          </value>
          <value t="str">
            <val>63.60%</val>
          </value>
          <value t="str">
            <val>1002萬</val>
          </value>
          <value t="str">
            <val>+44.04</val>
          </value>
          <value t="str">
            <val>+6.47</val>
          </value>
          <value t="str">
            <val>-1.93</val>
          </value>
          <value>
            <val>-39</val>
          </value>
          <value>
            <val>0</val>
          </value>
        </values>
      </ddeItem>
      <ddeItem name="3691.TW-ChipsField3,ChipsField1,ChipsField25,CashAndStockDividend,CashDividendYieldRate,ProfitFourSeason,ProfitSingle,CName,ExchangeIndustry,CompanyPos" advise="1">
        <values cols="10">
          <value>
            <val>10</val>
          </value>
          <value>
            <val>136</val>
          </value>
          <value t="str">
            <val>--</val>
          </value>
          <value t="str">
            <val>0.00</val>
          </value>
          <value>
            <val>0</val>
          </value>
          <value t="str">
            <val>-5.15</val>
          </value>
          <value t="str">
            <val>0.66</val>
          </value>
          <value t="str">
            <val>碩禾</val>
          </value>
          <value t="str">
            <val>上櫃光電</val>
          </value>
          <value t="str">
            <val>國碩轉投資太陽能導電漿大廠</val>
          </value>
        </values>
      </ddeItem>
      <ddeItem name="3691.TW-CName,InvestorConferenceDate,DateofMeetingofShareHolders,TradingDate" advise="1">
        <values cols="4">
          <value t="str">
            <val>碩禾</val>
          </value>
          <value t="str">
            <val>2021/11/11</val>
          </value>
          <value t="str">
            <val>2022/06/09</val>
          </value>
          <value t="str">
            <val>2022/08/01</val>
          </value>
        </values>
      </ddeItem>
      <ddeItem name="3691.TW-ID,Name,MarketValue,Capital,NetIncomeGrowthRate,OperIncomeGrowthRate,FinancialStatementsTime,TFXRatio,MonthlyNetSalesYoY,RevenueMonth" advise="1">
        <values cols="10">
          <value t="str">
            <val>3691</val>
          </value>
          <value t="str">
            <val>碩禾</val>
          </value>
          <value t="str">
            <val>110.4</val>
          </value>
          <value t="str">
            <val>7.59</val>
          </value>
          <value t="str">
            <val>124.98</val>
          </value>
          <value t="str">
            <val>-140.95</val>
          </value>
          <value t="str">
            <val>2022/03</val>
          </value>
          <value t="str">
            <val>27.89</val>
          </value>
          <value t="str">
            <val>4.85</val>
          </value>
          <value t="str">
            <val>2022/06</val>
          </value>
        </values>
      </ddeItem>
      <ddeItem name="3691.TW-OperatingProfitRatio,Price,PriceChangeRatio,InOutRatioNumber,Value,YearReturn,MonthReturn,WeekReturn,FinanceBalanceDif,ChipsField2" advise="1">
        <values cols="10">
          <value t="str">
            <val>-1.77</val>
          </value>
          <value>
            <val>145.5</val>
          </value>
          <value>
            <val>-2.02</val>
          </value>
          <value t="str">
            <val>50.72%</val>
          </value>
          <value t="str">
            <val>5603萬</val>
          </value>
          <value t="str">
            <val>-35.94</val>
          </value>
          <value t="str">
            <val>+1.75</val>
          </value>
          <value t="str">
            <val>+0.69</val>
          </value>
          <value>
            <val>-28</val>
          </value>
          <value>
            <val>0</val>
          </value>
        </values>
      </ddeItem>
      <ddeItem name="369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45</val>
          </value>
          <value t="str">
            <val>--</val>
          </value>
          <value t="str">
            <val>1.50</val>
          </value>
          <value>
            <val>2.5</val>
          </value>
          <value t="str">
            <val>2.94</val>
          </value>
          <value t="str">
            <val>0.42</val>
          </value>
          <value t="str">
            <val>營邦</val>
          </value>
          <value t="str">
            <val>上櫃電腦及週邊設備</val>
          </value>
          <value t="str">
            <val>台灣伺服器及工業電腦之機殼廠</val>
          </value>
        </values>
      </ddeItem>
      <ddeItem name="3693.TW-CName,InvestorConferenceDate,DateofMeetingofShareHolders,TradingDate" advise="1">
        <values cols="4">
          <value t="str">
            <val>營邦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3693.TW-ID,Name,MarketValue,Capital,NetIncomeGrowthRate,OperIncomeGrowthRate,FinancialStatementsTime,TFXRatio,MonthlyNetSalesYoY,RevenueMonth" advise="1">
        <values cols="10">
          <value t="str">
            <val>3693</val>
          </value>
          <value t="str">
            <val>營邦</val>
          </value>
          <value t="str">
            <val>23.1</val>
          </value>
          <value t="str">
            <val>3.85</val>
          </value>
          <value t="str">
            <val>-24.26</val>
          </value>
          <value t="str">
            <val>135.65</val>
          </value>
          <value t="str">
            <val>2022/03</val>
          </value>
          <value t="str">
            <val>36.54</val>
          </value>
          <value t="str">
            <val>79.72</val>
          </value>
          <value t="str">
            <val>2022/06</val>
          </value>
        </values>
      </ddeItem>
      <ddeItem name="3693.TW-OperatingProfitRatio,Price,PriceChangeRatio,InOutRatioNumber,Value,YearReturn,MonthReturn,WeekReturn,FinanceBalanceDif,ChipsField2" advise="1">
        <values cols="10">
          <value t="str">
            <val>1.49</val>
          </value>
          <value>
            <val>59.9</val>
          </value>
          <value>
            <val>0</val>
          </value>
          <value t="str">
            <val>49.77%</val>
          </value>
          <value t="str">
            <val>1395萬</val>
          </value>
          <value t="str">
            <val>+40.22</val>
          </value>
          <value t="str">
            <val>+35.67</val>
          </value>
          <value t="str">
            <val>+4.72</val>
          </value>
          <value>
            <val>83</val>
          </value>
          <value>
            <val>0</val>
          </value>
        </values>
      </ddeItem>
      <ddeItem name="3707.TW-ChipsField3,ChipsField1,ChipsField25,CashAndStockDividend,CashDividendYieldRate,ProfitFourSeason,ProfitSingle,CName,ExchangeIndustry,CompanyPos" advise="1">
        <values cols="10">
          <value>
            <val>202</val>
          </value>
          <value>
            <val>3527</val>
          </value>
          <value t="str">
            <val>2022/07/15</val>
          </value>
          <value t="str">
            <val>0.35</val>
          </value>
          <value>
            <val>0.35</val>
          </value>
          <value t="str">
            <val>1.46</val>
          </value>
          <value t="str">
            <val>0.65</val>
          </value>
          <value t="str">
            <val>漢磊</val>
          </value>
          <value t="str">
            <val>上櫃半導體</val>
          </value>
          <value t="str">
            <val>中小型晶圓代工與磊晶供應商</val>
          </value>
        </values>
      </ddeItem>
      <ddeItem name="3707.TW-CName,InvestorConferenceDate,DateofMeetingofShareHolders,TradingDate" advise="1">
        <values cols="4">
          <value t="str">
            <val>漢磊</val>
          </value>
          <value t="str">
            <val>2021/11/05</val>
          </value>
          <value t="str">
            <val>2022/06/17</val>
          </value>
          <value t="str">
            <val>2022/08/01</val>
          </value>
        </values>
      </ddeItem>
      <ddeItem name="3707.TW-ID,Name,MarketValue,Capital,NetIncomeGrowthRate,OperIncomeGrowthRate,FinancialStatementsTime,TFXRatio,MonthlyNetSalesYoY,RevenueMonth" advise="1">
        <values cols="10">
          <value t="str">
            <val>3707</val>
          </value>
          <value t="str">
            <val>漢磊</val>
          </value>
          <value t="str">
            <val>334.9</val>
          </value>
          <value t="str">
            <val>33.32</val>
          </value>
          <value t="str">
            <val>22806.77</val>
          </value>
          <value t="str">
            <val>1855.19</val>
          </value>
          <value t="str">
            <val>2022/03</val>
          </value>
          <value t="str">
            <val>1.76</val>
          </value>
          <value t="str">
            <val>26.51</val>
          </value>
          <value t="str">
            <val>2022/06</val>
          </value>
        </values>
      </ddeItem>
      <ddeItem name="3707.TW-OperatingProfitRatio,Price,PriceChangeRatio,InOutRatioNumber,Value,YearReturn,MonthReturn,WeekReturn,FinanceBalanceDif,ChipsField2" advise="1">
        <values cols="10">
          <value t="str">
            <val>14.83</val>
          </value>
          <value>
            <val>100.5</val>
          </value>
          <value>
            <val>-1.95</val>
          </value>
          <value t="str">
            <val>50.96%</val>
          </value>
          <value t="str">
            <val>7.04億</val>
          </value>
          <value t="str">
            <val>-1.56</val>
          </value>
          <value t="str">
            <val>-0.10</val>
          </value>
          <value t="str">
            <val>0.00</val>
          </value>
          <value>
            <val>-842</val>
          </value>
          <value>
            <val>206</val>
          </value>
        </values>
      </ddeItem>
      <ddeItem name="3709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1</val>
          </value>
          <value t="str">
            <val>2022/07/07</val>
          </value>
          <value t="str">
            <val>1.60</val>
          </value>
          <value>
            <val>5.84</val>
          </value>
          <value t="str">
            <val>4.60</val>
          </value>
          <value t="str">
            <val>1.10</val>
          </value>
          <value t="str">
            <val>鑫聯大投控</val>
          </value>
          <value t="str">
            <val>上櫃電腦及週邊設備</val>
          </value>
          <value t="str">
            <val>台灣主要資訊通訊通路代理商之一</val>
          </value>
        </values>
      </ddeItem>
      <ddeItem name="3709.TW-CName,InvestorConferenceDate,DateofMeetingofShareHolders,TradingDate" advise="1">
        <values cols="4">
          <value t="str">
            <val>鑫聯大投控</val>
          </value>
          <value t="str">
            <val>2022/05/27</val>
          </value>
          <value t="str">
            <val>2022/06/16</val>
          </value>
          <value t="str">
            <val>2022/08/01</val>
          </value>
        </values>
      </ddeItem>
      <ddeItem name="3709.TW-ID,Name,MarketValue,Capital,NetIncomeGrowthRate,OperIncomeGrowthRate,FinancialStatementsTime,TFXRatio,MonthlyNetSalesYoY,RevenueMonth" advise="1">
        <values cols="10">
          <value t="str">
            <val>3709</val>
          </value>
          <value t="str">
            <val>鑫聯大投控</val>
          </value>
          <value t="str">
            <val>27.6</val>
          </value>
          <value t="str">
            <val>10.06</val>
          </value>
          <value t="str">
            <val>11.81</val>
          </value>
          <value t="str">
            <val>20.34</val>
          </value>
          <value t="str">
            <val>2022/03</val>
          </value>
          <value t="str">
            <val>12.41</val>
          </value>
          <value t="str">
            <val>22.48</val>
          </value>
          <value t="str">
            <val>2022/06</val>
          </value>
        </values>
      </ddeItem>
      <ddeItem name="3709.TW-OperatingProfitRatio,Price,PriceChangeRatio,InOutRatioNumber,Value,YearReturn,MonthReturn,WeekReturn,FinanceBalanceDif,ChipsField2" advise="1">
        <values cols="10">
          <value t="str">
            <val>2.73</val>
          </value>
          <value>
            <val>27.4</val>
          </value>
          <value>
            <val>0.18</val>
          </value>
          <value t="str">
            <val>25.00%</val>
          </value>
          <value t="str">
            <val>11.0萬</val>
          </value>
          <value t="str">
            <val>+8.41</val>
          </value>
          <value t="str">
            <val>+3.03</val>
          </value>
          <value t="str">
            <val>-3.52</val>
          </value>
          <value>
            <val>-24</val>
          </value>
          <value>
            <val>0</val>
          </value>
        </values>
      </ddeItem>
      <ddeItem name="37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--</val>
          </value>
          <value t="str">
            <val>0.00</val>
          </value>
          <value>
            <val>0</val>
          </value>
          <value t="str">
            <val>-2.84</val>
          </value>
          <value t="str">
            <val>-0.64</val>
          </value>
          <value t="str">
            <val>連展投控</val>
          </value>
          <value t="str">
            <val>上櫃電子零組件</val>
          </value>
          <value t="str">
            <val>手機隱藏式天線及I/O連接器廠</val>
          </value>
        </values>
      </ddeItem>
      <ddeItem name="3710.TW-CName,InvestorConferenceDate,DateofMeetingofShareHolders,TradingDate" advise="1">
        <values cols="4">
          <value t="str">
            <val>連展投控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3710.TW-ID,Name,MarketValue,Capital,NetIncomeGrowthRate,OperIncomeGrowthRate,FinancialStatementsTime,TFXRatio,MonthlyNetSalesYoY,RevenueMonth" advise="1">
        <values cols="10">
          <value t="str">
            <val>3710</val>
          </value>
          <value t="str">
            <val>連展投控</val>
          </value>
          <value t="str">
            <val>36.5</val>
          </value>
          <value t="str">
            <val>28.29</val>
          </value>
          <value t="str">
            <val>-127.14</val>
          </value>
          <value t="str">
            <val>-15.47</val>
          </value>
          <value t="str">
            <val>2022/03</val>
          </value>
          <value t="str">
            <val>-3.87</val>
          </value>
          <value t="str">
            <val>-2.20</val>
          </value>
          <value t="str">
            <val>2022/06</val>
          </value>
        </values>
      </ddeItem>
      <ddeItem name="3710.TW-OperatingProfitRatio,Price,PriceChangeRatio,InOutRatioNumber,Value,YearReturn,MonthReturn,WeekReturn,FinanceBalanceDif,ChipsField2" advise="1">
        <values cols="10">
          <value t="str">
            <val>-3.75</val>
          </value>
          <value>
            <val>12.9</val>
          </value>
          <value>
            <val>9.7899999999999991</val>
          </value>
          <value t="str">
            <val>81.66%</val>
          </value>
          <value t="str">
            <val>1.39億</val>
          </value>
          <value t="str">
            <val>+40.07</val>
          </value>
          <value t="str">
            <val>+7.50</val>
          </value>
          <value t="str">
            <val>+11.21</val>
          </value>
          <value>
            <val>0</val>
          </value>
          <value>
            <val>0</val>
          </value>
        </values>
      </ddeItem>
      <ddeItem name="37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0.18</val>
          </value>
          <value t="str">
            <val>0.02</val>
          </value>
          <value t="str">
            <val>新晶投控</val>
          </value>
          <value t="str">
            <val>上櫃光電</val>
          </value>
          <value t="str">
            <val>股份轉換成立，旗下100%持股頂晶科</val>
          </value>
        </values>
      </ddeItem>
      <ddeItem name="3713.TW-CName,InvestorConferenceDate,DateofMeetingofShareHolders,TradingDate" advise="1">
        <values cols="4">
          <value t="str">
            <val>新晶投控</val>
          </value>
          <value t="str">
            <val>--</val>
          </value>
          <value t="str">
            <val>2022/06/28</val>
          </value>
          <value t="str">
            <val>2022/08/01</val>
          </value>
        </values>
      </ddeItem>
      <ddeItem name="3713.TW-ID,Name,MarketValue,Capital,NetIncomeGrowthRate,OperIncomeGrowthRate,FinancialStatementsTime,TFXRatio,MonthlyNetSalesYoY,RevenueMonth" advise="1">
        <values cols="10">
          <value t="str">
            <val>3713</val>
          </value>
          <value t="str">
            <val>新晶投控</val>
          </value>
          <value t="str">
            <val>22.8</val>
          </value>
          <value t="str">
            <val>7.81</val>
          </value>
          <value t="str">
            <val>-93.49</val>
          </value>
          <value t="str">
            <val>-64.53</val>
          </value>
          <value t="str">
            <val>2022/03</val>
          </value>
          <value t="str">
            <val>248.51</val>
          </value>
          <value t="str">
            <val>211.59</val>
          </value>
          <value t="str">
            <val>2022/06</val>
          </value>
        </values>
      </ddeItem>
      <ddeItem name="3713.TW-OperatingProfitRatio,Price,PriceChangeRatio,InOutRatioNumber,Value,YearReturn,MonthReturn,WeekReturn,FinanceBalanceDif,ChipsField2" advise="1">
        <values cols="10">
          <value t="str">
            <val>4.61</val>
          </value>
          <value>
            <val>29.25</val>
          </value>
          <value>
            <val>0.17</val>
          </value>
          <value t="str">
            <val>32.46%</val>
          </value>
          <value t="str">
            <val>325萬</val>
          </value>
          <value t="str">
            <val>-22.72</val>
          </value>
          <value t="str">
            <val>+0.34</val>
          </value>
          <value t="str">
            <val>-0.51</val>
          </value>
          <value>
            <val>0</val>
          </value>
          <value>
            <val>0</val>
          </value>
        </values>
      </ddeItem>
      <ddeItem name="41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2022/07/05</val>
          </value>
          <value t="str">
            <val>0.10</val>
          </value>
          <value>
            <val>0.56999999999999995</val>
          </value>
          <value t="str">
            <val>0.34</val>
          </value>
          <value t="str">
            <val>0.12</val>
          </value>
          <value t="str">
            <val>永日</val>
          </value>
          <value t="str">
            <val>上櫃生技醫療</val>
          </value>
          <value t="str">
            <val>永信製藥旗下原料藥廠</val>
          </value>
        </values>
      </ddeItem>
      <ddeItem name="4102.TW-CName,InvestorConferenceDate,DateofMeetingofShareHolders,TradingDate" advise="1">
        <values cols="4">
          <value t="str">
            <val>永日</val>
          </value>
          <value t="str">
            <val>2021/10/21</val>
          </value>
          <value t="str">
            <val>2022/05/27</val>
          </value>
          <value t="str">
            <val>2022/08/01</val>
          </value>
        </values>
      </ddeItem>
      <ddeItem name="4102.TW-ID,Name,MarketValue,Capital,NetIncomeGrowthRate,OperIncomeGrowthRate,FinancialStatementsTime,TFXRatio,MonthlyNetSalesYoY,RevenueMonth" advise="1">
        <values cols="10">
          <value t="str">
            <val>4102</val>
          </value>
          <value t="str">
            <val>永日</val>
          </value>
          <value t="str">
            <val>7.5</val>
          </value>
          <value t="str">
            <val>4.24</val>
          </value>
          <value t="str">
            <val>354.94</val>
          </value>
          <value t="str">
            <val>119.26</val>
          </value>
          <value t="str">
            <val>2022/03</val>
          </value>
          <value t="str">
            <val>47.78</val>
          </value>
          <value t="str">
            <val>52.38</val>
          </value>
          <value t="str">
            <val>2022/06</val>
          </value>
        </values>
      </ddeItem>
      <ddeItem name="4102.TW-OperatingProfitRatio,Price,PriceChangeRatio,InOutRatioNumber,Value,YearReturn,MonthReturn,WeekReturn,FinanceBalanceDif,ChipsField2" advise="1">
        <values cols="10">
          <value t="str">
            <val>0.76</val>
          </value>
          <value>
            <val>17.649999999999999</val>
          </value>
          <value>
            <val>-1.1200000000000001</val>
          </value>
          <value t="str">
            <val>41.96%</val>
          </value>
          <value t="str">
            <val>197萬</val>
          </value>
          <value t="str">
            <val>-11.86</val>
          </value>
          <value t="str">
            <val>+6.96</val>
          </value>
          <value t="str">
            <val>-4.59</val>
          </value>
          <value>
            <val>-11</val>
          </value>
          <value>
            <val>0</val>
          </value>
        </values>
      </ddeItem>
      <ddeItem name="4105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-104</val>
          </value>
          <value t="str">
            <val>2022/07/19</val>
          </value>
          <value t="str">
            <val>3.00</val>
          </value>
          <value>
            <val>4.2300000000000004</val>
          </value>
          <value t="str">
            <val>3.44</val>
          </value>
          <value t="str">
            <val>0.91</val>
          </value>
          <value t="str">
            <val>東洋</val>
          </value>
          <value t="str">
            <val>上櫃生技醫療</val>
          </value>
          <value t="str">
            <val>台灣最大抗癌症藥廠</val>
          </value>
        </values>
      </ddeItem>
      <ddeItem name="4105.TW-CName,InvestorConferenceDate,DateofMeetingofShareHolders,TradingDate" advise="1">
        <values cols="4">
          <value t="str">
            <val>東洋</val>
          </value>
          <value t="str">
            <val>2022/06/30</val>
          </value>
          <value t="str">
            <val>2022/05/26</val>
          </value>
          <value t="str">
            <val>2022/08/01</val>
          </value>
        </values>
      </ddeItem>
      <ddeItem name="4105.TW-ID,Name,MarketValue,Capital,NetIncomeGrowthRate,OperIncomeGrowthRate,FinancialStatementsTime,TFXRatio,MonthlyNetSalesYoY,RevenueMonth" advise="1">
        <values cols="10">
          <value t="str">
            <val>4105</val>
          </value>
          <value t="str">
            <val>東洋</val>
          </value>
          <value t="str">
            <val>176.3</val>
          </value>
          <value t="str">
            <val>24.87</val>
          </value>
          <value t="str">
            <val>12.93</val>
          </value>
          <value t="str">
            <val>12.50</val>
          </value>
          <value t="str">
            <val>2022/03</val>
          </value>
          <value t="str">
            <val>-10.49</val>
          </value>
          <value t="str">
            <val>20.48</val>
          </value>
          <value t="str">
            <val>2022/06</val>
          </value>
        </values>
      </ddeItem>
      <ddeItem name="4105.TW-OperatingProfitRatio,Price,PriceChangeRatio,InOutRatioNumber,Value,YearReturn,MonthReturn,WeekReturn,FinanceBalanceDif,ChipsField2" advise="1">
        <values cols="10">
          <value t="str">
            <val>23.77</val>
          </value>
          <value>
            <val>70.900000000000006</val>
          </value>
          <value>
            <val>0.14000000000000001</val>
          </value>
          <value t="str">
            <val>37.05%</val>
          </value>
          <value t="str">
            <val>2048萬</val>
          </value>
          <value t="str">
            <val>-3.14</val>
          </value>
          <value t="str">
            <val>+4.02</val>
          </value>
          <value t="str">
            <val>-0.14</val>
          </value>
          <value>
            <val>6</val>
          </value>
          <value>
            <val>0</val>
          </value>
        </values>
      </ddeItem>
      <ddeItem name="41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-22</val>
          </value>
          <value t="str">
            <val>2022/08/31</val>
          </value>
          <value t="str">
            <val>4.50</val>
          </value>
          <value>
            <val>4.2300000000000004</val>
          </value>
          <value t="str">
            <val>6.25</val>
          </value>
          <value t="str">
            <val>1.76</val>
          </value>
          <value t="str">
            <val>邦特</val>
          </value>
          <value t="str">
            <val>上櫃生技醫療</val>
          </value>
          <value t="str">
            <val>台灣血液迴路管、穿刺針龍頭</val>
          </value>
        </values>
      </ddeItem>
      <ddeItem name="4107.TW-CName,InvestorConferenceDate,DateofMeetingofShareHolders,TradingDate" advise="1">
        <values cols="4">
          <value t="str">
            <val>邦特</val>
          </value>
          <value t="str">
            <val>2022/06/10</val>
          </value>
          <value t="str">
            <val>2022/06/15</val>
          </value>
          <value t="str">
            <val>2022/08/01</val>
          </value>
        </values>
      </ddeItem>
      <ddeItem name="4107.TW-ID,Name,MarketValue,Capital,NetIncomeGrowthRate,OperIncomeGrowthRate,FinancialStatementsTime,TFXRatio,MonthlyNetSalesYoY,RevenueMonth" advise="1">
        <values cols="10">
          <value t="str">
            <val>4107</val>
          </value>
          <value t="str">
            <val>邦特</val>
          </value>
          <value t="str">
            <val>73.8</val>
          </value>
          <value t="str">
            <val>6.93</val>
          </value>
          <value t="str">
            <val>1.31</val>
          </value>
          <value t="str">
            <val>-14.10</val>
          </value>
          <value t="str">
            <val>2022/03</val>
          </value>
          <value t="str">
            <val>3.99</val>
          </value>
          <value t="str">
            <val>7.62</val>
          </value>
          <value t="str">
            <val>2022/06</val>
          </value>
        </values>
      </ddeItem>
      <ddeItem name="4107.TW-OperatingProfitRatio,Price,PriceChangeRatio,InOutRatioNumber,Value,YearReturn,MonthReturn,WeekReturn,FinanceBalanceDif,ChipsField2" advise="1">
        <values cols="10">
          <value t="str">
            <val>28.04</val>
          </value>
          <value>
            <val>106.5</val>
          </value>
          <value>
            <val>0.95</val>
          </value>
          <value t="str">
            <val>62.16%</val>
          </value>
          <value t="str">
            <val>1183萬</val>
          </value>
          <value t="str">
            <val>+1.54</val>
          </value>
          <value t="str">
            <val>0.00</val>
          </value>
          <value t="str">
            <val>+0.47</val>
          </value>
          <value>
            <val>0</val>
          </value>
          <value>
            <val>0</val>
          </value>
        </values>
      </ddeItem>
      <ddeItem name="41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--</val>
          </value>
          <value t="str">
            <val>0.00</val>
          </value>
          <value>
            <val>0</val>
          </value>
          <value t="str">
            <val>0.07</val>
          </value>
          <value t="str">
            <val>-0.02</val>
          </value>
          <value t="str">
            <val>加捷生醫</val>
          </value>
          <value t="str">
            <val>上櫃生技醫療</val>
          </value>
          <value t="str">
            <val>台灣最大甲魚相關保健食品廠</val>
          </value>
        </values>
      </ddeItem>
      <ddeItem name="4109.TW-CName,InvestorConferenceDate,DateofMeetingofShareHolders,TradingDate" advise="1">
        <values cols="4">
          <value t="str">
            <val>加捷生醫</val>
          </value>
          <value t="str">
            <val>2021/11/17</val>
          </value>
          <value t="str">
            <val>2022/06/07</val>
          </value>
          <value t="str">
            <val>2022/08/01</val>
          </value>
        </values>
      </ddeItem>
      <ddeItem name="4109.TW-ID,Name,MarketValue,Capital,NetIncomeGrowthRate,OperIncomeGrowthRate,FinancialStatementsTime,TFXRatio,MonthlyNetSalesYoY,RevenueMonth" advise="1">
        <values cols="10">
          <value t="str">
            <val>4109</val>
          </value>
          <value t="str">
            <val>加捷生醫</val>
          </value>
          <value t="str">
            <val>12.7</val>
          </value>
          <value t="str">
            <val>8.89</val>
          </value>
          <value t="str">
            <val>37.52</val>
          </value>
          <value t="str">
            <val>14.87</val>
          </value>
          <value t="str">
            <val>2022/03</val>
          </value>
          <value t="str">
            <val>-20.12</val>
          </value>
          <value t="str">
            <val>29.87</val>
          </value>
          <value t="str">
            <val>2022/06</val>
          </value>
        </values>
      </ddeItem>
      <ddeItem name="4109.TW-OperatingProfitRatio,Price,PriceChangeRatio,InOutRatioNumber,Value,YearReturn,MonthReturn,WeekReturn,FinanceBalanceDif,ChipsField2" advise="1">
        <values cols="10">
          <value t="str">
            <val>-3.58</val>
          </value>
          <value>
            <val>14.3</val>
          </value>
          <value>
            <val>0.35</val>
          </value>
          <value t="str">
            <val>34.29%</val>
          </value>
          <value t="str">
            <val>99.9萬</val>
          </value>
          <value t="str">
            <val>+5.93</val>
          </value>
          <value t="str">
            <val>+1.06</val>
          </value>
          <value t="str">
            <val>-0.35</val>
          </value>
          <value>
            <val>7</val>
          </value>
          <value>
            <val>0</val>
          </value>
        </values>
      </ddeItem>
      <ddeItem name="41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1.00</val>
          </value>
          <value>
            <val>4.24</val>
          </value>
          <value t="str">
            <val>1.65</val>
          </value>
          <value t="str">
            <val>0.46</val>
          </value>
          <value t="str">
            <val>濟生</val>
          </value>
          <value t="str">
            <val>上櫃生技醫療</val>
          </value>
          <value t="str">
            <val>主要從事血液透析濃縮液產品開發</val>
          </value>
        </values>
      </ddeItem>
      <ddeItem name="4111.TW-CName,InvestorConferenceDate,DateofMeetingofShareHolders,TradingDate" advise="1">
        <values cols="4">
          <value t="str">
            <val>濟生</val>
          </value>
          <value t="str">
            <val>2021/12/21</val>
          </value>
          <value t="str">
            <val>2022/06/16</val>
          </value>
          <value t="str">
            <val>2022/08/01</val>
          </value>
        </values>
      </ddeItem>
      <ddeItem name="4111.TW-ID,Name,MarketValue,Capital,NetIncomeGrowthRate,OperIncomeGrowthRate,FinancialStatementsTime,TFXRatio,MonthlyNetSalesYoY,RevenueMonth" advise="1">
        <values cols="10">
          <value t="str">
            <val>4111</val>
          </value>
          <value t="str">
            <val>濟生</val>
          </value>
          <value t="str">
            <val>13.4</val>
          </value>
          <value t="str">
            <val>5.70</val>
          </value>
          <value t="str">
            <val>105.29</val>
          </value>
          <value t="str">
            <val>182.52</val>
          </value>
          <value t="str">
            <val>2022/03</val>
          </value>
          <value t="str">
            <val>-4.85</val>
          </value>
          <value t="str">
            <val>6.34</val>
          </value>
          <value t="str">
            <val>2022/06</val>
          </value>
        </values>
      </ddeItem>
      <ddeItem name="4111.TW-OperatingProfitRatio,Price,PriceChangeRatio,InOutRatioNumber,Value,YearReturn,MonthReturn,WeekReturn,FinanceBalanceDif,ChipsField2" advise="1">
        <values cols="10">
          <value t="str">
            <val>11.03</val>
          </value>
          <value>
            <val>23.6</val>
          </value>
          <value>
            <val>0.21</val>
          </value>
          <value t="str">
            <val>70.83%</val>
          </value>
          <value t="str">
            <val>114萬</val>
          </value>
          <value t="str">
            <val>+7.32</val>
          </value>
          <value t="str">
            <val>+1.07</val>
          </value>
          <value t="str">
            <val>0.00</val>
          </value>
          <value>
            <val>-1</val>
          </value>
          <value>
            <val>0</val>
          </value>
        </values>
      </ddeItem>
      <ddeItem name="41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2022/08/17</val>
          </value>
          <value t="str">
            <val>0.40</val>
          </value>
          <value>
            <val>3.33</val>
          </value>
          <value t="str">
            <val>0.66</val>
          </value>
          <value t="str">
            <val>-0.05</val>
          </value>
          <value t="str">
            <val>聯上</val>
          </value>
          <value t="str">
            <val>上櫃建材營造</val>
          </value>
          <value t="str">
            <val>聯上集團旗下建商，負責南部推案</val>
          </value>
        </values>
      </ddeItem>
      <ddeItem name="4113.TW-CName,InvestorConferenceDate,DateofMeetingofShareHolders,TradingDate" advise="1">
        <values cols="4">
          <value t="str">
            <val>聯上</val>
          </value>
          <value t="str">
            <val>--</val>
          </value>
          <value t="str">
            <val>2022/06/30</val>
          </value>
          <value t="str">
            <val>2022/08/01</val>
          </value>
        </values>
      </ddeItem>
      <ddeItem name="4113.TW-ID,Name,MarketValue,Capital,NetIncomeGrowthRate,OperIncomeGrowthRate,FinancialStatementsTime,TFXRatio,MonthlyNetSalesYoY,RevenueMonth" advise="1">
        <values cols="10">
          <value t="str">
            <val>4113</val>
          </value>
          <value t="str">
            <val>聯上</val>
          </value>
          <value t="str">
            <val>25.3</val>
          </value>
          <value t="str">
            <val>21.11</val>
          </value>
          <value t="str">
            <val>32.95</val>
          </value>
          <value t="str">
            <val>1261.52</val>
          </value>
          <value t="str">
            <val>2022/03</val>
          </value>
          <value t="str">
            <val>3.95</val>
          </value>
          <value t="str">
            <val>-99.97</val>
          </value>
          <value t="str">
            <val>2022/06</val>
          </value>
        </values>
      </ddeItem>
      <ddeItem name="4113.TW-OperatingProfitRatio,Price,PriceChangeRatio,InOutRatioNumber,Value,YearReturn,MonthReturn,WeekReturn,FinanceBalanceDif,ChipsField2" advise="1">
        <values cols="10">
          <value t="str">
            <val>6.69</val>
          </value>
          <value>
            <val>12</val>
          </value>
          <value>
            <val>0</val>
          </value>
          <value t="str">
            <val>54.55%</val>
          </value>
          <value t="str">
            <val>13.2萬</val>
          </value>
          <value t="str">
            <val>-11.76</val>
          </value>
          <value t="str">
            <val>-1.64</val>
          </value>
          <value t="str">
            <val>-0.83</val>
          </value>
          <value>
            <val>5</val>
          </value>
          <value>
            <val>0</val>
          </value>
        </values>
      </ddeItem>
      <ddeItem name="4114.TW-ChipsField3,ChipsField1,ChipsField25,CashAndStockDividend,CashDividendYieldRate,ProfitFourSeason,ProfitSingle,CName,ExchangeIndustry,CompanyPos" advise="1">
        <values cols="10">
          <value>
            <val>-133</val>
          </value>
          <value>
            <val>-1374</val>
          </value>
          <value t="str">
            <val>2022/07/11</val>
          </value>
          <value t="str">
            <val>1.52</val>
          </value>
          <value>
            <val>4.78</val>
          </value>
          <value t="str">
            <val>1.27</val>
          </value>
          <value t="str">
            <val>0.42</val>
          </value>
          <value t="str">
            <val>健喬</val>
          </value>
          <value t="str">
            <val>上櫃生技醫療</val>
          </value>
          <value t="str">
            <val>台灣主要學名藥產銷及代理商</val>
          </value>
        </values>
      </ddeItem>
      <ddeItem name="4114.TW-CName,InvestorConferenceDate,DateofMeetingofShareHolders,TradingDate" advise="1">
        <values cols="4">
          <value t="str">
            <val>健喬</val>
          </value>
          <value t="str">
            <val>2021/12/08</val>
          </value>
          <value t="str">
            <val>2022/05/25</val>
          </value>
          <value t="str">
            <val>2022/08/01</val>
          </value>
        </values>
      </ddeItem>
      <ddeItem name="4114.TW-ID,Name,MarketValue,Capital,NetIncomeGrowthRate,OperIncomeGrowthRate,FinancialStatementsTime,TFXRatio,MonthlyNetSalesYoY,RevenueMonth" advise="1">
        <values cols="10">
          <value t="str">
            <val>4114</val>
          </value>
          <value t="str">
            <val>健喬</val>
          </value>
          <value t="str">
            <val>109.3</val>
          </value>
          <value t="str">
            <val>34.37</val>
          </value>
          <value t="str">
            <val>356.92</val>
          </value>
          <value t="str">
            <val>179.37</val>
          </value>
          <value t="str">
            <val>2022/03</val>
          </value>
          <value t="str">
            <val>-13.53</val>
          </value>
          <value t="str">
            <val>29.34</val>
          </value>
          <value t="str">
            <val>2022/06</val>
          </value>
        </values>
      </ddeItem>
      <ddeItem name="4114.TW-OperatingProfitRatio,Price,PriceChangeRatio,InOutRatioNumber,Value,YearReturn,MonthReturn,WeekReturn,FinanceBalanceDif,ChipsField2" advise="1">
        <values cols="10">
          <value t="str">
            <val>11.01</val>
          </value>
          <value>
            <val>31.8</val>
          </value>
          <value>
            <val>1.92</val>
          </value>
          <value t="str">
            <val>49.88%</val>
          </value>
          <value t="str">
            <val>1.97億</val>
          </value>
          <value t="str">
            <val>+59.55</val>
          </value>
          <value t="str">
            <val>+12.97</val>
          </value>
          <value t="str">
            <val>-2.45</val>
          </value>
          <value>
            <val>136</val>
          </value>
          <value>
            <val>0</val>
          </value>
        </values>
      </ddeItem>
      <ddeItem name="41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80</val>
          </value>
          <value t="str">
            <val>2022/06/24</val>
          </value>
          <value t="str">
            <val>0.50</val>
          </value>
          <value>
            <val>0.64</val>
          </value>
          <value t="str">
            <val>2.51</val>
          </value>
          <value t="str">
            <val>1.97</val>
          </value>
          <value t="str">
            <val>明基醫</val>
          </value>
          <value t="str">
            <val>上櫃生技醫療</val>
          </value>
          <value t="str">
            <val>明基旗下醫療器材及手術設備供應商</val>
          </value>
        </values>
      </ddeItem>
      <ddeItem name="4116.TW-CName,InvestorConferenceDate,DateofMeetingofShareHolders,TradingDate" advise="1">
        <values cols="4">
          <value t="str">
            <val>明基醫</val>
          </value>
          <value t="str">
            <val>2021/11/10</val>
          </value>
          <value t="str">
            <val>2022/06/08</val>
          </value>
          <value t="str">
            <val>2022/08/01</val>
          </value>
        </values>
      </ddeItem>
      <ddeItem name="4116.TW-ID,Name,MarketValue,Capital,NetIncomeGrowthRate,OperIncomeGrowthRate,FinancialStatementsTime,TFXRatio,MonthlyNetSalesYoY,RevenueMonth" advise="1">
        <values cols="10">
          <value t="str">
            <val>4116</val>
          </value>
          <value t="str">
            <val>明基醫</val>
          </value>
          <value t="str">
            <val>35.0</val>
          </value>
          <value t="str">
            <val>4.46</val>
          </value>
          <value t="str">
            <val>1238.72</val>
          </value>
          <value t="str">
            <val>158.94</val>
          </value>
          <value t="str">
            <val>2022/03</val>
          </value>
          <value t="str">
            <val>-2.89</val>
          </value>
          <value t="str">
            <val>128.61</val>
          </value>
          <value t="str">
            <val>2022/06</val>
          </value>
        </values>
      </ddeItem>
      <ddeItem name="4116.TW-OperatingProfitRatio,Price,PriceChangeRatio,InOutRatioNumber,Value,YearReturn,MonthReturn,WeekReturn,FinanceBalanceDif,ChipsField2" advise="1">
        <values cols="10">
          <value t="str">
            <val>3.18</val>
          </value>
          <value>
            <val>78.5</val>
          </value>
          <value>
            <val>0.64</val>
          </value>
          <value t="str">
            <val>51.60%</val>
          </value>
          <value t="str">
            <val>3.06億</val>
          </value>
          <value t="str">
            <val>+159.28</val>
          </value>
          <value t="str">
            <val>+10.88</val>
          </value>
          <value t="str">
            <val>-0.38</val>
          </value>
          <value>
            <val>187</val>
          </value>
          <value>
            <val>0</val>
          </value>
        </values>
      </ddeItem>
      <ddeItem name="41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2022/07/18</val>
          </value>
          <value t="str">
            <val>0.85</val>
          </value>
          <value>
            <val>2.4900000000000002</val>
          </value>
          <value t="str">
            <val>1.59</val>
          </value>
          <value t="str">
            <val>0.27</val>
          </value>
          <value t="str">
            <val>友華</val>
          </value>
          <value t="str">
            <val>上櫃生技醫療</val>
          </value>
          <value t="str">
            <val>台灣最大玻尿酸代理進口商</val>
          </value>
        </values>
      </ddeItem>
      <ddeItem name="4120.TW-CName,InvestorConferenceDate,DateofMeetingofShareHolders,TradingDate" advise="1">
        <values cols="4">
          <value t="str">
            <val>友華</val>
          </value>
          <value t="str">
            <val>--</val>
          </value>
          <value t="str">
            <val>2022/06/30</val>
          </value>
          <value t="str">
            <val>2022/08/01</val>
          </value>
        </values>
      </ddeItem>
      <ddeItem name="4120.TW-ID,Name,MarketValue,Capital,NetIncomeGrowthRate,OperIncomeGrowthRate,FinancialStatementsTime,TFXRatio,MonthlyNetSalesYoY,RevenueMonth" advise="1">
        <values cols="10">
          <value t="str">
            <val>4120</val>
          </value>
          <value t="str">
            <val>友華</val>
          </value>
          <value t="str">
            <val>29.6</val>
          </value>
          <value t="str">
            <val>8.67</val>
          </value>
          <value t="str">
            <val>348.01</val>
          </value>
          <value t="str">
            <val>139.55</val>
          </value>
          <value t="str">
            <val>2022/03</val>
          </value>
          <value t="str">
            <val>17.52</val>
          </value>
          <value t="str">
            <val>9.78</val>
          </value>
          <value t="str">
            <val>2022/06</val>
          </value>
        </values>
      </ddeItem>
      <ddeItem name="4120.TW-OperatingProfitRatio,Price,PriceChangeRatio,InOutRatioNumber,Value,YearReturn,MonthReturn,WeekReturn,FinanceBalanceDif,ChipsField2" advise="1">
        <values cols="10">
          <value t="str">
            <val>4.25</val>
          </value>
          <value>
            <val>34.15</val>
          </value>
          <value>
            <val>-0.28999999999999998</val>
          </value>
          <value t="str">
            <val>8.33%</val>
          </value>
          <value t="str">
            <val>44.4萬</val>
          </value>
          <value t="str">
            <val>-12.36</val>
          </value>
          <value t="str">
            <val>+5.17</val>
          </value>
          <value t="str">
            <val>-1.30</val>
          </value>
          <value>
            <val>-2</val>
          </value>
          <value>
            <val>0</val>
          </value>
        </values>
      </ddeItem>
      <ddeItem name="41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55</val>
          </value>
          <value t="str">
            <val>2022/07/20</val>
          </value>
          <value t="str">
            <val>1.09</val>
          </value>
          <value>
            <val>5.38</val>
          </value>
          <value t="str">
            <val>1.24</val>
          </value>
          <value t="str">
            <val>0.22</val>
          </value>
          <value t="str">
            <val>優盛</val>
          </value>
          <value t="str">
            <val>上櫃生技醫療</val>
          </value>
          <value t="str">
            <val>全球前三大電子式血壓計製造商</val>
          </value>
        </values>
      </ddeItem>
      <ddeItem name="4121.TW-CName,InvestorConferenceDate,DateofMeetingofShareHolders,TradingDate" advise="1">
        <values cols="4">
          <value t="str">
            <val>優盛</val>
          </value>
          <value t="str">
            <val>2021/11/24</val>
          </value>
          <value t="str">
            <val>2022/05/27</val>
          </value>
          <value t="str">
            <val>2022/08/01</val>
          </value>
        </values>
      </ddeItem>
      <ddeItem name="4121.TW-ID,Name,MarketValue,Capital,NetIncomeGrowthRate,OperIncomeGrowthRate,FinancialStatementsTime,TFXRatio,MonthlyNetSalesYoY,RevenueMonth" advise="1">
        <values cols="10">
          <value t="str">
            <val>4121</val>
          </value>
          <value t="str">
            <val>優盛</val>
          </value>
          <value t="str">
            <val>17.2</val>
          </value>
          <value t="str">
            <val>8.49</val>
          </value>
          <value t="str">
            <val>4.41</val>
          </value>
          <value t="str">
            <val>-21.52</val>
          </value>
          <value t="str">
            <val>2022/03</val>
          </value>
          <value t="str">
            <val>1.10</val>
          </value>
          <value t="str">
            <val>14.80</val>
          </value>
          <value t="str">
            <val>2022/06</val>
          </value>
        </values>
      </ddeItem>
      <ddeItem name="4121.TW-OperatingProfitRatio,Price,PriceChangeRatio,InOutRatioNumber,Value,YearReturn,MonthReturn,WeekReturn,FinanceBalanceDif,ChipsField2" advise="1">
        <values cols="10">
          <value t="str">
            <val>2.95</val>
          </value>
          <value>
            <val>20.25</val>
          </value>
          <value>
            <val>0.25</val>
          </value>
          <value t="str">
            <val>43.07%</val>
          </value>
          <value t="str">
            <val>943萬</val>
          </value>
          <value t="str">
            <val>-7.73</val>
          </value>
          <value t="str">
            <val>+12.44</val>
          </value>
          <value t="str">
            <val>+3.05</val>
          </value>
          <value>
            <val>-31</val>
          </value>
          <value>
            <val>0</val>
          </value>
        </values>
      </ddeItem>
      <ddeItem name="4123.TW-ChipsField3,ChipsField1,ChipsField25,CashAndStockDividend,CashDividendYieldRate,ProfitFourSeason,ProfitSingle,CName,ExchangeIndustry,CompanyPos" advise="1">
        <values cols="10">
          <value>
            <val>108</val>
          </value>
          <value>
            <val>83</val>
          </value>
          <value t="str">
            <val>--</val>
          </value>
          <value t="str">
            <val>4.00</val>
          </value>
          <value>
            <val>6.81</val>
          </value>
          <value t="str">
            <val>2.14</val>
          </value>
          <value t="str">
            <val>2.69</val>
          </value>
          <value t="str">
            <val>晟德</val>
          </value>
          <value t="str">
            <val>上櫃生技醫療</val>
          </value>
          <value t="str">
            <val>台灣最大水劑製造商</val>
          </value>
        </values>
      </ddeItem>
      <ddeItem name="4123.TW-CName,InvestorConferenceDate,DateofMeetingofShareHolders,TradingDate" advise="1">
        <values cols="4">
          <value t="str">
            <val>晟德</val>
          </value>
          <value t="str">
            <val>2021/04/13</val>
          </value>
          <value t="str">
            <val>2022/05/20</val>
          </value>
          <value t="str">
            <val>2022/08/01</val>
          </value>
        </values>
      </ddeItem>
      <ddeItem name="4123.TW-ID,Name,MarketValue,Capital,NetIncomeGrowthRate,OperIncomeGrowthRate,FinancialStatementsTime,TFXRatio,MonthlyNetSalesYoY,RevenueMonth" advise="1">
        <values cols="10">
          <value t="str">
            <val>4123</val>
          </value>
          <value t="str">
            <val>晟德</val>
          </value>
          <value t="str">
            <val>304.7</val>
          </value>
          <value t="str">
            <val>51.90</val>
          </value>
          <value t="str">
            <val>-74.49</val>
          </value>
          <value t="str">
            <val>152.86</val>
          </value>
          <value t="str">
            <val>2022/03</val>
          </value>
          <value t="str">
            <val>-26.28</val>
          </value>
          <value t="str">
            <val>66.75</val>
          </value>
          <value t="str">
            <val>2022/06</val>
          </value>
        </values>
      </ddeItem>
      <ddeItem name="4123.TW-OperatingProfitRatio,Price,PriceChangeRatio,InOutRatioNumber,Value,YearReturn,MonthReturn,WeekReturn,FinanceBalanceDif,ChipsField2" advise="1">
        <values cols="10">
          <value t="str">
            <val>111.08</val>
          </value>
          <value>
            <val>58.7</val>
          </value>
          <value>
            <val>0.17</val>
          </value>
          <value t="str">
            <val>39.04%</val>
          </value>
          <value t="str">
            <val>3236萬</val>
          </value>
          <value t="str">
            <val>-6.08</val>
          </value>
          <value t="str">
            <val>+1.03</val>
          </value>
          <value t="str">
            <val>-1.51</val>
          </value>
          <value>
            <val>-87</val>
          </value>
          <value>
            <val>0</val>
          </value>
        </values>
      </ddeItem>
      <ddeItem name="41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2022/07/06</val>
          </value>
          <value t="str">
            <val>4.50</val>
          </value>
          <value>
            <val>6.7</val>
          </value>
          <value t="str">
            <val>4.91</val>
          </value>
          <value t="str">
            <val>0.77</val>
          </value>
          <value t="str">
            <val>太醫</val>
          </value>
          <value t="str">
            <val>上櫃生技醫療</val>
          </value>
          <value t="str">
            <val>醫療耗材、導管及醫院氣器及相關工程大廠</val>
          </value>
        </values>
      </ddeItem>
      <ddeItem name="4126.TW-CName,InvestorConferenceDate,DateofMeetingofShareHolders,TradingDate" advise="1">
        <values cols="4">
          <value t="str">
            <val>太醫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4126.TW-ID,Name,MarketValue,Capital,NetIncomeGrowthRate,OperIncomeGrowthRate,FinancialStatementsTime,TFXRatio,MonthlyNetSalesYoY,RevenueMonth" advise="1">
        <values cols="10">
          <value t="str">
            <val>4126</val>
          </value>
          <value t="str">
            <val>太醫</val>
          </value>
          <value t="str">
            <val>48.8</val>
          </value>
          <value t="str">
            <val>7.26</val>
          </value>
          <value t="str">
            <val>-34.93</val>
          </value>
          <value t="str">
            <val>-51.50</val>
          </value>
          <value t="str">
            <val>2022/03</val>
          </value>
          <value t="str">
            <val>-10.51</val>
          </value>
          <value t="str">
            <val>-1.80</val>
          </value>
          <value t="str">
            <val>2022/06</val>
          </value>
        </values>
      </ddeItem>
      <ddeItem name="4126.TW-OperatingProfitRatio,Price,PriceChangeRatio,InOutRatioNumber,Value,YearReturn,MonthReturn,WeekReturn,FinanceBalanceDif,ChipsField2" advise="1">
        <values cols="10">
          <value t="str">
            <val>11.21</val>
          </value>
          <value>
            <val>67.2</val>
          </value>
          <value>
            <val>1.2</val>
          </value>
          <value t="str">
            <val>64.29%</val>
          </value>
          <value t="str">
            <val>562萬</val>
          </value>
          <value t="str">
            <val>+7.42</val>
          </value>
          <value t="str">
            <val>+2.74</val>
          </value>
          <value t="str">
            <val>+3.07</val>
          </value>
          <value>
            <val>16</val>
          </value>
          <value>
            <val>0</val>
          </value>
        </values>
      </ddeItem>
      <ddeItem name="41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28</val>
          </value>
          <value t="str">
            <val>--</val>
          </value>
          <value t="str">
            <val>0.00</val>
          </value>
          <value>
            <val>0</val>
          </value>
          <value t="str">
            <val>1.83</val>
          </value>
          <value t="str">
            <val>0.54</val>
          </value>
          <value t="str">
            <val>天良</val>
          </value>
          <value t="str">
            <val>上櫃生技醫療</val>
          </value>
          <value t="str">
            <val>以天良牌、鐵獅牌銷售保健品及代理諾得膠囊廠商</val>
          </value>
        </values>
      </ddeItem>
      <ddeItem name="4127.TW-CName,InvestorConferenceDate,DateofMeetingofShareHolders,TradingDate" advise="1">
        <values cols="4">
          <value t="str">
            <val>天良</val>
          </value>
          <value t="str">
            <val>2021/11/25</val>
          </value>
          <value t="str">
            <val>2022/06/06</val>
          </value>
          <value t="str">
            <val>2022/08/01</val>
          </value>
        </values>
      </ddeItem>
      <ddeItem name="4127.TW-ID,Name,MarketValue,Capital,NetIncomeGrowthRate,OperIncomeGrowthRate,FinancialStatementsTime,TFXRatio,MonthlyNetSalesYoY,RevenueMonth" advise="1">
        <values cols="10">
          <value t="str">
            <val>4127</val>
          </value>
          <value t="str">
            <val>天良</val>
          </value>
          <value t="str">
            <val>6.4</val>
          </value>
          <value t="str">
            <val>4.58</val>
          </value>
          <value t="str">
            <val>307.81</val>
          </value>
          <value t="str">
            <val>302.17</val>
          </value>
          <value t="str">
            <val>2022/03</val>
          </value>
          <value t="str">
            <val>4.23</val>
          </value>
          <value t="str">
            <val>-33.33</val>
          </value>
          <value t="str">
            <val>2022/06</val>
          </value>
        </values>
      </ddeItem>
      <ddeItem name="4127.TW-OperatingProfitRatio,Price,PriceChangeRatio,InOutRatioNumber,Value,YearReturn,MonthReturn,WeekReturn,FinanceBalanceDif,ChipsField2" advise="1">
        <values cols="10">
          <value t="str">
            <val>16.49</val>
          </value>
          <value>
            <val>14</val>
          </value>
          <value>
            <val>-0.36</val>
          </value>
          <value t="str">
            <val>34.36%</val>
          </value>
          <value t="str">
            <val>287萬</val>
          </value>
          <value t="str">
            <val>+31.46</val>
          </value>
          <value t="str">
            <val>-5.41</val>
          </value>
          <value t="str">
            <val>-3.45</val>
          </value>
          <value>
            <val>0</val>
          </value>
          <value>
            <val>0</val>
          </value>
        </values>
      </ddeItem>
      <ddeItem name="4128.TW-ChipsField3,ChipsField1,ChipsField25,CashAndStockDividend,CashDividendYieldRate,ProfitFourSeason,ProfitSingle,CName,ExchangeIndustry,CompanyPos" advise="1">
        <values cols="10">
          <value>
            <val>-37</val>
          </value>
          <value>
            <val>303</val>
          </value>
          <value t="str">
            <val>2022/07/18</val>
          </value>
          <value t="str">
            <val>1.00</val>
          </value>
          <value>
            <val>1.75</val>
          </value>
          <value t="str">
            <val>0.88</val>
          </value>
          <value t="str">
            <val>1.74</val>
          </value>
          <value t="str">
            <val>中天</val>
          </value>
          <value t="str">
            <val>上櫃生技醫療</val>
          </value>
          <value t="str">
            <val>台灣首家符合GMP之發酵中藥廠，並經營棉花田有機食品通路</val>
          </value>
        </values>
      </ddeItem>
      <ddeItem name="4128.TW-CName,InvestorConferenceDate,DateofMeetingofShareHolders,TradingDate" advise="1">
        <values cols="4">
          <value t="str">
            <val>中天</val>
          </value>
          <value t="str">
            <val>2021/12/30</val>
          </value>
          <value t="str">
            <val>2022/05/27</val>
          </value>
          <value t="str">
            <val>2022/08/01</val>
          </value>
        </values>
      </ddeItem>
      <ddeItem name="4128.TW-ID,Name,MarketValue,Capital,NetIncomeGrowthRate,OperIncomeGrowthRate,FinancialStatementsTime,TFXRatio,MonthlyNetSalesYoY,RevenueMonth" advise="1">
        <values cols="10">
          <value t="str">
            <val>4128</val>
          </value>
          <value t="str">
            <val>中天</val>
          </value>
          <value t="str">
            <val>292.9</val>
          </value>
          <value t="str">
            <val>51.11</val>
          </value>
          <value t="str">
            <val>72.52</val>
          </value>
          <value t="str">
            <val>-17.65</val>
          </value>
          <value t="str">
            <val>2022/03</val>
          </value>
          <value t="str">
            <val>-10.17</val>
          </value>
          <value t="str">
            <val>-25.16</val>
          </value>
          <value t="str">
            <val>2022/06</val>
          </value>
        </values>
      </ddeItem>
      <ddeItem name="4128.TW-OperatingProfitRatio,Price,PriceChangeRatio,InOutRatioNumber,Value,YearReturn,MonthReturn,WeekReturn,FinanceBalanceDif,ChipsField2" advise="1">
        <values cols="10">
          <value t="str">
            <val>-23.82</val>
          </value>
          <value>
            <val>57.3</val>
          </value>
          <value>
            <val>-1.88</val>
          </value>
          <value t="str">
            <val>35.75%</val>
          </value>
          <value t="str">
            <val>1.24億</val>
          </value>
          <value t="str">
            <val>+20.45</val>
          </value>
          <value t="str">
            <val>+14.89</val>
          </value>
          <value t="str">
            <val>-2.72</val>
          </value>
          <value>
            <val>-179</val>
          </value>
          <value>
            <val>0</val>
          </value>
        </values>
      </ddeItem>
      <ddeItem name="41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-43</val>
          </value>
          <value t="str">
            <val>--</val>
          </value>
          <value t="str">
            <val>0.00</val>
          </value>
          <value>
            <val>0</val>
          </value>
          <value t="str">
            <val>1.20</val>
          </value>
          <value t="str">
            <val>0.46</val>
          </value>
          <value t="str">
            <val>聯合</val>
          </value>
          <value t="str">
            <val>上櫃生技醫療</val>
          </value>
          <value t="str">
            <val>台灣主要骨科植入物及器材廠商</val>
          </value>
        </values>
      </ddeItem>
      <ddeItem name="4129.TW-CName,InvestorConferenceDate,DateofMeetingofShareHolders,TradingDate" advise="1">
        <values cols="4">
          <value t="str">
            <val>聯合</val>
          </value>
          <value t="str">
            <val>2021/12/10</val>
          </value>
          <value t="str">
            <val>2022/06/21</val>
          </value>
          <value t="str">
            <val>2022/08/01</val>
          </value>
        </values>
      </ddeItem>
      <ddeItem name="4129.TW-ID,Name,MarketValue,Capital,NetIncomeGrowthRate,OperIncomeGrowthRate,FinancialStatementsTime,TFXRatio,MonthlyNetSalesYoY,RevenueMonth" advise="1">
        <values cols="10">
          <value t="str">
            <val>4129</val>
          </value>
          <value t="str">
            <val>聯合</val>
          </value>
          <value t="str">
            <val>23.9</val>
          </value>
          <value t="str">
            <val>7.81</val>
          </value>
          <value t="str">
            <val>615.97</val>
          </value>
          <value t="str">
            <val>145.86</val>
          </value>
          <value t="str">
            <val>2022/03</val>
          </value>
          <value t="str">
            <val>22.39</val>
          </value>
          <value t="str">
            <val>79.36</val>
          </value>
          <value t="str">
            <val>2022/06</val>
          </value>
        </values>
      </ddeItem>
      <ddeItem name="4129.TW-OperatingProfitRatio,Price,PriceChangeRatio,InOutRatioNumber,Value,YearReturn,MonthReturn,WeekReturn,FinanceBalanceDif,ChipsField2" advise="1">
        <values cols="10">
          <value t="str">
            <val>8.24</val>
          </value>
          <value>
            <val>30.6</val>
          </value>
          <value>
            <val>2.34</val>
          </value>
          <value t="str">
            <val>49.61%</val>
          </value>
          <value t="str">
            <val>1577萬</val>
          </value>
          <value t="str">
            <val>-7.88</val>
          </value>
          <value t="str">
            <val>+9.29</val>
          </value>
          <value t="str">
            <val>+4.97</val>
          </value>
          <value>
            <val>85</val>
          </value>
          <value>
            <val>-36</val>
          </value>
        </values>
      </ddeItem>
      <ddeItem name="41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2022/07/20</val>
          </value>
          <value t="str">
            <val>0.35</val>
          </value>
          <value>
            <val>1.36</val>
          </value>
          <value t="str">
            <val>-0.17</val>
          </value>
          <value t="str">
            <val>-0.09</val>
          </value>
          <value t="str">
            <val>健亞</val>
          </value>
          <value t="str">
            <val>上櫃生技醫療</val>
          </value>
          <value t="str">
            <val>學名藥代工及新藥研發廠</val>
          </value>
        </values>
      </ddeItem>
      <ddeItem name="4130.TW-CName,InvestorConferenceDate,DateofMeetingofShareHolders,TradingDate" advise="1">
        <values cols="4">
          <value t="str">
            <val>健亞</val>
          </value>
          <value t="str">
            <val>2021/11/19</val>
          </value>
          <value t="str">
            <val>2022/05/31</val>
          </value>
          <value t="str">
            <val>2022/08/01</val>
          </value>
        </values>
      </ddeItem>
      <ddeItem name="4130.TW-ID,Name,MarketValue,Capital,NetIncomeGrowthRate,OperIncomeGrowthRate,FinancialStatementsTime,TFXRatio,MonthlyNetSalesYoY,RevenueMonth" advise="1">
        <values cols="10">
          <value t="str">
            <val>4130</val>
          </value>
          <value t="str">
            <val>健亞</val>
          </value>
          <value t="str">
            <val>28.1</val>
          </value>
          <value t="str">
            <val>10.94</val>
          </value>
          <value t="str">
            <val>-208.53</val>
          </value>
          <value t="str">
            <val>-193.65</val>
          </value>
          <value t="str">
            <val>2022/03</val>
          </value>
          <value t="str">
            <val>6.54</val>
          </value>
          <value t="str">
            <val>18.41</val>
          </value>
          <value t="str">
            <val>2022/06</val>
          </value>
        </values>
      </ddeItem>
      <ddeItem name="4130.TW-OperatingProfitRatio,Price,PriceChangeRatio,InOutRatioNumber,Value,YearReturn,MonthReturn,WeekReturn,FinanceBalanceDif,ChipsField2" advise="1">
        <values cols="10">
          <value t="str">
            <val>-6.28</val>
          </value>
          <value>
            <val>25.7</val>
          </value>
          <value>
            <val>-3.2</val>
          </value>
          <value t="str">
            <val>20.63%</val>
          </value>
          <value t="str">
            <val>1707萬</val>
          </value>
          <value t="str">
            <val>+6.23</val>
          </value>
          <value t="str">
            <val>+3.41</val>
          </value>
          <value t="str">
            <val>-0.39</val>
          </value>
          <value>
            <val>-11</val>
          </value>
          <value>
            <val>0</val>
          </value>
        </values>
      </ddeItem>
      <ddeItem name="41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-0.55</val>
          </value>
          <value t="str">
            <val>-0.21</val>
          </value>
          <value t="str">
            <val>晶宇</val>
          </value>
          <value t="str">
            <val>上櫃生技醫療</val>
          </value>
          <value t="str">
            <val>高分子生物檢驗晶片廠</val>
          </value>
        </values>
      </ddeItem>
      <ddeItem name="4131.TW-CName,InvestorConferenceDate,DateofMeetingofShareHolders,TradingDate" advise="1">
        <values cols="4">
          <value t="str">
            <val>晶宇</val>
          </value>
          <value t="str">
            <val>2021/12/16</val>
          </value>
          <value t="str">
            <val>2022/08/02</val>
          </value>
          <value t="str">
            <val>2022/08/01</val>
          </value>
        </values>
      </ddeItem>
      <ddeItem name="4131.TW-ID,Name,MarketValue,Capital,NetIncomeGrowthRate,OperIncomeGrowthRate,FinancialStatementsTime,TFXRatio,MonthlyNetSalesYoY,RevenueMonth" advise="1">
        <values cols="10">
          <value t="str">
            <val>4131</val>
          </value>
          <value t="str">
            <val>晶宇</val>
          </value>
          <value t="str">
            <val>3.3</val>
          </value>
          <value t="str">
            <val>1.90</val>
          </value>
          <value t="str">
            <val>-68.11</val>
          </value>
          <value t="str">
            <val>-46.13</val>
          </value>
          <value t="str">
            <val>2022/03</val>
          </value>
          <value t="str">
            <val>24.24</val>
          </value>
          <value t="str">
            <val>9.57</val>
          </value>
          <value t="str">
            <val>2022/06</val>
          </value>
        </values>
      </ddeItem>
      <ddeItem name="4131.TW-OperatingProfitRatio,Price,PriceChangeRatio,InOutRatioNumber,Value,YearReturn,MonthReturn,WeekReturn,FinanceBalanceDif,ChipsField2" advise="1">
        <values cols="10">
          <value t="str">
            <val>-20.56</val>
          </value>
          <value>
            <val>17.600000000000001</val>
          </value>
          <value>
            <val>-3.56</val>
          </value>
          <value t="str">
            <val>44.12%</val>
          </value>
          <value t="str">
            <val>65.4萬</val>
          </value>
          <value t="str">
            <val>+7.36</val>
          </value>
          <value t="str">
            <val>-1.95</val>
          </value>
          <value t="str">
            <val>+3.23</val>
          </value>
          <value>
            <val>0</val>
          </value>
          <value>
            <val>0</val>
          </value>
        </values>
      </ddeItem>
      <ddeItem name="41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2022/07/13</val>
          </value>
          <value t="str">
            <val>3.70</val>
          </value>
          <value>
            <val>6.69</val>
          </value>
          <value t="str">
            <val>4.20</val>
          </value>
          <value t="str">
            <val>1.35</val>
          </value>
          <value t="str">
            <val>曜亞</val>
          </value>
          <value t="str">
            <val>上櫃生技醫療</val>
          </value>
          <value t="str">
            <val>佳醫旗下台灣最大醫學美容器材代理商</val>
          </value>
        </values>
      </ddeItem>
      <ddeItem name="4138.TW-CName,InvestorConferenceDate,DateofMeetingofShareHolders,TradingDate" advise="1">
        <values cols="4">
          <value t="str">
            <val>曜亞</val>
          </value>
          <value t="str">
            <val>2021/09/24</val>
          </value>
          <value t="str">
            <val>2022/06/17</val>
          </value>
          <value t="str">
            <val>2022/08/01</val>
          </value>
        </values>
      </ddeItem>
      <ddeItem name="4138.TW-ID,Name,MarketValue,Capital,NetIncomeGrowthRate,OperIncomeGrowthRate,FinancialStatementsTime,TFXRatio,MonthlyNetSalesYoY,RevenueMonth" advise="1">
        <values cols="10">
          <value t="str">
            <val>4138</val>
          </value>
          <value t="str">
            <val>曜亞</val>
          </value>
          <value t="str">
            <val>16.6</val>
          </value>
          <value t="str">
            <val>3.00</val>
          </value>
          <value t="str">
            <val>1.84</val>
          </value>
          <value t="str">
            <val>4.37</val>
          </value>
          <value t="str">
            <val>2022/03</val>
          </value>
          <value t="str">
            <val>4.98</val>
          </value>
          <value t="str">
            <val>88.47</val>
          </value>
          <value t="str">
            <val>2022/06</val>
          </value>
        </values>
      </ddeItem>
      <ddeItem name="4138.TW-OperatingProfitRatio,Price,PriceChangeRatio,InOutRatioNumber,Value,YearReturn,MonthReturn,WeekReturn,FinanceBalanceDif,ChipsField2" advise="1">
        <values cols="10">
          <value t="str">
            <val>16.15</val>
          </value>
          <value>
            <val>55.3</val>
          </value>
          <value>
            <val>-1.6</val>
          </value>
          <value t="str">
            <val>18.97%</val>
          </value>
          <value t="str">
            <val>322萬</val>
          </value>
          <value t="str">
            <val>+16.90</val>
          </value>
          <value t="str">
            <val>+4.51</val>
          </value>
          <value t="str">
            <val>-2.47</val>
          </value>
          <value>
            <val>0</val>
          </value>
          <value>
            <val>0</val>
          </value>
        </values>
      </ddeItem>
      <ddeItem name="413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29</val>
          </value>
          <value t="str">
            <val>--</val>
          </value>
          <value t="str">
            <val>0.00</val>
          </value>
          <value>
            <val>0</val>
          </value>
          <value t="str">
            <val>0.77</val>
          </value>
          <value t="str">
            <val>0.02</val>
          </value>
          <value t="str">
            <val>馬光-KY</val>
          </value>
          <value t="str">
            <val>上櫃生技醫療</val>
          </value>
          <value t="str">
            <val>新加坡中醫醫療連鎖機構龍頭</val>
          </value>
        </values>
      </ddeItem>
      <ddeItem name="4139.TW-CName,InvestorConferenceDate,DateofMeetingofShareHolders,TradingDate" advise="1">
        <values cols="4">
          <value t="str">
            <val>馬光-KY</val>
          </value>
          <value t="str">
            <val>2021/12/01</val>
          </value>
          <value t="str">
            <val>2022/06/22</val>
          </value>
          <value t="str">
            <val>2022/08/01</val>
          </value>
        </values>
      </ddeItem>
      <ddeItem name="4139.TW-ID,Name,MarketValue,Capital,NetIncomeGrowthRate,OperIncomeGrowthRate,FinancialStatementsTime,TFXRatio,MonthlyNetSalesYoY,RevenueMonth" advise="1">
        <values cols="10">
          <value t="str">
            <val>4139</val>
          </value>
          <value t="str">
            <val>馬光-KY</val>
          </value>
          <value t="str">
            <val>20.5</val>
          </value>
          <value t="str">
            <val>4.25</val>
          </value>
          <value t="str">
            <val>-98.24</val>
          </value>
          <value t="str">
            <val>-25.79</val>
          </value>
          <value t="str">
            <val>2022/03</val>
          </value>
          <value t="str">
            <val>-1.69</val>
          </value>
          <value t="str">
            <val>12.03</val>
          </value>
          <value t="str">
            <val>2022/06</val>
          </value>
        </values>
      </ddeItem>
      <ddeItem name="4139.TW-OperatingProfitRatio,Price,PriceChangeRatio,InOutRatioNumber,Value,YearReturn,MonthReturn,WeekReturn,FinanceBalanceDif,ChipsField2" advise="1">
        <values cols="10">
          <value t="str">
            <val>2.48</val>
          </value>
          <value>
            <val>48.25</val>
          </value>
          <value>
            <val>-0.21</val>
          </value>
          <value t="str">
            <val>76.79%</val>
          </value>
          <value t="str">
            <val>552萬</val>
          </value>
          <value t="str">
            <val>-5.90</val>
          </value>
          <value t="str">
            <val>+9.04</val>
          </value>
          <value t="str">
            <val>+2.88</val>
          </value>
          <value>
            <val>-23</val>
          </value>
          <value>
            <val>0</val>
          </value>
        </values>
      </ddeItem>
      <ddeItem name="41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-28</val>
          </value>
          <value t="str">
            <val>--</val>
          </value>
          <value t="str">
            <val>0.00</val>
          </value>
          <value>
            <val>0</val>
          </value>
          <value t="str">
            <val>-2.36</val>
          </value>
          <value t="str">
            <val>-0.47</val>
          </value>
          <value t="str">
            <val>中裕</val>
          </value>
          <value t="str">
            <val>上櫃生技醫療</val>
          </value>
          <value t="str">
            <val>專注於愛滋新藥研發</val>
          </value>
        </values>
      </ddeItem>
      <ddeItem name="4147.TW-CName,InvestorConferenceDate,DateofMeetingofShareHolders,TradingDate" advise="1">
        <values cols="4">
          <value t="str">
            <val>中裕</val>
          </value>
          <value t="str">
            <val>2021/08/13</val>
          </value>
          <value t="str">
            <val>2022/05/30</val>
          </value>
          <value t="str">
            <val>2022/08/01</val>
          </value>
        </values>
      </ddeItem>
      <ddeItem name="4147.TW-ID,Name,MarketValue,Capital,NetIncomeGrowthRate,OperIncomeGrowthRate,FinancialStatementsTime,TFXRatio,MonthlyNetSalesYoY,RevenueMonth" advise="1">
        <values cols="10">
          <value t="str">
            <val>4147</val>
          </value>
          <value t="str">
            <val>中裕</val>
          </value>
          <value t="str">
            <val>141.3</val>
          </value>
          <value t="str">
            <val>25.24</val>
          </value>
          <value t="str">
            <val>-2536.70</val>
          </value>
          <value t="str">
            <val>-19.05</val>
          </value>
          <value t="str">
            <val>2022/03</val>
          </value>
          <value t="str">
            <val>-12.48</val>
          </value>
          <value t="str">
            <val>-41.07</val>
          </value>
          <value t="str">
            <val>2022/06</val>
          </value>
        </values>
      </ddeItem>
      <ddeItem name="4147.TW-OperatingProfitRatio,Price,PriceChangeRatio,InOutRatioNumber,Value,YearReturn,MonthReturn,WeekReturn,FinanceBalanceDif,ChipsField2" advise="1">
        <values cols="10">
          <value t="str">
            <val>-251.31</val>
          </value>
          <value>
            <val>56</val>
          </value>
          <value>
            <val>-2.27</val>
          </value>
          <value t="str">
            <val>15.43%</val>
          </value>
          <value t="str">
            <val>2900萬</val>
          </value>
          <value t="str">
            <val>-10.97</val>
          </value>
          <value t="str">
            <val>-3.45</val>
          </value>
          <value t="str">
            <val>-5.41</val>
          </value>
          <value>
            <val>14</val>
          </value>
          <value>
            <val>0</val>
          </value>
        </values>
      </ddeItem>
      <ddeItem name="415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2022/07/04</val>
          </value>
          <value t="str">
            <val>0.37</val>
          </value>
          <value>
            <val>1.29</val>
          </value>
          <value t="str">
            <val>0.40</val>
          </value>
          <value t="str">
            <val>0.03</val>
          </value>
          <value t="str">
            <val>鈺緯</val>
          </value>
          <value t="str">
            <val>上櫃生技醫療</val>
          </value>
          <value t="str">
            <val>主要從事醫療及工業顯示器生產</val>
          </value>
        </values>
      </ddeItem>
      <ddeItem name="4153.TW-CName,InvestorConferenceDate,DateofMeetingofShareHolders,TradingDate" advise="1">
        <values cols="4">
          <value t="str">
            <val>鈺緯</val>
          </value>
          <value t="str">
            <val>2021/12/28</val>
          </value>
          <value t="str">
            <val>2022/06/13</val>
          </value>
          <value t="str">
            <val>2022/08/01</val>
          </value>
        </values>
      </ddeItem>
      <ddeItem name="4153.TW-ID,Name,MarketValue,Capital,NetIncomeGrowthRate,OperIncomeGrowthRate,FinancialStatementsTime,TFXRatio,MonthlyNetSalesYoY,RevenueMonth" advise="1">
        <values cols="10">
          <value t="str">
            <val>4153</val>
          </value>
          <value t="str">
            <val>鈺緯</val>
          </value>
          <value t="str">
            <val>17.7</val>
          </value>
          <value t="str">
            <val>6.18</val>
          </value>
          <value t="str">
            <val>1410.57</val>
          </value>
          <value t="str">
            <val>-147.12</val>
          </value>
          <value t="str">
            <val>2022/03</val>
          </value>
          <value t="str">
            <val>27.54</val>
          </value>
          <value t="str">
            <val>73.01</val>
          </value>
          <value t="str">
            <val>2022/06</val>
          </value>
        </values>
      </ddeItem>
      <ddeItem name="4153.TW-OperatingProfitRatio,Price,PriceChangeRatio,InOutRatioNumber,Value,YearReturn,MonthReturn,WeekReturn,FinanceBalanceDif,ChipsField2" advise="1">
        <values cols="10">
          <value t="str">
            <val>-0.53</val>
          </value>
          <value>
            <val>28.7</val>
          </value>
          <value>
            <val>1.77</val>
          </value>
          <value t="str">
            <val>68.89%</val>
          </value>
          <value t="str">
            <val>391萬</val>
          </value>
          <value t="str">
            <val>+32.49</val>
          </value>
          <value t="str">
            <val>+13.75</val>
          </value>
          <value t="str">
            <val>+0.88</val>
          </value>
          <value>
            <val>-8</val>
          </value>
          <value>
            <val>0</val>
          </value>
        </values>
      </ddeItem>
      <ddeItem name="41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0.00</val>
          </value>
          <value>
            <val>0</val>
          </value>
          <value t="str">
            <val>-1.55</val>
          </value>
          <value t="str">
            <val>-0.11</val>
          </value>
          <value t="str">
            <val>樂威科-KY</val>
          </value>
          <value t="str">
            <val>上櫃生技醫療</val>
          </value>
          <value t="str">
            <val>馬來西亞機能性飲品龍頭</val>
          </value>
        </values>
      </ddeItem>
      <ddeItem name="4154.TW-CName,InvestorConferenceDate,DateofMeetingofShareHolders,TradingDate" advise="1">
        <values cols="4">
          <value t="str">
            <val>樂威科-KY</val>
          </value>
          <value t="str">
            <val>2021/12/01</val>
          </value>
          <value t="str">
            <val>2022/06/24</val>
          </value>
          <value t="str">
            <val>2022/08/01</val>
          </value>
        </values>
      </ddeItem>
      <ddeItem name="4154.TW-ID,Name,MarketValue,Capital,NetIncomeGrowthRate,OperIncomeGrowthRate,FinancialStatementsTime,TFXRatio,MonthlyNetSalesYoY,RevenueMonth" advise="1">
        <values cols="10">
          <value t="str">
            <val>4154</val>
          </value>
          <value t="str">
            <val>樂威科-KY</val>
          </value>
          <value t="str">
            <val>16.0</val>
          </value>
          <value t="str">
            <val>3.57</val>
          </value>
          <value t="str">
            <val>82.93</val>
          </value>
          <value t="str">
            <val>91.86</val>
          </value>
          <value t="str">
            <val>2022/03</val>
          </value>
          <value t="str">
            <val>1.40</val>
          </value>
          <value t="str">
            <val>19.71</val>
          </value>
          <value t="str">
            <val>2022/06</val>
          </value>
        </values>
      </ddeItem>
      <ddeItem name="4154.TW-OperatingProfitRatio,Price,PriceChangeRatio,InOutRatioNumber,Value,YearReturn,MonthReturn,WeekReturn,FinanceBalanceDif,ChipsField2" advise="1">
        <values cols="10">
          <value t="str">
            <val>-2.62</val>
          </value>
          <value>
            <val>44.85</val>
          </value>
          <value>
            <val>1.24</val>
          </value>
          <value t="str">
            <val>83.33%</val>
          </value>
          <value t="str">
            <val>26.8萬</val>
          </value>
          <value t="str">
            <val>+84.57</val>
          </value>
          <value t="str">
            <val>-1.10</val>
          </value>
          <value t="str">
            <val>-3.96</val>
          </value>
          <value>
            <val>0</val>
          </value>
          <value>
            <val>0</val>
          </value>
        </values>
      </ddeItem>
      <ddeItem name="4157.TW-ChipsField3,ChipsField1,ChipsField25,CashAndStockDividend,CashDividendYieldRate,ProfitFourSeason,ProfitSingle,CName,ExchangeIndustry,CompanyPos" advise="1">
        <values cols="10">
          <value>
            <val>-132</val>
          </value>
          <value>
            <val>-524</val>
          </value>
          <value t="str">
            <val>--</val>
          </value>
          <value t="str">
            <val>0.00</val>
          </value>
          <value>
            <val>0</val>
          </value>
          <value t="str">
            <val>1.10</val>
          </value>
          <value t="str">
            <val>-0.05</val>
          </value>
          <value t="str">
            <val>太景*-KY</val>
          </value>
          <value t="str">
            <val>上櫃生技醫療</val>
          </value>
          <value t="str">
            <val>小分子創新化合物新藥研發廠</val>
          </value>
        </values>
      </ddeItem>
      <ddeItem name="4157.TW-CName,InvestorConferenceDate,DateofMeetingofShareHolders,TradingDate" advise="1">
        <values cols="4">
          <value t="str">
            <val>太景*-KY</val>
          </value>
          <value t="str">
            <val>2021/12/16</val>
          </value>
          <value t="str">
            <val>2022/05/30</val>
          </value>
          <value t="str">
            <val>2022/08/01</val>
          </value>
        </values>
      </ddeItem>
      <ddeItem name="4157.TW-ID,Name,MarketValue,Capital,NetIncomeGrowthRate,OperIncomeGrowthRate,FinancialStatementsTime,TFXRatio,MonthlyNetSalesYoY,RevenueMonth" advise="1">
        <values cols="10">
          <value t="str">
            <val>4157</val>
          </value>
          <value t="str">
            <val>太景*-KY</val>
          </value>
          <value t="str">
            <val>136.2</val>
          </value>
          <value t="str">
            <val>0.01</val>
          </value>
          <value t="str">
            <val>23.98</val>
          </value>
          <value t="str">
            <val>-108.86</val>
          </value>
          <value t="str">
            <val>2022/03</val>
          </value>
          <value t="str">
            <val>15.52</val>
          </value>
          <value t="str">
            <val>-99.89</val>
          </value>
          <value t="str">
            <val>2022/06</val>
          </value>
        </values>
      </ddeItem>
      <ddeItem name="4157.TW-OperatingProfitRatio,Price,PriceChangeRatio,InOutRatioNumber,Value,YearReturn,MonthReturn,WeekReturn,FinanceBalanceDif,ChipsField2" advise="1">
        <values cols="10">
          <value t="str">
            <val>-726.89</val>
          </value>
          <value>
            <val>19</val>
          </value>
          <value>
            <val>-1.3</val>
          </value>
          <value t="str">
            <val>37.52%</val>
          </value>
          <value t="str">
            <val>8639萬</val>
          </value>
          <value t="str">
            <val>+2.15</val>
          </value>
          <value t="str">
            <val>+20.63</val>
          </value>
          <value t="str">
            <val>-0.78</val>
          </value>
          <value>
            <val>68</val>
          </value>
          <value>
            <val>0</val>
          </value>
        </values>
      </ddeItem>
      <ddeItem name="41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0.29</val>
          </value>
          <value>
            <val>1.21</val>
          </value>
          <value t="str">
            <val>0.79</val>
          </value>
          <value t="str">
            <val>0.44</val>
          </value>
          <value t="str">
            <val>創源</val>
          </value>
          <value t="str">
            <val>上櫃生技醫療</val>
          </value>
          <value t="str">
            <val>訊聯旗下國內第一家基因檢測上櫃公司</val>
          </value>
        </values>
      </ddeItem>
      <ddeItem name="4160.TW-CName,InvestorConferenceDate,DateofMeetingofShareHolders,TradingDate" advise="1">
        <values cols="4">
          <value t="str">
            <val>創源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4160.TW-ID,Name,MarketValue,Capital,NetIncomeGrowthRate,OperIncomeGrowthRate,FinancialStatementsTime,TFXRatio,MonthlyNetSalesYoY,RevenueMonth" advise="1">
        <values cols="10">
          <value t="str">
            <val>4160</val>
          </value>
          <value t="str">
            <val>創源</val>
          </value>
          <value t="str">
            <val>5.8</val>
          </value>
          <value t="str">
            <val>2.42</val>
          </value>
          <value t="str">
            <val>3259.65</val>
          </value>
          <value t="str">
            <val>345.36</val>
          </value>
          <value t="str">
            <val>2022/03</val>
          </value>
          <value t="str">
            <val>-10.46</val>
          </value>
          <value t="str">
            <val>-31.77</val>
          </value>
          <value t="str">
            <val>2022/06</val>
          </value>
        </values>
      </ddeItem>
      <ddeItem name="4160.TW-OperatingProfitRatio,Price,PriceChangeRatio,InOutRatioNumber,Value,YearReturn,MonthReturn,WeekReturn,FinanceBalanceDif,ChipsField2" advise="1">
        <values cols="10">
          <value t="str">
            <val>6.82</val>
          </value>
          <value>
            <val>23.95</val>
          </value>
          <value>
            <val>0</val>
          </value>
          <value t="str">
            <val>0.00%</val>
          </value>
          <value t="str">
            <val>4.79萬</val>
          </value>
          <value t="str">
            <val>-1.44</val>
          </value>
          <value t="str">
            <val>-0.21</val>
          </value>
          <value t="str">
            <val>+0.42</val>
          </value>
          <value>
            <val>0</val>
          </value>
          <value>
            <val>0</val>
          </value>
        </values>
      </ddeItem>
      <ddeItem name="41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2022/08/11</val>
          </value>
          <value t="str">
            <val>0.30</val>
          </value>
          <value>
            <val>1.23</val>
          </value>
          <value t="str">
            <val>0.47</val>
          </value>
          <value t="str">
            <val>0.04</val>
          </value>
          <value t="str">
            <val>聿新科</val>
          </value>
          <value t="str">
            <val>上櫃生技醫療</val>
          </value>
          <value t="str">
            <val>血糖測試設備及保養品研發，並利用福壽螺萃取物開發天然蝦紅素</val>
          </value>
        </values>
      </ddeItem>
      <ddeItem name="4161.TW-CName,InvestorConferenceDate,DateofMeetingofShareHolders,TradingDate" advise="1">
        <values cols="4">
          <value t="str">
            <val>聿新科</val>
          </value>
          <value t="str">
            <val>2021/12/29</val>
          </value>
          <value t="str">
            <val>2022/05/27</val>
          </value>
          <value t="str">
            <val>2022/08/01</val>
          </value>
        </values>
      </ddeItem>
      <ddeItem name="4161.TW-ID,Name,MarketValue,Capital,NetIncomeGrowthRate,OperIncomeGrowthRate,FinancialStatementsTime,TFXRatio,MonthlyNetSalesYoY,RevenueMonth" advise="1">
        <values cols="10">
          <value t="str">
            <val>4161</val>
          </value>
          <value t="str">
            <val>聿新科</val>
          </value>
          <value t="str">
            <val>12.9</val>
          </value>
          <value t="str">
            <val>5.27</val>
          </value>
          <value t="str">
            <val>1.29</val>
          </value>
          <value t="str">
            <val>-198.95</val>
          </value>
          <value t="str">
            <val>2022/03</val>
          </value>
          <value t="str">
            <val>0.66</val>
          </value>
          <value t="str">
            <val>-9.63</val>
          </value>
          <value t="str">
            <val>2022/06</val>
          </value>
        </values>
      </ddeItem>
      <ddeItem name="4161.TW-OperatingProfitRatio,Price,PriceChangeRatio,InOutRatioNumber,Value,YearReturn,MonthReturn,WeekReturn,FinanceBalanceDif,ChipsField2" advise="1">
        <values cols="10">
          <value t="str">
            <val>-2.98</val>
          </value>
          <value>
            <val>24.45</val>
          </value>
          <value>
            <val>-0.2</val>
          </value>
          <value t="str">
            <val>30.00%</val>
          </value>
          <value t="str">
            <val>24.6萬</val>
          </value>
          <value t="str">
            <val>-5.09</val>
          </value>
          <value t="str">
            <val>+2.73</val>
          </value>
          <value t="str">
            <val>+0.20</val>
          </value>
          <value>
            <val>-3</val>
          </value>
          <value>
            <val>0</val>
          </value>
        </values>
      </ddeItem>
      <ddeItem name="4162.TW-ChipsField3,ChipsField1,ChipsField25,CashAndStockDividend,CashDividendYieldRate,ProfitFourSeason,ProfitSingle,CName,ExchangeIndustry,CompanyPos" advise="1">
        <values cols="10">
          <value>
            <val>72</val>
          </value>
          <value>
            <val>148</val>
          </value>
          <value t="str">
            <val>2022/08/15</val>
          </value>
          <value t="str">
            <val>2.70</val>
          </value>
          <value>
            <val>2.62</val>
          </value>
          <value t="str">
            <val>3.10</val>
          </value>
          <value t="str">
            <val>0.68</val>
          </value>
          <value t="str">
            <val>智擎</val>
          </value>
          <value t="str">
            <val>上櫃生技醫療</val>
          </value>
          <value t="str">
            <val>胰臟癌新藥MM-398已取得台灣及美國藥證</val>
          </value>
        </values>
      </ddeItem>
      <ddeItem name="4162.TW-CName,InvestorConferenceDate,DateofMeetingofShareHolders,TradingDate" advise="1">
        <values cols="4">
          <value t="str">
            <val>智擎</val>
          </value>
          <value t="str">
            <val>2022/07/27</val>
          </value>
          <value t="str">
            <val>2022/05/27</val>
          </value>
          <value t="str">
            <val>2022/08/01</val>
          </value>
        </values>
      </ddeItem>
      <ddeItem name="4162.TW-ID,Name,MarketValue,Capital,NetIncomeGrowthRate,OperIncomeGrowthRate,FinancialStatementsTime,TFXRatio,MonthlyNetSalesYoY,RevenueMonth" advise="1">
        <values cols="10">
          <value t="str">
            <val>4162</val>
          </value>
          <value t="str">
            <val>智擎</val>
          </value>
          <value t="str">
            <val>150.0</val>
          </value>
          <value t="str">
            <val>14.56</val>
          </value>
          <value t="str">
            <val>28.21</val>
          </value>
          <value t="str">
            <val>237.47</val>
          </value>
          <value t="str">
            <val>2022/03</val>
          </value>
          <value t="str">
            <val>444.96</val>
          </value>
          <value t="str">
            <val>3.88</val>
          </value>
          <value t="str">
            <val>2022/06</val>
          </value>
        </values>
      </ddeItem>
      <ddeItem name="4162.TW-OperatingProfitRatio,Price,PriceChangeRatio,InOutRatioNumber,Value,YearReturn,MonthReturn,WeekReturn,FinanceBalanceDif,ChipsField2" advise="1">
        <values cols="10">
          <value t="str">
            <val>66.98</val>
          </value>
          <value>
            <val>103</val>
          </value>
          <value>
            <val>3.52</val>
          </value>
          <value t="str">
            <val>66.74%</val>
          </value>
          <value t="str">
            <val>8.85億</val>
          </value>
          <value t="str">
            <val>+68.05</val>
          </value>
          <value t="str">
            <val>+15.86</val>
          </value>
          <value t="str">
            <val>+4.89</val>
          </value>
          <value>
            <val>-35</val>
          </value>
          <value>
            <val>0</val>
          </value>
        </values>
      </ddeItem>
      <ddeItem name="41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2022/07/11</val>
          </value>
          <value t="str">
            <val>2.50</val>
          </value>
          <value>
            <val>2.88</val>
          </value>
          <value t="str">
            <val>5.56</val>
          </value>
          <value t="str">
            <val>1.73</val>
          </value>
          <value t="str">
            <val>鐿鈦</val>
          </value>
          <value t="str">
            <val>上櫃生技醫療</val>
          </value>
          <value t="str">
            <val>醫療手術機械製造商</val>
          </value>
        </values>
      </ddeItem>
      <ddeItem name="4163.TW-CName,InvestorConferenceDate,DateofMeetingofShareHolders,TradingDate" advise="1">
        <values cols="4">
          <value t="str">
            <val>鐿鈦</val>
          </value>
          <value t="str">
            <val>2021/12/16</val>
          </value>
          <value t="str">
            <val>2022/06/23</val>
          </value>
          <value t="str">
            <val>2022/08/01</val>
          </value>
        </values>
      </ddeItem>
      <ddeItem name="4163.TW-ID,Name,MarketValue,Capital,NetIncomeGrowthRate,OperIncomeGrowthRate,FinancialStatementsTime,TFXRatio,MonthlyNetSalesYoY,RevenueMonth" advise="1">
        <values cols="10">
          <value t="str">
            <val>4163</val>
          </value>
          <value t="str">
            <val>鐿鈦</val>
          </value>
          <value t="str">
            <val>41.9</val>
          </value>
          <value t="str">
            <val>4.83</val>
          </value>
          <value t="str">
            <val>95.98</val>
          </value>
          <value t="str">
            <val>25.77</val>
          </value>
          <value t="str">
            <val>2022/03</val>
          </value>
          <value t="str">
            <val>-4.50</val>
          </value>
          <value t="str">
            <val>15.97</val>
          </value>
          <value t="str">
            <val>2022/06</val>
          </value>
        </values>
      </ddeItem>
      <ddeItem name="4163.TW-OperatingProfitRatio,Price,PriceChangeRatio,InOutRatioNumber,Value,YearReturn,MonthReturn,WeekReturn,FinanceBalanceDif,ChipsField2" advise="1">
        <values cols="10">
          <value t="str">
            <val>12.55</val>
          </value>
          <value>
            <val>86.8</val>
          </value>
          <value>
            <val>0.23</val>
          </value>
          <value t="str">
            <val>83.33%</val>
          </value>
          <value t="str">
            <val>52.3萬</val>
          </value>
          <value t="str">
            <val>+4.14</val>
          </value>
          <value t="str">
            <val>+5.49</val>
          </value>
          <value t="str">
            <val>-0.91</val>
          </value>
          <value>
            <val>1</val>
          </value>
          <value>
            <val>0</val>
          </value>
        </values>
      </ddeItem>
      <ddeItem name="41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-32</val>
          </value>
          <value t="str">
            <val>--</val>
          </value>
          <value t="str">
            <val>0.00</val>
          </value>
          <value>
            <val>0</val>
          </value>
          <value t="str">
            <val>-0.40</val>
          </value>
          <value t="str">
            <val>-0.17</val>
          </value>
          <value t="str">
            <val>松瑞藥</val>
          </value>
          <value t="str">
            <val>上櫃生技醫療</val>
          </value>
          <value t="str">
            <val>全球前三大培南類抗生素原料藥供應商</val>
          </value>
        </values>
      </ddeItem>
      <ddeItem name="4167.TW-CName,InvestorConferenceDate,DateofMeetingofShareHolders,TradingDate" advise="1">
        <values cols="4">
          <value t="str">
            <val>松瑞藥</val>
          </value>
          <value t="str">
            <val>2021/03/18</val>
          </value>
          <value t="str">
            <val>2022/06/01</val>
          </value>
          <value t="str">
            <val>2022/08/01</val>
          </value>
        </values>
      </ddeItem>
      <ddeItem name="4167.TW-ID,Name,MarketValue,Capital,NetIncomeGrowthRate,OperIncomeGrowthRate,FinancialStatementsTime,TFXRatio,MonthlyNetSalesYoY,RevenueMonth" advise="1">
        <values cols="10">
          <value t="str">
            <val>4167</val>
          </value>
          <value t="str">
            <val>松瑞藥</val>
          </value>
          <value t="str">
            <val>51.2</val>
          </value>
          <value t="str">
            <val>31.70</val>
          </value>
          <value t="str">
            <val>-167.54</val>
          </value>
          <value t="str">
            <val>-168.73</val>
          </value>
          <value t="str">
            <val>2022/03</val>
          </value>
          <value t="str">
            <val>-3.66</val>
          </value>
          <value t="str">
            <val>-45.20</val>
          </value>
          <value t="str">
            <val>2022/06</val>
          </value>
        </values>
      </ddeItem>
      <ddeItem name="4167.TW-OperatingProfitRatio,Price,PriceChangeRatio,InOutRatioNumber,Value,YearReturn,MonthReturn,WeekReturn,FinanceBalanceDif,ChipsField2" advise="1">
        <values cols="10">
          <value t="str">
            <val>-19.06</val>
          </value>
          <value>
            <val>16.149999999999999</val>
          </value>
          <value>
            <val>-0.31</val>
          </value>
          <value t="str">
            <val>21.87%</val>
          </value>
          <value t="str">
            <val>311萬</val>
          </value>
          <value t="str">
            <val>-32.12</val>
          </value>
          <value t="str">
            <val>-1.52</val>
          </value>
          <value t="str">
            <val>-2.12</val>
          </value>
          <value>
            <val>-19</val>
          </value>
          <value>
            <val>0</val>
          </value>
        </values>
      </ddeItem>
      <ddeItem name="41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--</val>
          </value>
          <value t="str">
            <val>0.00</val>
          </value>
          <value>
            <val>0</val>
          </value>
          <value t="str">
            <val>-1.65</val>
          </value>
          <value t="str">
            <val>-0.33</val>
          </value>
          <value t="str">
            <val>醣聯</val>
          </value>
          <value t="str">
            <val>上櫃生技醫療</val>
          </value>
          <value t="str">
            <val>尖端醫轉投資醣質標靶藥物研發廠</val>
          </value>
        </values>
      </ddeItem>
      <ddeItem name="4168.TW-CName,InvestorConferenceDate,DateofMeetingofShareHolders,TradingDate" advise="1">
        <values cols="4">
          <value t="str">
            <val>醣聯</val>
          </value>
          <value t="str">
            <val>2021/11/18</val>
          </value>
          <value t="str">
            <val>2022/06/23</val>
          </value>
          <value t="str">
            <val>2022/08/01</val>
          </value>
        </values>
      </ddeItem>
      <ddeItem name="4168.TW-ID,Name,MarketValue,Capital,NetIncomeGrowthRate,OperIncomeGrowthRate,FinancialStatementsTime,TFXRatio,MonthlyNetSalesYoY,RevenueMonth" advise="1">
        <values cols="10">
          <value t="str">
            <val>4168</val>
          </value>
          <value t="str">
            <val>醣聯</val>
          </value>
          <value t="str">
            <val>29.7</val>
          </value>
          <value t="str">
            <val>10.20</val>
          </value>
          <value t="str">
            <val>27.87</val>
          </value>
          <value t="str">
            <val>22.09</val>
          </value>
          <value t="str">
            <val>2022/03</val>
          </value>
          <value t="str">
            <val>727.09</val>
          </value>
          <value t="str">
            <val>5773.42</val>
          </value>
          <value t="str">
            <val>2022/06</val>
          </value>
        </values>
      </ddeItem>
      <ddeItem name="4168.TW-OperatingProfitRatio,Price,PriceChangeRatio,InOutRatioNumber,Value,YearReturn,MonthReturn,WeekReturn,FinanceBalanceDif,ChipsField2" advise="1">
        <values cols="10">
          <value t="str">
            <val>-283.48</val>
          </value>
          <value>
            <val>29.15</val>
          </value>
          <value>
            <val>-0.85</val>
          </value>
          <value t="str">
            <val>31.58%</val>
          </value>
          <value t="str">
            <val>1263萬</val>
          </value>
          <value t="str">
            <val>-1.02</val>
          </value>
          <value t="str">
            <val>+16.60</val>
          </value>
          <value t="str">
            <val>-0.17</val>
          </value>
          <value>
            <val>-112</val>
          </value>
          <value>
            <val>0</val>
          </value>
        </values>
      </ddeItem>
      <ddeItem name="41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-59</val>
          </value>
          <value t="str">
            <val>--</val>
          </value>
          <value t="str">
            <val>6.00</val>
          </value>
          <value>
            <val>7.65</val>
          </value>
          <value t="str">
            <val>9.24</val>
          </value>
          <value t="str">
            <val>2.39</val>
          </value>
          <value t="str">
            <val>瑞基</val>
          </value>
          <value t="str">
            <val>上櫃農業科技業</val>
          </value>
          <value t="str">
            <val>全球最大蝦類白點病毒檢測試劑廠</val>
          </value>
        </values>
      </ddeItem>
      <ddeItem name="4171.TW-CName,InvestorConferenceDate,DateofMeetingofShareHolders,TradingDate" advise="1">
        <values cols="4">
          <value t="str">
            <val>瑞基</val>
          </value>
          <value t="str">
            <val>2021/01/12</val>
          </value>
          <value t="str">
            <val>2022/08/02</val>
          </value>
          <value t="str">
            <val>2022/08/01</val>
          </value>
        </values>
      </ddeItem>
      <ddeItem name="4171.TW-ID,Name,MarketValue,Capital,NetIncomeGrowthRate,OperIncomeGrowthRate,FinancialStatementsTime,TFXRatio,MonthlyNetSalesYoY,RevenueMonth" advise="1">
        <values cols="10">
          <value t="str">
            <val>4171</val>
          </value>
          <value t="str">
            <val>瑞基</val>
          </value>
          <value t="str">
            <val>32.8</val>
          </value>
          <value t="str">
            <val>4.18</val>
          </value>
          <value t="str">
            <val>5.36</val>
          </value>
          <value t="str">
            <val>-3.04</val>
          </value>
          <value t="str">
            <val>2022/03</val>
          </value>
          <value t="str">
            <val>-84.18</val>
          </value>
          <value t="str">
            <val>-70.69</val>
          </value>
          <value t="str">
            <val>2022/06</val>
          </value>
        </values>
      </ddeItem>
      <ddeItem name="4171.TW-OperatingProfitRatio,Price,PriceChangeRatio,InOutRatioNumber,Value,YearReturn,MonthReturn,WeekReturn,FinanceBalanceDif,ChipsField2" advise="1">
        <values cols="10">
          <value t="str">
            <val>48.52</val>
          </value>
          <value>
            <val>78.400000000000006</val>
          </value>
          <value>
            <val>-1.51</val>
          </value>
          <value t="str">
            <val>43.52%</val>
          </value>
          <value t="str">
            <val>3238萬</val>
          </value>
          <value t="str">
            <val>-31.27</val>
          </value>
          <value t="str">
            <val>-6.89</val>
          </value>
          <value t="str">
            <val>-6.44</val>
          </value>
          <value>
            <val>11</val>
          </value>
          <value>
            <val>0</val>
          </value>
        </values>
      </ddeItem>
      <ddeItem name="417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48</val>
          </value>
          <value t="str">
            <val>2022/07/13</val>
          </value>
          <value t="str">
            <val>0.50</val>
          </value>
          <value>
            <val>2.88</val>
          </value>
          <value t="str">
            <val>0.75</val>
          </value>
          <value t="str">
            <val>0.16</val>
          </value>
          <value t="str">
            <val>久裕</val>
          </value>
          <value t="str">
            <val>上櫃生技醫療</val>
          </value>
          <value t="str">
            <val>佳醫旗下藥品經銷物流商</val>
          </value>
        </values>
      </ddeItem>
      <ddeItem name="4173.TW-CName,InvestorConferenceDate,DateofMeetingofShareHolders,TradingDate" advise="1">
        <values cols="4">
          <value t="str">
            <val>久裕</val>
          </value>
          <value t="str">
            <val>2022/04/28</val>
          </value>
          <value t="str">
            <val>2022/06/14</val>
          </value>
          <value t="str">
            <val>2022/08/01</val>
          </value>
        </values>
      </ddeItem>
      <ddeItem name="4173.TW-ID,Name,MarketValue,Capital,NetIncomeGrowthRate,OperIncomeGrowthRate,FinancialStatementsTime,TFXRatio,MonthlyNetSalesYoY,RevenueMonth" advise="1">
        <values cols="10">
          <value t="str">
            <val>4173</val>
          </value>
          <value t="str">
            <val>久裕</val>
          </value>
          <value t="str">
            <val>12.9</val>
          </value>
          <value t="str">
            <val>7.46</val>
          </value>
          <value t="str">
            <val>5.87</val>
          </value>
          <value t="str">
            <val>18.51</val>
          </value>
          <value t="str">
            <val>2022/03</val>
          </value>
          <value t="str">
            <val>-6.98</val>
          </value>
          <value t="str">
            <val>6.17</val>
          </value>
          <value t="str">
            <val>2022/06</val>
          </value>
        </values>
      </ddeItem>
      <ddeItem name="4173.TW-OperatingProfitRatio,Price,PriceChangeRatio,InOutRatioNumber,Value,YearReturn,MonthReturn,WeekReturn,FinanceBalanceDif,ChipsField2" advise="1">
        <values cols="10">
          <value t="str">
            <val>5.78</val>
          </value>
          <value>
            <val>17.350000000000001</val>
          </value>
          <value>
            <val>0.28999999999999998</val>
          </value>
          <value t="str">
            <val>23.44%</val>
          </value>
          <value t="str">
            <val>111萬</val>
          </value>
          <value t="str">
            <val>-15.01</val>
          </value>
          <value t="str">
            <val>+8.37</val>
          </value>
          <value t="str">
            <val>-1.14</val>
          </value>
          <value>
            <val>7</val>
          </value>
          <value>
            <val>0</val>
          </value>
        </values>
      </ddeItem>
      <ddeItem name="41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-125</val>
          </value>
          <value t="str">
            <val>--</val>
          </value>
          <value t="str">
            <val>0.00</val>
          </value>
          <value>
            <val>0</val>
          </value>
          <value t="str">
            <val>-8.05</val>
          </value>
          <value t="str">
            <val>-1.52</val>
          </value>
          <value t="str">
            <val>浩鼎</val>
          </value>
          <value t="str">
            <val>上櫃生技醫療</val>
          </value>
          <value t="str">
            <val>潤泰集團旗下擁有OPopS技術平台的醣基新藥研發公司</val>
          </value>
        </values>
      </ddeItem>
      <ddeItem name="4174.TW-CName,InvestorConferenceDate,DateofMeetingofShareHolders,TradingDate" advise="1">
        <values cols="4">
          <value t="str">
            <val>浩鼎</val>
          </value>
          <value t="str">
            <val>2021/11/11</val>
          </value>
          <value t="str">
            <val>2022/06/27</val>
          </value>
          <value t="str">
            <val>2022/08/01</val>
          </value>
        </values>
      </ddeItem>
      <ddeItem name="4174.TW-ID,Name,MarketValue,Capital,NetIncomeGrowthRate,OperIncomeGrowthRate,FinancialStatementsTime,TFXRatio,MonthlyNetSalesYoY,RevenueMonth" advise="1">
        <values cols="10">
          <value t="str">
            <val>4174</val>
          </value>
          <value t="str">
            <val>浩鼎</val>
          </value>
          <value t="str">
            <val>185.7</val>
          </value>
          <value t="str">
            <val>22.93</val>
          </value>
          <value t="str">
            <val>-44.33</val>
          </value>
          <value t="str">
            <val>-43.74</val>
          </value>
          <value t="str">
            <val>2022/03</val>
          </value>
          <value t="str">
            <val>-60.63</val>
          </value>
          <value t="str">
            <val>-38.08</val>
          </value>
          <value t="str">
            <val>2022/06</val>
          </value>
        </values>
      </ddeItem>
      <ddeItem name="4174.TW-OperatingProfitRatio,Price,PriceChangeRatio,InOutRatioNumber,Value,YearReturn,MonthReturn,WeekReturn,FinanceBalanceDif,ChipsField2" advise="1">
        <values cols="10">
          <value t="str">
            <val>-32246.95</val>
          </value>
          <value>
            <val>81</val>
          </value>
          <value>
            <val>-2.06</val>
          </value>
          <value t="str">
            <val>25.41%</val>
          </value>
          <value t="str">
            <val>3270萬</val>
          </value>
          <value t="str">
            <val>-25.35</val>
          </value>
          <value t="str">
            <val>-10.20</val>
          </value>
          <value t="str">
            <val>-4.14</val>
          </value>
          <value>
            <val>14</val>
          </value>
          <value>
            <val>0</val>
          </value>
        </values>
      </ddeItem>
      <ddeItem name="417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-24</val>
          </value>
          <value t="str">
            <val>2022/06/24</val>
          </value>
          <value t="str">
            <val>1.60</val>
          </value>
          <value>
            <val>2.33</val>
          </value>
          <value t="str">
            <val>2.11</val>
          </value>
          <value t="str">
            <val>0.86</val>
          </value>
          <value t="str">
            <val>杏一</val>
          </value>
          <value t="str">
            <val>上櫃生技醫療</val>
          </value>
          <value t="str">
            <val>台灣醫療用品連鎖服務通路</val>
          </value>
        </values>
      </ddeItem>
      <ddeItem name="4175.TW-CName,InvestorConferenceDate,DateofMeetingofShareHolders,TradingDate" advise="1">
        <values cols="4">
          <value t="str">
            <val>杏一</val>
          </value>
          <value t="str">
            <val>2021/12/24</val>
          </value>
          <value t="str">
            <val>2022/05/26</val>
          </value>
          <value t="str">
            <val>2022/08/01</val>
          </value>
        </values>
      </ddeItem>
      <ddeItem name="4175.TW-ID,Name,MarketValue,Capital,NetIncomeGrowthRate,OperIncomeGrowthRate,FinancialStatementsTime,TFXRatio,MonthlyNetSalesYoY,RevenueMonth" advise="1">
        <values cols="10">
          <value t="str">
            <val>4175</val>
          </value>
          <value t="str">
            <val>杏一</val>
          </value>
          <value t="str">
            <val>24.2</val>
          </value>
          <value t="str">
            <val>3.53</val>
          </value>
          <value t="str">
            <val>19.16</val>
          </value>
          <value t="str">
            <val>22.73</val>
          </value>
          <value t="str">
            <val>2022/03</val>
          </value>
          <value t="str">
            <val>-13.93</val>
          </value>
          <value t="str">
            <val>7.26</val>
          </value>
          <value t="str">
            <val>2022/06</val>
          </value>
        </values>
      </ddeItem>
      <ddeItem name="4175.TW-OperatingProfitRatio,Price,PriceChangeRatio,InOutRatioNumber,Value,YearReturn,MonthReturn,WeekReturn,FinanceBalanceDif,ChipsField2" advise="1">
        <values cols="10">
          <value t="str">
            <val>2.48</val>
          </value>
          <value>
            <val>68.7</val>
          </value>
          <value>
            <val>0.88</val>
          </value>
          <value t="str">
            <val>27.50%</val>
          </value>
          <value t="str">
            <val>272萬</val>
          </value>
          <value t="str">
            <val>+3.50</val>
          </value>
          <value t="str">
            <val>+1.03</val>
          </value>
          <value t="str">
            <val>-0.43</val>
          </value>
          <value>
            <val>1</val>
          </value>
          <value>
            <val>0</val>
          </value>
        </values>
      </ddeItem>
      <ddeItem name="41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2022/07/12</val>
          </value>
          <value t="str">
            <val>0.70</val>
          </value>
          <value>
            <val>3.99</val>
          </value>
          <value t="str">
            <val>1.11</val>
          </value>
          <value t="str">
            <val>0.11</val>
          </value>
          <value t="str">
            <val>福永生技</val>
          </value>
          <value t="str">
            <val>上櫃生技醫療</val>
          </value>
          <value t="str">
            <val>台灣血糖測試設備商</val>
          </value>
        </values>
      </ddeItem>
      <ddeItem name="4183.TW-CName,InvestorConferenceDate,DateofMeetingofShareHolders,TradingDate" advise="1">
        <values cols="4">
          <value t="str">
            <val>福永生技</val>
          </value>
          <value t="str">
            <val>2021/12/09</val>
          </value>
          <value t="str">
            <val>2022/06/24</val>
          </value>
          <value t="str">
            <val>2022/08/01</val>
          </value>
        </values>
      </ddeItem>
      <ddeItem name="4183.TW-ID,Name,MarketValue,Capital,NetIncomeGrowthRate,OperIncomeGrowthRate,FinancialStatementsTime,TFXRatio,MonthlyNetSalesYoY,RevenueMonth" advise="1">
        <values cols="10">
          <value t="str">
            <val>4183</val>
          </value>
          <value t="str">
            <val>福永生技</val>
          </value>
          <value t="str">
            <val>4.2</val>
          </value>
          <value t="str">
            <val>2.38</val>
          </value>
          <value t="str">
            <val>146.92</val>
          </value>
          <value t="str">
            <val>45.81</val>
          </value>
          <value t="str">
            <val>2022/03</val>
          </value>
          <value t="str">
            <val>85.70</val>
          </value>
          <value t="str">
            <val>-14.68</val>
          </value>
          <value t="str">
            <val>2022/06</val>
          </value>
        </values>
      </ddeItem>
      <ddeItem name="4183.TW-OperatingProfitRatio,Price,PriceChangeRatio,InOutRatioNumber,Value,YearReturn,MonthReturn,WeekReturn,FinanceBalanceDif,ChipsField2" advise="1">
        <values cols="10">
          <value t="str">
            <val>-1.63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-7.52</val>
          </value>
          <value t="str">
            <val>-0.19</val>
          </value>
          <value t="str">
            <val>+0.86</val>
          </value>
          <value>
            <val>0</val>
          </value>
          <value>
            <val>0</val>
          </value>
        </values>
      </ddeItem>
      <ddeItem name="41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-0.42</val>
          </value>
          <value t="str">
            <val>-0.15</val>
          </value>
          <value t="str">
            <val>安克</val>
          </value>
          <value t="str">
            <val>上櫃生技醫療</val>
          </value>
          <value t="str">
            <val>懷特旗下電腦輔助診斷軟體研發廠</val>
          </value>
        </values>
      </ddeItem>
      <ddeItem name="4188.TW-CName,InvestorConferenceDate,DateofMeetingofShareHolders,TradingDate" advise="1">
        <values cols="4">
          <value t="str">
            <val>安克</val>
          </value>
          <value t="str">
            <val>2022/07/19</val>
          </value>
          <value t="str">
            <val>2022/05/20</val>
          </value>
          <value t="str">
            <val>2022/08/01</val>
          </value>
        </values>
      </ddeItem>
      <ddeItem name="4188.TW-ID,Name,MarketValue,Capital,NetIncomeGrowthRate,OperIncomeGrowthRate,FinancialStatementsTime,TFXRatio,MonthlyNetSalesYoY,RevenueMonth" advise="1">
        <values cols="10">
          <value t="str">
            <val>4188</val>
          </value>
          <value t="str">
            <val>安克</val>
          </value>
          <value t="str">
            <val>8.9</val>
          </value>
          <value t="str">
            <val>5.32</val>
          </value>
          <value t="str">
            <val>37.94</val>
          </value>
          <value t="str">
            <val>24.87</val>
          </value>
          <value t="str">
            <val>2022/03</val>
          </value>
          <value t="str">
            <val>27.67</val>
          </value>
          <value t="str">
            <val>-28.35</val>
          </value>
          <value t="str">
            <val>2022/06</val>
          </value>
        </values>
      </ddeItem>
      <ddeItem name="4188.TW-OperatingProfitRatio,Price,PriceChangeRatio,InOutRatioNumber,Value,YearReturn,MonthReturn,WeekReturn,FinanceBalanceDif,ChipsField2" advise="1">
        <values cols="10">
          <value t="str">
            <val>-62.79</val>
          </value>
          <value>
            <val>16.649999999999999</val>
          </value>
          <value>
            <val>-1.48</val>
          </value>
          <value t="str">
            <val>31.03%</val>
          </value>
          <value t="str">
            <val>48.4萬</val>
          </value>
          <value t="str">
            <val>+2.15</val>
          </value>
          <value t="str">
            <val>+5.71</val>
          </value>
          <value t="str">
            <val>-4.03</val>
          </value>
          <value>
            <val>0</val>
          </value>
          <value>
            <val>0</val>
          </value>
        </values>
      </ddeItem>
      <ddeItem name="41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-3.74</val>
          </value>
          <value t="str">
            <val>-0.37</val>
          </value>
          <value t="str">
            <val>杏國</val>
          </value>
          <value t="str">
            <val>上櫃生技醫療</val>
          </value>
          <value t="str">
            <val>杏輝旗下植物新藥研發廠</val>
          </value>
        </values>
      </ddeItem>
      <ddeItem name="4192.TW-CName,InvestorConferenceDate,DateofMeetingofShareHolders,TradingDate" advise="1">
        <values cols="4">
          <value t="str">
            <val>杏國</val>
          </value>
          <value t="str">
            <val>2021/11/11</val>
          </value>
          <value t="str">
            <val>2022/05/26</val>
          </value>
          <value t="str">
            <val>2022/08/01</val>
          </value>
        </values>
      </ddeItem>
      <ddeItem name="4192.TW-ID,Name,MarketValue,Capital,NetIncomeGrowthRate,OperIncomeGrowthRate,FinancialStatementsTime,TFXRatio,MonthlyNetSalesYoY,RevenueMonth" advise="1">
        <values cols="10">
          <value t="str">
            <val>4192</val>
          </value>
          <value t="str">
            <val>杏國</val>
          </value>
          <value t="str">
            <val>31.3</val>
          </value>
          <value t="str">
            <val>11.51</val>
          </value>
          <value t="str">
            <val>40.80</val>
          </value>
          <value t="str">
            <val>41.14</val>
          </value>
          <value t="str">
            <val>2022/03</val>
          </value>
          <value t="str">
            <val>-22.67</val>
          </value>
          <value t="str">
            <val>111.48</val>
          </value>
          <value t="str">
            <val>2022/06</val>
          </value>
        </values>
      </ddeItem>
      <ddeItem name="4192.TW-OperatingProfitRatio,Price,PriceChangeRatio,InOutRatioNumber,Value,YearReturn,MonthReturn,WeekReturn,FinanceBalanceDif,ChipsField2" advise="1">
        <values cols="10">
          <value t="str">
            <val>-1290.96</val>
          </value>
          <value>
            <val>27.2</val>
          </value>
          <value>
            <val>-1.0900000000000001</val>
          </value>
          <value t="str">
            <val>16.13%</val>
          </value>
          <value t="str">
            <val>84.3萬</val>
          </value>
          <value t="str">
            <val>-46.25</val>
          </value>
          <value t="str">
            <val>-1.27</val>
          </value>
          <value t="str">
            <val>-2.51</val>
          </value>
          <value>
            <val>0</val>
          </value>
          <value>
            <val>0</val>
          </value>
        </values>
      </ddeItem>
      <ddeItem name="419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-1.35</val>
          </value>
          <value t="str">
            <val>-0.41</val>
          </value>
          <value t="str">
            <val>欣大健康</val>
          </value>
          <value t="str">
            <val>上櫃生技醫療</val>
          </value>
          <value t="str">
            <val>高階數位X光機及骨質密度檢測設備廠</val>
          </value>
        </values>
      </ddeItem>
      <ddeItem name="4198.TW-CName,InvestorConferenceDate,DateofMeetingofShareHolders,TradingDate" advise="1">
        <values cols="4">
          <value t="str">
            <val>欣大健康</val>
          </value>
          <value t="str">
            <val>2021/12/22</val>
          </value>
          <value t="str">
            <val>2022/04/29</val>
          </value>
          <value t="str">
            <val>2022/08/01</val>
          </value>
        </values>
      </ddeItem>
      <ddeItem name="4198.TW-ID,Name,MarketValue,Capital,NetIncomeGrowthRate,OperIncomeGrowthRate,FinancialStatementsTime,TFXRatio,MonthlyNetSalesYoY,RevenueMonth" advise="1">
        <values cols="10">
          <value t="str">
            <val>4198</val>
          </value>
          <value t="str">
            <val>欣大健康</val>
          </value>
          <value t="str">
            <val>3.7</val>
          </value>
          <value t="str">
            <val>8.05</val>
          </value>
          <value t="str">
            <val>-20.03</val>
          </value>
          <value t="str">
            <val>-17.79</val>
          </value>
          <value t="str">
            <val>2022/03</val>
          </value>
          <value t="str">
            <val>18.80</val>
          </value>
          <value t="str">
            <val>79.01</val>
          </value>
          <value t="str">
            <val>2022/06</val>
          </value>
        </values>
      </ddeItem>
      <ddeItem name="4198.TW-OperatingProfitRatio,Price,PriceChangeRatio,InOutRatioNumber,Value,YearReturn,MonthReturn,WeekReturn,FinanceBalanceDif,ChipsField2" advise="1">
        <values cols="10">
          <value t="str">
            <val>-62.21</val>
          </value>
          <value>
            <val>4.63</val>
          </value>
          <value>
            <val>-0.64</val>
          </value>
          <value t="str">
            <val>21.62%</val>
          </value>
          <value t="str">
            <val>26.8萬</val>
          </value>
          <value t="str">
            <val>-22.83</val>
          </value>
          <value t="str">
            <val>-4.34</val>
          </value>
          <value t="str">
            <val>-3.54</val>
          </value>
          <value>
            <val>0</val>
          </value>
          <value>
            <val>0</val>
          </value>
        </values>
      </ddeItem>
      <ddeItem name="42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2022/07/15</val>
          </value>
          <value t="str">
            <val>3.00</val>
          </value>
          <value>
            <val>2.94</val>
          </value>
          <value t="str">
            <val>3.97</val>
          </value>
          <value t="str">
            <val>0.92</val>
          </value>
          <value t="str">
            <val>中華食</val>
          </value>
          <value t="str">
            <val>上櫃食品</val>
          </value>
          <value t="str">
            <val>中華豆腐及豆花製造廠</val>
          </value>
        </values>
      </ddeItem>
      <ddeItem name="4205.TW-CName,InvestorConferenceDate,DateofMeetingofShareHolders,TradingDate" advise="1">
        <values cols="4">
          <value t="str">
            <val>中華食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4205.TW-ID,Name,MarketValue,Capital,NetIncomeGrowthRate,OperIncomeGrowthRate,FinancialStatementsTime,TFXRatio,MonthlyNetSalesYoY,RevenueMonth" advise="1">
        <values cols="10">
          <value t="str">
            <val>4205</val>
          </value>
          <value t="str">
            <val>中華食</val>
          </value>
          <value t="str">
            <val>90.5</val>
          </value>
          <value t="str">
            <val>8.88</val>
          </value>
          <value t="str">
            <val>14.62</val>
          </value>
          <value t="str">
            <val>13.59</val>
          </value>
          <value t="str">
            <val>2022/03</val>
          </value>
          <value t="str">
            <val>-6.23</val>
          </value>
          <value t="str">
            <val>1.53</val>
          </value>
          <value t="str">
            <val>2022/06</val>
          </value>
        </values>
      </ddeItem>
      <ddeItem name="4205.TW-OperatingProfitRatio,Price,PriceChangeRatio,InOutRatioNumber,Value,YearReturn,MonthReturn,WeekReturn,FinanceBalanceDif,ChipsField2" advise="1">
        <values cols="10">
          <value t="str">
            <val>23.66</val>
          </value>
          <value>
            <val>102</val>
          </value>
          <value>
            <val>0</val>
          </value>
          <value t="str">
            <val>7.14%</val>
          </value>
          <value t="str">
            <val>142萬</val>
          </value>
          <value t="str">
            <val>-14.85</val>
          </value>
          <value t="str">
            <val>+3.51</val>
          </value>
          <value t="str">
            <val>+0.49</val>
          </value>
          <value>
            <val>0</val>
          </value>
          <value>
            <val>0</val>
          </value>
        </values>
      </ddeItem>
      <ddeItem name="42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99</val>
          </value>
          <value t="str">
            <val>2022/04/14</val>
          </value>
          <value t="str">
            <val>1.25</val>
          </value>
          <value>
            <val>8.83</val>
          </value>
          <value t="str">
            <val>2.22</val>
          </value>
          <value t="str">
            <val>0.40</val>
          </value>
          <value t="str">
            <val>環泰</val>
          </value>
          <value t="str">
            <val>上櫃食品</val>
          </value>
          <value t="str">
            <val>台灣三大果糖廠之一</val>
          </value>
        </values>
      </ddeItem>
      <ddeItem name="4207.TW-CName,InvestorConferenceDate,DateofMeetingofShareHolders,TradingDate" advise="1">
        <values cols="4">
          <value t="str">
            <val>環泰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4207.TW-ID,Name,MarketValue,Capital,NetIncomeGrowthRate,OperIncomeGrowthRate,FinancialStatementsTime,TFXRatio,MonthlyNetSalesYoY,RevenueMonth" advise="1">
        <values cols="10">
          <value t="str">
            <val>4207</val>
          </value>
          <value t="str">
            <val>環泰</val>
          </value>
          <value t="str">
            <val>22.9</val>
          </value>
          <value t="str">
            <val>16.21</val>
          </value>
          <value t="str">
            <val>-12.42</val>
          </value>
          <value t="str">
            <val>1.71</val>
          </value>
          <value t="str">
            <val>2022/03</val>
          </value>
          <value t="str">
            <val>2.25</val>
          </value>
          <value t="str">
            <val>22.71</val>
          </value>
          <value t="str">
            <val>2022/06</val>
          </value>
        </values>
      </ddeItem>
      <ddeItem name="4207.TW-OperatingProfitRatio,Price,PriceChangeRatio,InOutRatioNumber,Value,YearReturn,MonthReturn,WeekReturn,FinanceBalanceDif,ChipsField2" advise="1">
        <values cols="10">
          <value t="str">
            <val>8.82</val>
          </value>
          <value>
            <val>14.15</val>
          </value>
          <value>
            <val>2.17</val>
          </value>
          <value t="str">
            <val>53.21%</val>
          </value>
          <value t="str">
            <val>555萬</val>
          </value>
          <value t="str">
            <val>+9.62</val>
          </value>
          <value t="str">
            <val>+4.81</val>
          </value>
          <value t="str">
            <val>+2.54</val>
          </value>
          <value>
            <val>-2</val>
          </value>
          <value>
            <val>0</val>
          </value>
        </values>
      </ddeItem>
      <ddeItem name="43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141</val>
          </value>
          <value t="str">
            <val>--</val>
          </value>
          <value t="str">
            <val>1.10</val>
          </value>
          <value>
            <val>5.31</val>
          </value>
          <value t="str">
            <val>2.84</val>
          </value>
          <value t="str">
            <val>1.03</val>
          </value>
          <value t="str">
            <val>信立</val>
          </value>
          <value t="str">
            <val>上櫃塑膠</val>
          </value>
          <value t="str">
            <val>植毛絨布及PVC皮居領導地位之廠商</val>
          </value>
        </values>
      </ddeItem>
      <ddeItem name="4303.TW-CName,InvestorConferenceDate,DateofMeetingofShareHolders,TradingDate" advise="1">
        <values cols="4">
          <value t="str">
            <val>信立</val>
          </value>
          <value t="str">
            <val>--</val>
          </value>
          <value t="str">
            <val>2022/06/30</val>
          </value>
          <value t="str">
            <val>2022/08/01</val>
          </value>
        </values>
      </ddeItem>
      <ddeItem name="4303.TW-ID,Name,MarketValue,Capital,NetIncomeGrowthRate,OperIncomeGrowthRate,FinancialStatementsTime,TFXRatio,MonthlyNetSalesYoY,RevenueMonth" advise="1">
        <values cols="10">
          <value t="str">
            <val>4303</val>
          </value>
          <value t="str">
            <val>信立</val>
          </value>
          <value t="str">
            <val>14.0</val>
          </value>
          <value t="str">
            <val>6.75</val>
          </value>
          <value t="str">
            <val>636.93</val>
          </value>
          <value t="str">
            <val>106.16</val>
          </value>
          <value t="str">
            <val>2022/03</val>
          </value>
          <value t="str">
            <val>-10.93</val>
          </value>
          <value t="str">
            <val>-9.57</val>
          </value>
          <value t="str">
            <val>2022/06</val>
          </value>
        </values>
      </ddeItem>
      <ddeItem name="4303.TW-OperatingProfitRatio,Price,PriceChangeRatio,InOutRatioNumber,Value,YearReturn,MonthReturn,WeekReturn,FinanceBalanceDif,ChipsField2" advise="1">
        <values cols="10">
          <value t="str">
            <val>6.52</val>
          </value>
          <value>
            <val>20.7</val>
          </value>
          <value>
            <val>1.72</val>
          </value>
          <value t="str">
            <val>60.47%</val>
          </value>
          <value t="str">
            <val>891萬</val>
          </value>
          <value t="str">
            <val>+18.13</val>
          </value>
          <value t="str">
            <val>+2.48</val>
          </value>
          <value t="str">
            <val>+0.24</val>
          </value>
          <value>
            <val>-5</val>
          </value>
          <value>
            <val>0</val>
          </value>
        </values>
      </ddeItem>
      <ddeItem name="43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3.83</val>
          </value>
          <value t="str">
            <val>-0.37</val>
          </value>
          <value t="str">
            <val>勝昱</val>
          </value>
          <value t="str">
            <val>上櫃塑膠</val>
          </value>
          <value t="str">
            <val>台灣EMI電磁波屏隔材料第一大廠</val>
          </value>
        </values>
      </ddeItem>
      <ddeItem name="4304.TW-CName,InvestorConferenceDate,DateofMeetingofShareHolders,TradingDate" advise="1">
        <values cols="4">
          <value t="str">
            <val>勝昱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4304.TW-ID,Name,MarketValue,Capital,NetIncomeGrowthRate,OperIncomeGrowthRate,FinancialStatementsTime,TFXRatio,MonthlyNetSalesYoY,RevenueMonth" advise="1">
        <values cols="10">
          <value t="str">
            <val>4304</val>
          </value>
          <value t="str">
            <val>勝昱</val>
          </value>
          <value t="str">
            <val>3.2</val>
          </value>
          <value t="str">
            <val>3.60</val>
          </value>
          <value t="str">
            <val>-1605.68</val>
          </value>
          <value t="str">
            <val>-3322.13</val>
          </value>
          <value t="str">
            <val>2022/03</val>
          </value>
          <value t="str">
            <val>-29.03</val>
          </value>
          <value t="str">
            <val>-23.93</val>
          </value>
          <value t="str">
            <val>2022/06</val>
          </value>
        </values>
      </ddeItem>
      <ddeItem name="4304.TW-OperatingProfitRatio,Price,PriceChangeRatio,InOutRatioNumber,Value,YearReturn,MonthReturn,WeekReturn,FinanceBalanceDif,ChipsField2" advise="1">
        <values cols="10">
          <value t="str">
            <val>-19.67</val>
          </value>
          <value>
            <val>9</val>
          </value>
          <value>
            <val>0</val>
          </value>
          <value t="str">
            <val>83.33%</val>
          </value>
          <value t="str">
            <val>16.0萬</val>
          </value>
          <value t="str">
            <val>+15.53</val>
          </value>
          <value t="str">
            <val>+11.52</val>
          </value>
          <value t="str">
            <val>-0.33</val>
          </value>
          <value>
            <val>0</val>
          </value>
          <value>
            <val>0</val>
          </value>
        </values>
      </ddeItem>
      <ddeItem name="43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2022/07/26</val>
          </value>
          <value t="str">
            <val>1.80</val>
          </value>
          <value>
            <val>6.04</val>
          </value>
          <value t="str">
            <val>2.09</val>
          </value>
          <value t="str">
            <val>0.76</val>
          </value>
          <value t="str">
            <val>世坤</val>
          </value>
          <value t="str">
            <val>上櫃塑膠</val>
          </value>
          <value t="str">
            <val>專業PVC軟質膠布廠</val>
          </value>
        </values>
      </ddeItem>
      <ddeItem name="4305.TW-CName,InvestorConferenceDate,DateofMeetingofShareHolders,TradingDate" advise="1">
        <values cols="4">
          <value t="str">
            <val>世坤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4305.TW-ID,Name,MarketValue,Capital,NetIncomeGrowthRate,OperIncomeGrowthRate,FinancialStatementsTime,TFXRatio,MonthlyNetSalesYoY,RevenueMonth" advise="1">
        <values cols="10">
          <value t="str">
            <val>4305</val>
          </value>
          <value t="str">
            <val>世坤</val>
          </value>
          <value t="str">
            <val>16.4</val>
          </value>
          <value t="str">
            <val>5.50</val>
          </value>
          <value t="str">
            <val>9.32</val>
          </value>
          <value t="str">
            <val>-32.73</val>
          </value>
          <value t="str">
            <val>2022/03</val>
          </value>
          <value t="str">
            <val>-2.48</val>
          </value>
          <value t="str">
            <val>20.05</val>
          </value>
          <value t="str">
            <val>2022/06</val>
          </value>
        </values>
      </ddeItem>
      <ddeItem name="4305.TW-OperatingProfitRatio,Price,PriceChangeRatio,InOutRatioNumber,Value,YearReturn,MonthReturn,WeekReturn,FinanceBalanceDif,ChipsField2" advise="1">
        <values cols="10">
          <value t="str">
            <val>12.09</val>
          </value>
          <value>
            <val>29.8</val>
          </value>
          <value>
            <val>0</val>
          </value>
          <value t="str">
            <val>50.00%</val>
          </value>
          <value t="str">
            <val>5.96萬</val>
          </value>
          <value t="str">
            <val>-2.15</val>
          </value>
          <value t="str">
            <val>+6.94</val>
          </value>
          <value t="str">
            <val>+2.94</val>
          </value>
          <value>
            <val>0</val>
          </value>
          <value>
            <val>0</val>
          </value>
        </values>
      </ddeItem>
      <ddeItem name="44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1.50</val>
          </value>
          <value>
            <val>5.23</val>
          </value>
          <value t="str">
            <val>2.71</val>
          </value>
          <value t="str">
            <val>0.55</val>
          </value>
          <value t="str">
            <val>東隆興</val>
          </value>
          <value t="str">
            <val>上櫃紡織纖維</val>
          </value>
          <value t="str">
            <val>亞洲最大的尼龍66線紗供應商</val>
          </value>
        </values>
      </ddeItem>
      <ddeItem name="4401.TW-CName,InvestorConferenceDate,DateofMeetingofShareHolders,TradingDate" advise="1">
        <values cols="4">
          <value t="str">
            <val>東隆興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4401.TW-ID,Name,MarketValue,Capital,NetIncomeGrowthRate,OperIncomeGrowthRate,FinancialStatementsTime,TFXRatio,MonthlyNetSalesYoY,RevenueMonth" advise="1">
        <values cols="10">
          <value t="str">
            <val>4401</val>
          </value>
          <value t="str">
            <val>東隆興</val>
          </value>
          <value t="str">
            <val>34.5</val>
          </value>
          <value t="str">
            <val>12.03</val>
          </value>
          <value t="str">
            <val>14.56</val>
          </value>
          <value t="str">
            <val>5.48</val>
          </value>
          <value t="str">
            <val>2022/03</val>
          </value>
          <value t="str">
            <val>4.03</val>
          </value>
          <value t="str">
            <val>-5.72</val>
          </value>
          <value t="str">
            <val>2022/06</val>
          </value>
        </values>
      </ddeItem>
      <ddeItem name="4401.TW-OperatingProfitRatio,Price,PriceChangeRatio,InOutRatioNumber,Value,YearReturn,MonthReturn,WeekReturn,FinanceBalanceDif,ChipsField2" advise="1">
        <values cols="10">
          <value t="str">
            <val>6.47</val>
          </value>
          <value>
            <val>28.7</val>
          </value>
          <value>
            <val>1.06</val>
          </value>
          <value t="str">
            <val>45.00%</val>
          </value>
          <value t="str">
            <val>60.1萬</val>
          </value>
          <value t="str">
            <val>-29.01</val>
          </value>
          <value t="str">
            <val>+4.74</val>
          </value>
          <value t="str">
            <val>+3.99</val>
          </value>
          <value>
            <val>0</val>
          </value>
          <value>
            <val>0</val>
          </value>
        </values>
      </ddeItem>
      <ddeItem name="44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103</val>
          </value>
          <value t="str">
            <val>--</val>
          </value>
          <value t="str">
            <val>0.00</val>
          </value>
          <value>
            <val>0</val>
          </value>
          <value t="str">
            <val>-0.90</val>
          </value>
          <value t="str">
            <val>-0.20</val>
          </value>
          <value t="str">
            <val>福大</val>
          </value>
          <value t="str">
            <val>上櫃紡織纖維</val>
          </value>
          <value t="str">
            <val>經營紡織及太陽能電站業務</val>
          </value>
        </values>
      </ddeItem>
      <ddeItem name="4402.TW-CName,InvestorConferenceDate,DateofMeetingofShareHolders,TradingDate" advise="1">
        <values cols="4">
          <value t="str">
            <val>福大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4402.TW-ID,Name,MarketValue,Capital,NetIncomeGrowthRate,OperIncomeGrowthRate,FinancialStatementsTime,TFXRatio,MonthlyNetSalesYoY,RevenueMonth" advise="1">
        <values cols="10">
          <value t="str">
            <val>4402</val>
          </value>
          <value t="str">
            <val>福大</val>
          </value>
          <value t="str">
            <val>7.4</val>
          </value>
          <value t="str">
            <val>4.60</val>
          </value>
          <value t="str">
            <val>-31.18</val>
          </value>
          <value t="str">
            <val>88.30</val>
          </value>
          <value t="str">
            <val>2022/03</val>
          </value>
          <value t="str">
            <val>19.38</val>
          </value>
          <value t="str">
            <val>61.88</val>
          </value>
          <value t="str">
            <val>2022/06</val>
          </value>
        </values>
      </ddeItem>
      <ddeItem name="4402.TW-OperatingProfitRatio,Price,PriceChangeRatio,InOutRatioNumber,Value,YearReturn,MonthReturn,WeekReturn,FinanceBalanceDif,ChipsField2" advise="1">
        <values cols="10">
          <value t="str">
            <val>-2.10</val>
          </value>
          <value>
            <val>16.149999999999999</val>
          </value>
          <value>
            <val>-2.12</val>
          </value>
          <value t="str">
            <val>25.64%</val>
          </value>
          <value t="str">
            <val>2127萬</val>
          </value>
          <value t="str">
            <val>+122.76</val>
          </value>
          <value t="str">
            <val>+41.67</val>
          </value>
          <value t="str">
            <val>+0.62</val>
          </value>
          <value>
            <val>0</val>
          </value>
          <value>
            <val>0</val>
          </value>
        </values>
      </ddeItem>
      <ddeItem name="44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0.37</val>
          </value>
          <value t="str">
            <val>0.14</val>
          </value>
          <value t="str">
            <val>新昕纖</val>
          </value>
          <value t="str">
            <val>上櫃紡織纖維</val>
          </value>
          <value t="str">
            <val>為特殊規格加工絲的中小型假撚廠</val>
          </value>
        </values>
      </ddeItem>
      <ddeItem name="4406.TW-CName,InvestorConferenceDate,DateofMeetingofShareHolders,TradingDate" advise="1">
        <values cols="4">
          <value t="str">
            <val>新昕纖</val>
          </value>
          <value t="str">
            <val>--</val>
          </value>
          <value t="str">
            <val>2022/06/28</val>
          </value>
          <value t="str">
            <val>2022/08/01</val>
          </value>
        </values>
      </ddeItem>
      <ddeItem name="4406.TW-ID,Name,MarketValue,Capital,NetIncomeGrowthRate,OperIncomeGrowthRate,FinancialStatementsTime,TFXRatio,MonthlyNetSalesYoY,RevenueMonth" advise="1">
        <values cols="10">
          <value t="str">
            <val>4406</val>
          </value>
          <value t="str">
            <val>新昕纖</val>
          </value>
          <value t="str">
            <val>5.6</val>
          </value>
          <value t="str">
            <val>5.19</val>
          </value>
          <value t="str">
            <val>36.40</val>
          </value>
          <value t="str">
            <val>-116.72</val>
          </value>
          <value t="str">
            <val>2022/03</val>
          </value>
          <value t="str">
            <val>10.34</val>
          </value>
          <value t="str">
            <val>30.95</val>
          </value>
          <value t="str">
            <val>2022/06</val>
          </value>
        </values>
      </ddeItem>
      <ddeItem name="4406.TW-OperatingProfitRatio,Price,PriceChangeRatio,InOutRatioNumber,Value,YearReturn,MonthReturn,WeekReturn,FinanceBalanceDif,ChipsField2" advise="1">
        <values cols="10">
          <value t="str">
            <val>-0.90</val>
          </value>
          <value>
            <val>10.7</val>
          </value>
          <value>
            <val>1.9</val>
          </value>
          <value t="str">
            <val>70.77%</val>
          </value>
          <value t="str">
            <val>70.3萬</val>
          </value>
          <value t="str">
            <val>-2.28</val>
          </value>
          <value t="str">
            <val>+8.08</val>
          </value>
          <value t="str">
            <val>+6.47</val>
          </value>
          <value>
            <val>7</val>
          </value>
          <value>
            <val>0</val>
          </value>
        </values>
      </ddeItem>
      <ddeItem name="44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0.38</val>
          </value>
          <value t="str">
            <val>0.51</val>
          </value>
          <value t="str">
            <val>飛寶企業</val>
          </value>
          <value t="str">
            <val>上櫃紡織纖維</val>
          </value>
          <value t="str">
            <val>主要經營長纖布業務</val>
          </value>
        </values>
      </ddeItem>
      <ddeItem name="4413.TW-CName,InvestorConferenceDate,DateofMeetingofShareHolders,TradingDate" advise="1">
        <values cols="4">
          <value t="str">
            <val>飛寶企業</val>
          </value>
          <value t="str">
            <val>2022/03/14</val>
          </value>
          <value t="str">
            <val>2022/05/31</val>
          </value>
          <value t="str">
            <val>2022/08/01</val>
          </value>
        </values>
      </ddeItem>
      <ddeItem name="4413.TW-ID,Name,MarketValue,Capital,NetIncomeGrowthRate,OperIncomeGrowthRate,FinancialStatementsTime,TFXRatio,MonthlyNetSalesYoY,RevenueMonth" advise="1">
        <values cols="10">
          <value t="str">
            <val>4413</val>
          </value>
          <value t="str">
            <val>飛寶企業</val>
          </value>
          <value t="str">
            <val>6.1</val>
          </value>
          <value t="str">
            <val>3.13</val>
          </value>
          <value t="str">
            <val>54.52</val>
          </value>
          <value t="str">
            <val>51.48</val>
          </value>
          <value t="str">
            <val>2022/03</val>
          </value>
          <value t="str">
            <val>82.50</val>
          </value>
          <value t="str">
            <val>206.26</val>
          </value>
          <value t="str">
            <val>2022/06</val>
          </value>
        </values>
      </ddeItem>
      <ddeItem name="4413.TW-OperatingProfitRatio,Price,PriceChangeRatio,InOutRatioNumber,Value,YearReturn,MonthReturn,WeekReturn,FinanceBalanceDif,ChipsField2" advise="1">
        <values cols="10">
          <value t="str">
            <val>5.72</val>
          </value>
          <value>
            <val>19.5</val>
          </value>
          <value>
            <val>5.69</val>
          </value>
          <value t="str">
            <val>76.29%</val>
          </value>
          <value t="str">
            <val>188萬</val>
          </value>
          <value t="str">
            <val>+51.16</val>
          </value>
          <value t="str">
            <val>+31.31</val>
          </value>
          <value t="str">
            <val>+10.48</val>
          </value>
          <value>
            <val>0</val>
          </value>
          <value>
            <val>0</val>
          </value>
        </values>
      </ddeItem>
      <ddeItem name="44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2022/08/09</val>
          </value>
          <value t="str">
            <val>4.96</val>
          </value>
          <value>
            <val>5.96</val>
          </value>
          <value t="str">
            <val>17.09</val>
          </value>
          <value t="str">
            <val>-0.72</val>
          </value>
          <value t="str">
            <val>三圓</val>
          </value>
          <value t="str">
            <val>上櫃建材營造</val>
          </value>
          <value t="str">
            <val>從事國民住宅興建及出租出售業務</val>
          </value>
        </values>
      </ddeItem>
      <ddeItem name="4416.TW-CName,InvestorConferenceDate,DateofMeetingofShareHolders,TradingDate" advise="1">
        <values cols="4">
          <value t="str">
            <val>三圓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4416.TW-ID,Name,MarketValue,Capital,NetIncomeGrowthRate,OperIncomeGrowthRate,FinancialStatementsTime,TFXRatio,MonthlyNetSalesYoY,RevenueMonth" advise="1">
        <values cols="10">
          <value t="str">
            <val>4416</val>
          </value>
          <value t="str">
            <val>三圓</val>
          </value>
          <value t="str">
            <val>51.5</val>
          </value>
          <value t="str">
            <val>6.19</val>
          </value>
          <value t="str">
            <val>-39.44</val>
          </value>
          <value t="str">
            <val>2.90</val>
          </value>
          <value t="str">
            <val>2022/03</val>
          </value>
          <value t="str">
            <val>-0.68</val>
          </value>
          <value t="str">
            <val>5.30</val>
          </value>
          <value t="str">
            <val>2022/06</val>
          </value>
        </values>
      </ddeItem>
      <ddeItem name="4416.TW-OperatingProfitRatio,Price,PriceChangeRatio,InOutRatioNumber,Value,YearReturn,MonthReturn,WeekReturn,FinanceBalanceDif,ChipsField2" advise="1">
        <values cols="10">
          <value t="str">
            <val>23.17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-20.00</val>
          </value>
          <value t="str">
            <val>-2.00</val>
          </value>
          <value t="str">
            <val>+1.71</val>
          </value>
          <value>
            <val>0</val>
          </value>
          <value>
            <val>0</val>
          </value>
        </values>
      </ddeItem>
      <ddeItem name="441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2022/07/28</val>
          </value>
          <value t="str">
            <val>2.10</val>
          </value>
          <value>
            <val>6.33</val>
          </value>
          <value t="str">
            <val>2.42</val>
          </value>
          <value t="str">
            <val>0.42</val>
          </value>
          <value t="str">
            <val>金洲</val>
          </value>
          <value t="str">
            <val>上櫃紡織纖維</val>
          </value>
          <value t="str">
            <val>全球第一大漁網生產商</val>
          </value>
        </values>
      </ddeItem>
      <ddeItem name="4417.TW-CName,InvestorConferenceDate,DateofMeetingofShareHolders,TradingDate" advise="1">
        <values cols="4">
          <value t="str">
            <val>金洲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4417.TW-ID,Name,MarketValue,Capital,NetIncomeGrowthRate,OperIncomeGrowthRate,FinancialStatementsTime,TFXRatio,MonthlyNetSalesYoY,RevenueMonth" advise="1">
        <values cols="10">
          <value t="str">
            <val>4417</val>
          </value>
          <value t="str">
            <val>金洲</val>
          </value>
          <value t="str">
            <val>27.8</val>
          </value>
          <value t="str">
            <val>8.40</val>
          </value>
          <value t="str">
            <val>-61.26</val>
          </value>
          <value t="str">
            <val>-46.77</val>
          </value>
          <value t="str">
            <val>2022/03</val>
          </value>
          <value t="str">
            <val>-19.29</val>
          </value>
          <value t="str">
            <val>26.33</val>
          </value>
          <value t="str">
            <val>2022/06</val>
          </value>
        </values>
      </ddeItem>
      <ddeItem name="4417.TW-OperatingProfitRatio,Price,PriceChangeRatio,InOutRatioNumber,Value,YearReturn,MonthReturn,WeekReturn,FinanceBalanceDif,ChipsField2" advise="1">
        <values cols="10">
          <value t="str">
            <val>10.96</val>
          </value>
          <value>
            <val>33.15</val>
          </value>
          <value>
            <val>0.45</val>
          </value>
          <value t="str">
            <val>43.24%</val>
          </value>
          <value t="str">
            <val>123萬</val>
          </value>
          <value t="str">
            <val>+0.33</val>
          </value>
          <value t="str">
            <val>+4.82</val>
          </value>
          <value t="str">
            <val>+2.39</val>
          </value>
          <value>
            <val>-1</val>
          </value>
          <value>
            <val>0</val>
          </value>
        </values>
      </ddeItem>
      <ddeItem name="441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-0.50</val>
          </value>
          <value t="str">
            <val>0.02</val>
          </value>
          <value t="str">
            <val>元勝</val>
          </value>
          <value t="str">
            <val>上櫃紡織纖維</val>
          </value>
          <value t="str">
            <val>氣撚加工絲廠並跨入資訊安全領域</val>
          </value>
        </values>
      </ddeItem>
      <ddeItem name="4419.TW-CName,InvestorConferenceDate,DateofMeetingofShareHolders,TradingDate" advise="1">
        <values cols="4">
          <value t="str">
            <val>元勝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4419.TW-ID,Name,MarketValue,Capital,NetIncomeGrowthRate,OperIncomeGrowthRate,FinancialStatementsTime,TFXRatio,MonthlyNetSalesYoY,RevenueMonth" advise="1">
        <values cols="10">
          <value t="str">
            <val>4419</val>
          </value>
          <value t="str">
            <val>元勝</val>
          </value>
          <value t="str">
            <val>4.5</val>
          </value>
          <value t="str">
            <val>4.66</val>
          </value>
          <value t="str">
            <val>179.83</val>
          </value>
          <value t="str">
            <val>222.00</val>
          </value>
          <value t="str">
            <val>2022/03</val>
          </value>
          <value t="str">
            <val>-19.01</val>
          </value>
          <value t="str">
            <val>78.67</val>
          </value>
          <value t="str">
            <val>2022/06</val>
          </value>
        </values>
      </ddeItem>
      <ddeItem name="4419.TW-OperatingProfitRatio,Price,PriceChangeRatio,InOutRatioNumber,Value,YearReturn,MonthReturn,WeekReturn,FinanceBalanceDif,ChipsField2" advise="1">
        <values cols="10">
          <value t="str">
            <val>5.22</val>
          </value>
          <value>
            <val>9.59</val>
          </value>
          <value>
            <val>-3.71</val>
          </value>
          <value t="str">
            <val>84.21%</val>
          </value>
          <value t="str">
            <val>17.5萬</val>
          </value>
          <value t="str">
            <val>-4.00</val>
          </value>
          <value t="str">
            <val>+4.24</val>
          </value>
          <value t="str">
            <val>+3.68</val>
          </value>
          <value>
            <val>0</val>
          </value>
          <value>
            <val>0</val>
          </value>
        </values>
      </ddeItem>
      <ddeItem name="44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2022/04/21</val>
          </value>
          <value t="str">
            <val>2.00</val>
          </value>
          <value>
            <val>6.54</val>
          </value>
          <value t="str">
            <val>1.81</val>
          </value>
          <value t="str">
            <val>0.47</val>
          </value>
          <value t="str">
            <val>光明</val>
          </value>
          <value t="str">
            <val>上櫃紡織纖維</val>
          </value>
          <value t="str">
            <val>經營功能性加工絲與環保訴求加工絲為主</val>
          </value>
        </values>
      </ddeItem>
      <ddeItem name="4420.TW-CName,InvestorConferenceDate,DateofMeetingofShareHolders,TradingDate" advise="1">
        <values cols="4">
          <value t="str">
            <val>光明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4420.TW-ID,Name,MarketValue,Capital,NetIncomeGrowthRate,OperIncomeGrowthRate,FinancialStatementsTime,TFXRatio,MonthlyNetSalesYoY,RevenueMonth" advise="1">
        <values cols="10">
          <value t="str">
            <val>4420</val>
          </value>
          <value t="str">
            <val>光明</val>
          </value>
          <value t="str">
            <val>12.4</val>
          </value>
          <value t="str">
            <val>4.05</val>
          </value>
          <value t="str">
            <val>-32.88</val>
          </value>
          <value t="str">
            <val>-23.76</val>
          </value>
          <value t="str">
            <val>2022/03</val>
          </value>
          <value t="str">
            <val>-5.49</val>
          </value>
          <value t="str">
            <val>-1.60</val>
          </value>
          <value t="str">
            <val>2022/06</val>
          </value>
        </values>
      </ddeItem>
      <ddeItem name="4420.TW-OperatingProfitRatio,Price,PriceChangeRatio,InOutRatioNumber,Value,YearReturn,MonthReturn,WeekReturn,FinanceBalanceDif,ChipsField2" advise="1">
        <values cols="10">
          <value t="str">
            <val>6.82</val>
          </value>
          <value>
            <val>30.6</val>
          </value>
          <value>
            <val>1.49</val>
          </value>
          <value t="str">
            <val>100.00%</val>
          </value>
          <value t="str">
            <val>3.06萬</val>
          </value>
          <value t="str">
            <val>+12.87</val>
          </value>
          <value t="str">
            <val>+0.99</val>
          </value>
          <value t="str">
            <val>+1.66</val>
          </value>
          <value>
            <val>-1</val>
          </value>
          <value>
            <val>0</val>
          </value>
        </values>
      </ddeItem>
      <ddeItem name="44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0.50</val>
          </value>
          <value>
            <val>2.34</val>
          </value>
          <value t="str">
            <val>1.12</val>
          </value>
          <value t="str">
            <val>0.79</val>
          </value>
          <value t="str">
            <val>耀億</val>
          </value>
          <value t="str">
            <val>上櫃其他</val>
          </value>
          <value t="str">
            <val>全球第一大之網球拍線製造商</val>
          </value>
        </values>
      </ddeItem>
      <ddeItem name="4430.TW-CName,InvestorConferenceDate,DateofMeetingofShareHolders,TradingDate" advise="1">
        <values cols="4">
          <value t="str">
            <val>耀億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4430.TW-ID,Name,MarketValue,Capital,NetIncomeGrowthRate,OperIncomeGrowthRate,FinancialStatementsTime,TFXRatio,MonthlyNetSalesYoY,RevenueMonth" advise="1">
        <values cols="10">
          <value t="str">
            <val>4430</val>
          </value>
          <value t="str">
            <val>耀億</val>
          </value>
          <value t="str">
            <val>12.0</val>
          </value>
          <value t="str">
            <val>5.63</val>
          </value>
          <value t="str">
            <val>86.72</val>
          </value>
          <value t="str">
            <val>18.55</val>
          </value>
          <value t="str">
            <val>2022/03</val>
          </value>
          <value t="str">
            <val>-28.67</val>
          </value>
          <value t="str">
            <val>-16.21</val>
          </value>
          <value t="str">
            <val>2022/06</val>
          </value>
        </values>
      </ddeItem>
      <ddeItem name="4430.TW-OperatingProfitRatio,Price,PriceChangeRatio,InOutRatioNumber,Value,YearReturn,MonthReturn,WeekReturn,FinanceBalanceDif,ChipsField2" advise="1">
        <values cols="10">
          <value t="str">
            <val>5.06</val>
          </value>
          <value>
            <val>21.35</val>
          </value>
          <value>
            <val>0</val>
          </value>
          <value t="str">
            <val>25.00%</val>
          </value>
          <value t="str">
            <val>8.54萬</val>
          </value>
          <value t="str">
            <val>-12.78</val>
          </value>
          <value t="str">
            <val>-6.36</val>
          </value>
          <value t="str">
            <val>+0.71</val>
          </value>
          <value>
            <val>0</val>
          </value>
          <value>
            <val>0</val>
          </value>
        </values>
      </ddeItem>
      <ddeItem name="44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150</val>
          </value>
          <value t="str">
            <val>--</val>
          </value>
          <value t="str">
            <val>0.00</val>
          </value>
          <value>
            <val>0</val>
          </value>
          <value t="str">
            <val>-0.81</val>
          </value>
          <value t="str">
            <val>0.62</val>
          </value>
          <value t="str">
            <val>銘旺實</val>
          </value>
          <value t="str">
            <val>上櫃紡織纖維</val>
          </value>
          <value t="str">
            <val>主要客戶為Adidas、Reebok等運動服大廠</val>
          </value>
        </values>
      </ddeItem>
      <ddeItem name="4432.TW-CName,InvestorConferenceDate,DateofMeetingofShareHolders,TradingDate" advise="1">
        <values cols="4">
          <value t="str">
            <val>銘旺實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4432.TW-ID,Name,MarketValue,Capital,NetIncomeGrowthRate,OperIncomeGrowthRate,FinancialStatementsTime,TFXRatio,MonthlyNetSalesYoY,RevenueMonth" advise="1">
        <values cols="10">
          <value t="str">
            <val>4432</val>
          </value>
          <value t="str">
            <val>銘旺實</val>
          </value>
          <value t="str">
            <val>15.6</val>
          </value>
          <value t="str">
            <val>5.06</val>
          </value>
          <value t="str">
            <val>200.29</val>
          </value>
          <value t="str">
            <val>150.10</val>
          </value>
          <value t="str">
            <val>2022/03</val>
          </value>
          <value t="str">
            <val>47.43</val>
          </value>
          <value t="str">
            <val>176.59</val>
          </value>
          <value t="str">
            <val>2022/06</val>
          </value>
        </values>
      </ddeItem>
      <ddeItem name="4432.TW-OperatingProfitRatio,Price,PriceChangeRatio,InOutRatioNumber,Value,YearReturn,MonthReturn,WeekReturn,FinanceBalanceDif,ChipsField2" advise="1">
        <values cols="10">
          <value t="str">
            <val>3.95</val>
          </value>
          <value>
            <val>30.8</val>
          </value>
          <value>
            <val>10</val>
          </value>
          <value t="str">
            <val>64.71%</val>
          </value>
          <value t="str">
            <val>2.10億</val>
          </value>
          <value t="str">
            <val>+108.11</val>
          </value>
          <value t="str">
            <val>+104.65</val>
          </value>
          <value t="str">
            <val>+20.55</val>
          </value>
          <value>
            <val>393</val>
          </value>
          <value>
            <val>0</val>
          </value>
        </values>
      </ddeItem>
      <ddeItem name="44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</val>
          </value>
          <value t="str">
            <val>2022/07/12</val>
          </value>
          <value t="str">
            <val>0.77</val>
          </value>
          <value>
            <val>2.8</val>
          </value>
          <value t="str">
            <val>2.18</val>
          </value>
          <value t="str">
            <val>1.07</val>
          </value>
          <value t="str">
            <val>興采</val>
          </value>
          <value t="str">
            <val>上櫃紡織纖維</val>
          </value>
          <value t="str">
            <val>首創環保咖啡紗的功能性布料領導商</val>
          </value>
        </values>
      </ddeItem>
      <ddeItem name="4433.TW-CName,InvestorConferenceDate,DateofMeetingofShareHolders,TradingDate" advise="1">
        <values cols="4">
          <value t="str">
            <val>興采</val>
          </value>
          <value t="str">
            <val>2021/04/08</val>
          </value>
          <value t="str">
            <val>2022/05/27</val>
          </value>
          <value t="str">
            <val>2022/08/01</val>
          </value>
        </values>
      </ddeItem>
      <ddeItem name="4433.TW-ID,Name,MarketValue,Capital,NetIncomeGrowthRate,OperIncomeGrowthRate,FinancialStatementsTime,TFXRatio,MonthlyNetSalesYoY,RevenueMonth" advise="1">
        <values cols="10">
          <value t="str">
            <val>4433</val>
          </value>
          <value t="str">
            <val>興采</val>
          </value>
          <value t="str">
            <val>16.8</val>
          </value>
          <value t="str">
            <val>6.12</val>
          </value>
          <value t="str">
            <val>253.99</val>
          </value>
          <value t="str">
            <val>376.25</val>
          </value>
          <value t="str">
            <val>2022/03</val>
          </value>
          <value t="str">
            <val>-20.12</val>
          </value>
          <value t="str">
            <val>-24.58</val>
          </value>
          <value t="str">
            <val>2022/06</val>
          </value>
        </values>
      </ddeItem>
      <ddeItem name="4433.TW-OperatingProfitRatio,Price,PriceChangeRatio,InOutRatioNumber,Value,YearReturn,MonthReturn,WeekReturn,FinanceBalanceDif,ChipsField2" advise="1">
        <values cols="10">
          <value t="str">
            <val>6.42</val>
          </value>
          <value>
            <val>27.5</val>
          </value>
          <value>
            <val>0.73</val>
          </value>
          <value t="str">
            <val>36.71%</val>
          </value>
          <value t="str">
            <val>219萬</val>
          </value>
          <value t="str">
            <val>-19.07</val>
          </value>
          <value t="str">
            <val>+0.63</val>
          </value>
          <value t="str">
            <val>+4.56</val>
          </value>
          <value>
            <val>-5</val>
          </value>
          <value>
            <val>0</val>
          </value>
        </values>
      </ddeItem>
      <ddeItem name="45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-2.26</val>
          </value>
          <value t="str">
            <val>-0.12</val>
          </value>
          <value t="str">
            <val>健信</val>
          </value>
          <value t="str">
            <val>上櫃電機機械</val>
          </value>
          <value t="str">
            <val>台灣主要汽車鋼圈及鋁圈廠</val>
          </value>
        </values>
      </ddeItem>
      <ddeItem name="4502.TW-CName,InvestorConferenceDate,DateofMeetingofShareHolders,TradingDate" advise="1">
        <values cols="4">
          <value t="str">
            <val>健信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4502.TW-ID,Name,MarketValue,Capital,NetIncomeGrowthRate,OperIncomeGrowthRate,FinancialStatementsTime,TFXRatio,MonthlyNetSalesYoY,RevenueMonth" advise="1">
        <values cols="10">
          <value t="str">
            <val>4502</val>
          </value>
          <value t="str">
            <val>健信</val>
          </value>
          <value t="str">
            <val>22.2</val>
          </value>
          <value t="str">
            <val>5.81</val>
          </value>
          <value t="str">
            <val>79.85</val>
          </value>
          <value t="str">
            <val>91.37</val>
          </value>
          <value t="str">
            <val>2022/03</val>
          </value>
          <value t="str">
            <val>-14.46</val>
          </value>
          <value t="str">
            <val>7.34</val>
          </value>
          <value t="str">
            <val>2022/06</val>
          </value>
        </values>
      </ddeItem>
      <ddeItem name="4502.TW-OperatingProfitRatio,Price,PriceChangeRatio,InOutRatioNumber,Value,YearReturn,MonthReturn,WeekReturn,FinanceBalanceDif,ChipsField2" advise="1">
        <values cols="10">
          <value t="str">
            <val>-0.88</val>
          </value>
          <value>
            <val>38.200000000000003</val>
          </value>
          <value>
            <val>2.14</val>
          </value>
          <value t="str">
            <val>68.75%</val>
          </value>
          <value t="str">
            <val>60.6萬</val>
          </value>
          <value t="str">
            <val>-2.80</val>
          </value>
          <value t="str">
            <val>+1.46</val>
          </value>
          <value t="str">
            <val>+2.83</val>
          </value>
          <value>
            <val>-1</val>
          </value>
          <value>
            <val>0</val>
          </value>
        </values>
      </ddeItem>
      <ddeItem name="45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310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-1.09</val>
          </value>
          <value t="str">
            <val>-0.36</val>
          </value>
          <value t="str">
            <val>金雨</val>
          </value>
          <value t="str">
            <val>上櫃電機機械</val>
          </value>
          <value t="str">
            <val>台灣最大自動販賣機製造廠</val>
          </value>
        </values>
      </ddeItem>
      <ddeItem name="4503.TW-CName,InvestorConferenceDate,DateofMeetingofShareHolders,TradingDate" advise="1">
        <values cols="4">
          <value t="str">
            <val>金雨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4503.TW-ID,Name,MarketValue,Capital,NetIncomeGrowthRate,OperIncomeGrowthRate,FinancialStatementsTime,TFXRatio,MonthlyNetSalesYoY,RevenueMonth" advise="1">
        <values cols="10">
          <value t="str">
            <val>4503</val>
          </value>
          <value t="str">
            <val>金雨</val>
          </value>
          <value t="str">
            <val>19.2</val>
          </value>
          <value t="str">
            <val>4.79</val>
          </value>
          <value t="str">
            <val>-205.68</val>
          </value>
          <value t="str">
            <val>-373.45</val>
          </value>
          <value t="str">
            <val>2022/03</val>
          </value>
          <value t="str">
            <val>5.21</val>
          </value>
          <value t="str">
            <val>28.30</val>
          </value>
          <value t="str">
            <val>2022/06</val>
          </value>
        </values>
      </ddeItem>
      <ddeItem name="4503.TW-OperatingProfitRatio,Price,PriceChangeRatio,InOutRatioNumber,Value,YearReturn,MonthReturn,WeekReturn,FinanceBalanceDif,ChipsField2" advise="1">
        <values cols="10">
          <value t="str">
            <val>-65.88</val>
          </value>
          <value>
            <val>40.049999999999997</val>
          </value>
          <value>
            <val>0.63</val>
          </value>
          <value t="str">
            <val>46.61%</val>
          </value>
          <value t="str">
            <val>8161萬</val>
          </value>
          <value t="str">
            <val>+149.53</val>
          </value>
          <value t="str">
            <val>-0.12</val>
          </value>
          <value t="str">
            <val>0.00</val>
          </value>
          <value>
            <val>4</val>
          </value>
          <value>
            <val>0</val>
          </value>
        </values>
      </ddeItem>
      <ddeItem name="45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2022/07/21</val>
          </value>
          <value t="str">
            <val>3.20</val>
          </value>
          <value>
            <val>4.46</val>
          </value>
          <value t="str">
            <val>4.85</val>
          </value>
          <value t="str">
            <val>1.52</val>
          </value>
          <value t="str">
            <val>崇友</val>
          </value>
          <value t="str">
            <val>上櫃電機機械</val>
          </value>
          <value t="str">
            <val>台灣前三大電梯製造商</val>
          </value>
        </values>
      </ddeItem>
      <ddeItem name="4506.TW-CName,InvestorConferenceDate,DateofMeetingofShareHolders,TradingDate" advise="1">
        <values cols="4">
          <value t="str">
            <val>崇友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4506.TW-ID,Name,MarketValue,Capital,NetIncomeGrowthRate,OperIncomeGrowthRate,FinancialStatementsTime,TFXRatio,MonthlyNetSalesYoY,RevenueMonth" advise="1">
        <values cols="10">
          <value t="str">
            <val>4506</val>
          </value>
          <value t="str">
            <val>崇友</val>
          </value>
          <value t="str">
            <val>127.1</val>
          </value>
          <value t="str">
            <val>17.70</val>
          </value>
          <value t="str">
            <val>42.60</val>
          </value>
          <value t="str">
            <val>1.21</val>
          </value>
          <value t="str">
            <val>2022/03</val>
          </value>
          <value t="str">
            <val>-2.25</val>
          </value>
          <value t="str">
            <val>-4.39</val>
          </value>
          <value t="str">
            <val>2022/06</val>
          </value>
        </values>
      </ddeItem>
      <ddeItem name="4506.TW-OperatingProfitRatio,Price,PriceChangeRatio,InOutRatioNumber,Value,YearReturn,MonthReturn,WeekReturn,FinanceBalanceDif,ChipsField2" advise="1">
        <values cols="10">
          <value t="str">
            <val>20.75</val>
          </value>
          <value>
            <val>71.8</val>
          </value>
          <value>
            <val>1.27</val>
          </value>
          <value t="str">
            <val>78.95%</val>
          </value>
          <value t="str">
            <val>286萬</val>
          </value>
          <value t="str">
            <val>+33.41</val>
          </value>
          <value t="str">
            <val>+6.86</val>
          </value>
          <value t="str">
            <val>+1.84</val>
          </value>
          <value>
            <val>0</val>
          </value>
          <value>
            <val>0</val>
          </value>
        </values>
      </ddeItem>
      <ddeItem name="45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0.13</val>
          </value>
          <value t="str">
            <val>0.12</val>
          </value>
          <value t="str">
            <val>高鋒</val>
          </value>
          <value t="str">
            <val>上櫃電機機械</val>
          </value>
          <value t="str">
            <val>台灣從事生產切削機及龍門機廠商</val>
          </value>
        </values>
      </ddeItem>
      <ddeItem name="4510.TW-CName,InvestorConferenceDate,DateofMeetingofShareHolders,TradingDate" advise="1">
        <values cols="4">
          <value t="str">
            <val>高鋒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4510.TW-ID,Name,MarketValue,Capital,NetIncomeGrowthRate,OperIncomeGrowthRate,FinancialStatementsTime,TFXRatio,MonthlyNetSalesYoY,RevenueMonth" advise="1">
        <values cols="10">
          <value t="str">
            <val>4510</val>
          </value>
          <value t="str">
            <val>高鋒</val>
          </value>
          <value t="str">
            <val>11.1</val>
          </value>
          <value t="str">
            <val>10.80</val>
          </value>
          <value t="str">
            <val>132.49</val>
          </value>
          <value t="str">
            <val>113.77</val>
          </value>
          <value t="str">
            <val>2022/03</val>
          </value>
          <value t="str">
            <val>-15.04</val>
          </value>
          <value t="str">
            <val>-33.13</val>
          </value>
          <value t="str">
            <val>2022/06</val>
          </value>
        </values>
      </ddeItem>
      <ddeItem name="4510.TW-OperatingProfitRatio,Price,PriceChangeRatio,InOutRatioNumber,Value,YearReturn,MonthReturn,WeekReturn,FinanceBalanceDif,ChipsField2" advise="1">
        <values cols="10">
          <value t="str">
            <val>0.97</val>
          </value>
          <value>
            <val>10.3</val>
          </value>
          <value>
            <val>1.98</val>
          </value>
          <value t="str">
            <val>64.10%</val>
          </value>
          <value t="str">
            <val>81.1萬</val>
          </value>
          <value t="str">
            <val>-14.17</val>
          </value>
          <value t="str">
            <val>-2.83</val>
          </value>
          <value t="str">
            <val>+2.49</val>
          </value>
          <value>
            <val>0</val>
          </value>
          <value>
            <val>0</val>
          </value>
        </values>
      </ddeItem>
      <ddeItem name="45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302</val>
          </value>
          <value t="str">
            <val>--</val>
          </value>
          <value t="str">
            <val>0.00</val>
          </value>
          <value>
            <val>0</val>
          </value>
          <value t="str">
            <val>0.34</val>
          </value>
          <value t="str">
            <val>-0.01</val>
          </value>
          <value t="str">
            <val>福裕</val>
          </value>
          <value t="str">
            <val>上櫃電機機械</val>
          </value>
          <value t="str">
            <val>台灣最大磨床廠商</val>
          </value>
        </values>
      </ddeItem>
      <ddeItem name="4513.TW-CName,InvestorConferenceDate,DateofMeetingofShareHolders,TradingDate" advise="1">
        <values cols="4">
          <value t="str">
            <val>福裕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4513.TW-ID,Name,MarketValue,Capital,NetIncomeGrowthRate,OperIncomeGrowthRate,FinancialStatementsTime,TFXRatio,MonthlyNetSalesYoY,RevenueMonth" advise="1">
        <values cols="10">
          <value t="str">
            <val>4513</val>
          </value>
          <value t="str">
            <val>福裕</val>
          </value>
          <value t="str">
            <val>18.2</val>
          </value>
          <value t="str">
            <val>7.69</val>
          </value>
          <value t="str">
            <val>-106.32</val>
          </value>
          <value t="str">
            <val>-73.19</val>
          </value>
          <value t="str">
            <val>2022/03</val>
          </value>
          <value t="str">
            <val>23.77</val>
          </value>
          <value t="str">
            <val>20.27</val>
          </value>
          <value t="str">
            <val>2022/06</val>
          </value>
        </values>
      </ddeItem>
      <ddeItem name="4513.TW-OperatingProfitRatio,Price,PriceChangeRatio,InOutRatioNumber,Value,YearReturn,MonthReturn,WeekReturn,FinanceBalanceDif,ChipsField2" advise="1">
        <values cols="10">
          <value t="str">
            <val>0.92</val>
          </value>
          <value>
            <val>23.7</val>
          </value>
          <value>
            <val>1.07</val>
          </value>
          <value t="str">
            <val>74.09%</val>
          </value>
          <value t="str">
            <val>1638萬</val>
          </value>
          <value t="str">
            <val>+128.99</val>
          </value>
          <value t="str">
            <val>+26.40</val>
          </value>
          <value t="str">
            <val>+0.21</val>
          </value>
          <value>
            <val>-17</val>
          </value>
          <value>
            <val>0</val>
          </value>
        </values>
      </ddeItem>
      <ddeItem name="45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0.00</val>
          </value>
          <value>
            <val>0</val>
          </value>
          <value t="str">
            <val>0.72</val>
          </value>
          <value t="str">
            <val>0.63</val>
          </value>
          <value t="str">
            <val>永彰</val>
          </value>
          <value t="str">
            <val>上櫃電機機械</val>
          </value>
          <value t="str">
            <val>永大轉投資汽車空調OEM廠商</val>
          </value>
        </values>
      </ddeItem>
      <ddeItem name="4523.TW-CName,InvestorConferenceDate,DateofMeetingofShareHolders,TradingDate" advise="1">
        <values cols="4">
          <value t="str">
            <val>永彰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4523.TW-ID,Name,MarketValue,Capital,NetIncomeGrowthRate,OperIncomeGrowthRate,FinancialStatementsTime,TFXRatio,MonthlyNetSalesYoY,RevenueMonth" advise="1">
        <values cols="10">
          <value t="str">
            <val>4523</val>
          </value>
          <value t="str">
            <val>永彰</val>
          </value>
          <value t="str">
            <val>18.5</val>
          </value>
          <value t="str">
            <val>6.40</val>
          </value>
          <value t="str">
            <val>305.36</val>
          </value>
          <value t="str">
            <val>38.05</val>
          </value>
          <value t="str">
            <val>2022/03</val>
          </value>
          <value t="str">
            <val>29.35</val>
          </value>
          <value t="str">
            <val>-31.41</val>
          </value>
          <value t="str">
            <val>2022/06</val>
          </value>
        </values>
      </ddeItem>
      <ddeItem name="4523.TW-OperatingProfitRatio,Price,PriceChangeRatio,InOutRatioNumber,Value,YearReturn,MonthReturn,WeekReturn,FinanceBalanceDif,ChipsField2" advise="1">
        <values cols="10">
          <value t="str">
            <val>-6.58</val>
          </value>
          <value>
            <val>28.95</val>
          </value>
          <value>
            <val>-0.17</val>
          </value>
          <value t="str">
            <val>50.00%</val>
          </value>
          <value t="str">
            <val>5.70萬</val>
          </value>
          <value t="str">
            <val>+5.46</val>
          </value>
          <value t="str">
            <val>+3.21</val>
          </value>
          <value t="str">
            <val>-1.03</val>
          </value>
          <value>
            <val>-2</val>
          </value>
          <value>
            <val>0</val>
          </value>
        </values>
      </ddeItem>
      <ddeItem name="45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2022/06/14</val>
          </value>
          <value t="str">
            <val>1.80</val>
          </value>
          <value>
            <val>6.69</val>
          </value>
          <value t="str">
            <val>1.86</val>
          </value>
          <value t="str">
            <val>0.24</val>
          </value>
          <value t="str">
            <val>方土霖</val>
          </value>
          <value t="str">
            <val>上櫃電機機械</val>
          </value>
          <value t="str">
            <val>台灣冰水主機與空調設備製造商</val>
          </value>
        </values>
      </ddeItem>
      <ddeItem name="4527.TW-CName,InvestorConferenceDate,DateofMeetingofShareHolders,TradingDate" advise="1">
        <values cols="4">
          <value t="str">
            <val>方土霖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4527.TW-ID,Name,MarketValue,Capital,NetIncomeGrowthRate,OperIncomeGrowthRate,FinancialStatementsTime,TFXRatio,MonthlyNetSalesYoY,RevenueMonth" advise="1">
        <values cols="10">
          <value t="str">
            <val>4527</val>
          </value>
          <value t="str">
            <val>方土霖</val>
          </value>
          <value t="str">
            <val>20.5</val>
          </value>
          <value t="str">
            <val>7.62</val>
          </value>
          <value t="str">
            <val>-37.98</val>
          </value>
          <value t="str">
            <val>-36.46</val>
          </value>
          <value t="str">
            <val>2022/03</val>
          </value>
          <value t="str">
            <val>94.29</val>
          </value>
          <value t="str">
            <val>70.31</val>
          </value>
          <value t="str">
            <val>2022/06</val>
          </value>
        </values>
      </ddeItem>
      <ddeItem name="4527.TW-OperatingProfitRatio,Price,PriceChangeRatio,InOutRatioNumber,Value,YearReturn,MonthReturn,WeekReturn,FinanceBalanceDif,ChipsField2" advise="1">
        <values cols="10">
          <value t="str">
            <val>3.44</val>
          </value>
          <value>
            <val>26.9</val>
          </value>
          <value>
            <val>1.1299999999999999</val>
          </value>
          <value t="str">
            <val>76.00%</val>
          </value>
          <value t="str">
            <val>67.1萬</val>
          </value>
          <value t="str">
            <val>+5.51</val>
          </value>
          <value t="str">
            <val>+3.46</val>
          </value>
          <value t="str">
            <val>+2.48</val>
          </value>
          <value>
            <val>0</val>
          </value>
          <value>
            <val>0</val>
          </value>
        </values>
      </ddeItem>
      <ddeItem name="45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2022/04/15</val>
          </value>
          <value t="str">
            <val>1.50</val>
          </value>
          <value>
            <val>4.3</val>
          </value>
          <value t="str">
            <val>1.92</val>
          </value>
          <value t="str">
            <val>0.27</val>
          </value>
          <value t="str">
            <val>江興鍛</val>
          </value>
          <value t="str">
            <val>上櫃電機機械</val>
          </value>
          <value t="str">
            <val>台灣汽車傳動系統零件鍛造廠</val>
          </value>
        </values>
      </ddeItem>
      <ddeItem name="4528.TW-CName,InvestorConferenceDate,DateofMeetingofShareHolders,TradingDate" advise="1">
        <values cols="4">
          <value t="str">
            <val>江興鍛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4528.TW-ID,Name,MarketValue,Capital,NetIncomeGrowthRate,OperIncomeGrowthRate,FinancialStatementsTime,TFXRatio,MonthlyNetSalesYoY,RevenueMonth" advise="1">
        <values cols="10">
          <value t="str">
            <val>4528</val>
          </value>
          <value t="str">
            <val>江興鍛</val>
          </value>
          <value t="str">
            <val>26.7</val>
          </value>
          <value t="str">
            <val>7.65</val>
          </value>
          <value t="str">
            <val>-61.89</val>
          </value>
          <value t="str">
            <val>-55.47</val>
          </value>
          <value t="str">
            <val>2022/03</val>
          </value>
          <value t="str">
            <val>14.78</val>
          </value>
          <value t="str">
            <val>-22.42</val>
          </value>
          <value t="str">
            <val>2022/06</val>
          </value>
        </values>
      </ddeItem>
      <ddeItem name="4528.TW-OperatingProfitRatio,Price,PriceChangeRatio,InOutRatioNumber,Value,YearReturn,MonthReturn,WeekReturn,FinanceBalanceDif,ChipsField2" advise="1">
        <values cols="10">
          <value t="str">
            <val>4.84</val>
          </value>
          <value>
            <val>34.85</val>
          </value>
          <value>
            <val>2.35</val>
          </value>
          <value t="str">
            <val>82.50%</val>
          </value>
          <value t="str">
            <val>146萬</val>
          </value>
          <value t="str">
            <val>-18.68</val>
          </value>
          <value t="str">
            <val>-1.55</val>
          </value>
          <value t="str">
            <val>+3.57</val>
          </value>
          <value>
            <val>-6</val>
          </value>
          <value>
            <val>0</val>
          </value>
        </values>
      </ddeItem>
      <ddeItem name="45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60</val>
          </value>
          <value t="str">
            <val>--</val>
          </value>
          <value t="str">
            <val>0.00</val>
          </value>
          <value>
            <val>0</val>
          </value>
          <value t="str">
            <val>-5.28</val>
          </value>
          <value t="str">
            <val>0.43</val>
          </value>
          <value t="str">
            <val>淳紳</val>
          </value>
          <value t="str">
            <val>上櫃其他</val>
          </value>
          <value t="str">
            <val>轉型為電動車製造商</val>
          </value>
        </values>
      </ddeItem>
      <ddeItem name="4529.TW-CName,InvestorConferenceDate,DateofMeetingofShareHolders,TradingDate" advise="1">
        <values cols="4">
          <value t="str">
            <val>淳紳</val>
          </value>
          <value t="str">
            <val>--</val>
          </value>
          <value t="str">
            <val>2022/07/22</val>
          </value>
          <value t="str">
            <val>2022/08/01</val>
          </value>
        </values>
      </ddeItem>
      <ddeItem name="4529.TW-ID,Name,MarketValue,Capital,NetIncomeGrowthRate,OperIncomeGrowthRate,FinancialStatementsTime,TFXRatio,MonthlyNetSalesYoY,RevenueMonth" advise="1">
        <values cols="10">
          <value t="str">
            <val>4529</val>
          </value>
          <value t="str">
            <val>淳紳</val>
          </value>
          <value t="str">
            <val>9.3</val>
          </value>
          <value t="str">
            <val>8.46</val>
          </value>
          <value t="str">
            <val>211.26</val>
          </value>
          <value t="str">
            <val>6.34</val>
          </value>
          <value t="str">
            <val>2022/03</val>
          </value>
          <value t="str">
            <val>-58.23</val>
          </value>
          <value t="str">
            <val>-79.60</val>
          </value>
          <value t="str">
            <val>2022/06</val>
          </value>
        </values>
      </ddeItem>
      <ddeItem name="4529.TW-OperatingProfitRatio,Price,PriceChangeRatio,InOutRatioNumber,Value,YearReturn,MonthReturn,WeekReturn,FinanceBalanceDif,ChipsField2" advise="1">
        <values cols="10">
          <value t="str">
            <val>-3719.21</val>
          </value>
          <value>
            <val>11</val>
          </value>
          <value>
            <val>-0.9</val>
          </value>
          <value t="str">
            <val>26.95%</val>
          </value>
          <value t="str">
            <val>186萬</val>
          </value>
          <value t="str">
            <val>-8.33</val>
          </value>
          <value t="str">
            <val>+1.85</val>
          </value>
          <value t="str">
            <val>+1.38</val>
          </value>
          <value>
            <val>28</val>
          </value>
          <value>
            <val>0</val>
          </value>
        </values>
      </ddeItem>
      <ddeItem name="45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--</val>
          </value>
          <value t="str">
            <val>0.00</val>
          </value>
          <value>
            <val>0</val>
          </value>
          <value t="str">
            <val>-0.38</val>
          </value>
          <value t="str">
            <val>-0.09</val>
          </value>
          <value t="str">
            <val>宏易</val>
          </value>
          <value t="str">
            <val>上櫃電機機械</val>
          </value>
          <value t="str">
            <val>公司轉型為汽車零件及餐飲事業</val>
          </value>
        </values>
      </ddeItem>
      <ddeItem name="4530.TW-CName,InvestorConferenceDate,DateofMeetingofShareHolders,TradingDate" advise="1">
        <values cols="4">
          <value t="str">
            <val>宏易</val>
          </value>
          <value t="str">
            <val>--</val>
          </value>
          <value t="str">
            <val>2022/06/30</val>
          </value>
          <value t="str">
            <val>2022/08/01</val>
          </value>
        </values>
      </ddeItem>
      <ddeItem name="4530.TW-ID,Name,MarketValue,Capital,NetIncomeGrowthRate,OperIncomeGrowthRate,FinancialStatementsTime,TFXRatio,MonthlyNetSalesYoY,RevenueMonth" advise="1">
        <values cols="10">
          <value t="str">
            <val>4530</val>
          </value>
          <value t="str">
            <val>宏易</val>
          </value>
          <value t="str">
            <val>3.6</val>
          </value>
          <value t="str">
            <val>4.94</val>
          </value>
          <value t="str">
            <val>67.92</val>
          </value>
          <value t="str">
            <val>63.07</val>
          </value>
          <value t="str">
            <val>2022/03</val>
          </value>
          <value t="str">
            <val>21.95</val>
          </value>
          <value t="str">
            <val>127.12</val>
          </value>
          <value t="str">
            <val>2022/06</val>
          </value>
        </values>
      </ddeItem>
      <ddeItem name="4530.TW-OperatingProfitRatio,Price,PriceChangeRatio,InOutRatioNumber,Value,YearReturn,MonthReturn,WeekReturn,FinanceBalanceDif,ChipsField2" advise="1">
        <values cols="10">
          <value t="str">
            <val>-7.52</val>
          </value>
          <value>
            <val>7.31</val>
          </value>
          <value>
            <val>0.41</val>
          </value>
          <value t="str">
            <val>35.34%</val>
          </value>
          <value t="str">
            <val>84.2萬</val>
          </value>
          <value t="str">
            <val>-20.02</val>
          </value>
          <value t="str">
            <val>-2.53</val>
          </value>
          <value t="str">
            <val>-2.01</val>
          </value>
          <value>
            <val>0</val>
          </value>
          <value>
            <val>0</val>
          </value>
        </values>
      </ddeItem>
      <ddeItem name="45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2022/08/02</val>
          </value>
          <value t="str">
            <val>0.35</val>
          </value>
          <value>
            <val>3.24</val>
          </value>
          <value t="str">
            <val>0.66</val>
          </value>
          <value t="str">
            <val>0.21</val>
          </value>
          <value t="str">
            <val>協易機</val>
          </value>
          <value t="str">
            <val>上櫃電機機械</val>
          </value>
          <value t="str">
            <val>台灣沖床大廠</val>
          </value>
        </values>
      </ddeItem>
      <ddeItem name="4533.TW-CName,InvestorConferenceDate,DateofMeetingofShareHolders,TradingDate" advise="1">
        <values cols="4">
          <value t="str">
            <val>協易機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4533.TW-ID,Name,MarketValue,Capital,NetIncomeGrowthRate,OperIncomeGrowthRate,FinancialStatementsTime,TFXRatio,MonthlyNetSalesYoY,RevenueMonth" advise="1">
        <values cols="10">
          <value t="str">
            <val>4533</val>
          </value>
          <value t="str">
            <val>協易機</val>
          </value>
          <value t="str">
            <val>17.1</val>
          </value>
          <value t="str">
            <val>15.84</val>
          </value>
          <value t="str">
            <val>315.81</val>
          </value>
          <value t="str">
            <val>11.80</val>
          </value>
          <value t="str">
            <val>2022/03</val>
          </value>
          <value t="str">
            <val>54.28</val>
          </value>
          <value t="str">
            <val>16.20</val>
          </value>
          <value t="str">
            <val>2022/06</val>
          </value>
        </values>
      </ddeItem>
      <ddeItem name="4533.TW-OperatingProfitRatio,Price,PriceChangeRatio,InOutRatioNumber,Value,YearReturn,MonthReturn,WeekReturn,FinanceBalanceDif,ChipsField2" advise="1">
        <values cols="10">
          <value t="str">
            <val>-2.76</val>
          </value>
          <value>
            <val>10.8</val>
          </value>
          <value>
            <val>0.47</val>
          </value>
          <value t="str">
            <val>22.62%</val>
          </value>
          <value t="str">
            <val>90.3萬</val>
          </value>
          <value t="str">
            <val>-6.04</val>
          </value>
          <value t="str">
            <val>+3.35</val>
          </value>
          <value t="str">
            <val>+1.41</val>
          </value>
          <value>
            <val>-5</val>
          </value>
          <value>
            <val>0</val>
          </value>
        </values>
      </ddeItem>
      <ddeItem name="45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-18</val>
          </value>
          <value t="str">
            <val>--</val>
          </value>
          <value t="str">
            <val>0.00</val>
          </value>
          <value>
            <val>0</val>
          </value>
          <value t="str">
            <val>-0.25</val>
          </value>
          <value t="str">
            <val>-0.51</val>
          </value>
          <value t="str">
            <val>慶騰</val>
          </value>
          <value t="str">
            <val>上櫃電機機械</val>
          </value>
          <value t="str">
            <val>為台灣粉末冶金及齒輪箱設計開發知名廠商</val>
          </value>
        </values>
      </ddeItem>
      <ddeItem name="4534.TW-CName,InvestorConferenceDate,DateofMeetingofShareHolders,TradingDate" advise="1">
        <values cols="4">
          <value t="str">
            <val>慶騰</val>
          </value>
          <value t="str">
            <val>2021/12/14</val>
          </value>
          <value t="str">
            <val>2022/06/27</val>
          </value>
          <value t="str">
            <val>2022/08/01</val>
          </value>
        </values>
      </ddeItem>
      <ddeItem name="4534.TW-ID,Name,MarketValue,Capital,NetIncomeGrowthRate,OperIncomeGrowthRate,FinancialStatementsTime,TFXRatio,MonthlyNetSalesYoY,RevenueMonth" advise="1">
        <values cols="10">
          <value t="str">
            <val>4534</val>
          </value>
          <value t="str">
            <val>慶騰</val>
          </value>
          <value t="str">
            <val>8.6</val>
          </value>
          <value t="str">
            <val>8.68</val>
          </value>
          <value t="str">
            <val>-254.16</val>
          </value>
          <value t="str">
            <val>-268.23</val>
          </value>
          <value t="str">
            <val>2022/03</val>
          </value>
          <value t="str">
            <val>2.54</val>
          </value>
          <value t="str">
            <val>-32.36</val>
          </value>
          <value t="str">
            <val>2022/06</val>
          </value>
        </values>
      </ddeItem>
      <ddeItem name="4534.TW-OperatingProfitRatio,Price,PriceChangeRatio,InOutRatioNumber,Value,YearReturn,MonthReturn,WeekReturn,FinanceBalanceDif,ChipsField2" advise="1">
        <values cols="10">
          <value t="str">
            <val>-21.00</val>
          </value>
          <value>
            <val>9.93</val>
          </value>
          <value>
            <val>0.2</val>
          </value>
          <value t="str">
            <val>53.85%</val>
          </value>
          <value t="str">
            <val>25.8萬</val>
          </value>
          <value t="str">
            <val>-28.82</val>
          </value>
          <value t="str">
            <val>+10.95</val>
          </value>
          <value t="str">
            <val>-2.65</val>
          </value>
          <value>
            <val>34</val>
          </value>
          <value>
            <val>0</val>
          </value>
        </values>
      </ddeItem>
      <ddeItem name="45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2022/06/14</val>
          </value>
          <value t="str">
            <val>1.60</val>
          </value>
          <value>
            <val>4.3899999999999997</val>
          </value>
          <value t="str">
            <val>2.32</val>
          </value>
          <value t="str">
            <val>0.76</val>
          </value>
          <value t="str">
            <val>至興</val>
          </value>
          <value t="str">
            <val>上櫃電機機械</val>
          </value>
          <value t="str">
            <val>台灣最大汽機車精密沖壓零件廠</val>
          </value>
        </values>
      </ddeItem>
      <ddeItem name="4535.TW-CName,InvestorConferenceDate,DateofMeetingofShareHolders,TradingDate" advise="1">
        <values cols="4">
          <value t="str">
            <val>至興</val>
          </value>
          <value t="str">
            <val>--</val>
          </value>
          <value t="str">
            <val>2022/05/24</val>
          </value>
          <value t="str">
            <val>2022/08/01</val>
          </value>
        </values>
      </ddeItem>
      <ddeItem name="4535.TW-ID,Name,MarketValue,Capital,NetIncomeGrowthRate,OperIncomeGrowthRate,FinancialStatementsTime,TFXRatio,MonthlyNetSalesYoY,RevenueMonth" advise="1">
        <values cols="10">
          <value t="str">
            <val>4535</val>
          </value>
          <value t="str">
            <val>至興</val>
          </value>
          <value t="str">
            <val>27.6</val>
          </value>
          <value t="str">
            <val>7.57</val>
          </value>
          <value t="str">
            <val>-6.64</val>
          </value>
          <value t="str">
            <val>-15.95</val>
          </value>
          <value t="str">
            <val>2022/03</val>
          </value>
          <value t="str">
            <val>-17.68</val>
          </value>
          <value t="str">
            <val>-6.96</val>
          </value>
          <value t="str">
            <val>2022/06</val>
          </value>
        </values>
      </ddeItem>
      <ddeItem name="4535.TW-OperatingProfitRatio,Price,PriceChangeRatio,InOutRatioNumber,Value,YearReturn,MonthReturn,WeekReturn,FinanceBalanceDif,ChipsField2" advise="1">
        <values cols="10">
          <value t="str">
            <val>12.85</val>
          </value>
          <value>
            <val>36.450000000000003</val>
          </value>
          <value>
            <val>-0.14000000000000001</val>
          </value>
          <value t="str">
            <val>100.00%</val>
          </value>
          <value t="str">
            <val>14.6萬</val>
          </value>
          <value t="str">
            <val>+9.25</val>
          </value>
          <value t="str">
            <val>+0.69</val>
          </value>
          <value t="str">
            <val>-1.35</val>
          </value>
          <value>
            <val>0</val>
          </value>
          <value>
            <val>0</val>
          </value>
        </values>
      </ddeItem>
      <ddeItem name="45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2022/06/14</val>
          </value>
          <value t="str">
            <val>0.50</val>
          </value>
          <value>
            <val>2.74</val>
          </value>
          <value t="str">
            <val>0.70</val>
          </value>
          <value t="str">
            <val>0.09</val>
          </value>
          <value t="str">
            <val>大詠城</val>
          </value>
          <value t="str">
            <val>上櫃電機機械</val>
          </value>
          <value t="str">
            <val>台灣工具機鑄件廠</val>
          </value>
        </values>
      </ddeItem>
      <ddeItem name="4538.TW-CName,InvestorConferenceDate,DateofMeetingofShareHolders,TradingDate" advise="1">
        <values cols="4">
          <value t="str">
            <val>大詠城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4538.TW-ID,Name,MarketValue,Capital,NetIncomeGrowthRate,OperIncomeGrowthRate,FinancialStatementsTime,TFXRatio,MonthlyNetSalesYoY,RevenueMonth" advise="1">
        <values cols="10">
          <value t="str">
            <val>4538</val>
          </value>
          <value t="str">
            <val>大詠城</val>
          </value>
          <value t="str">
            <val>9.2</val>
          </value>
          <value t="str">
            <val>5.05</val>
          </value>
          <value t="str">
            <val>-43.23</val>
          </value>
          <value t="str">
            <val>-52.72</val>
          </value>
          <value t="str">
            <val>2022/03</val>
          </value>
          <value t="str">
            <val>15.06</val>
          </value>
          <value t="str">
            <val>25.39</val>
          </value>
          <value t="str">
            <val>2022/06</val>
          </value>
        </values>
      </ddeItem>
      <ddeItem name="4538.TW-OperatingProfitRatio,Price,PriceChangeRatio,InOutRatioNumber,Value,YearReturn,MonthReturn,WeekReturn,FinanceBalanceDif,ChipsField2" advise="1">
        <values cols="10">
          <value t="str">
            <val>3.85</val>
          </value>
          <value>
            <val>18.25</val>
          </value>
          <value>
            <val>0.27</val>
          </value>
          <value t="str">
            <val>100.00%</val>
          </value>
          <value t="str">
            <val>3.64萬</val>
          </value>
          <value t="str">
            <val>-1.80</val>
          </value>
          <value t="str">
            <val>+7.35</val>
          </value>
          <value t="str">
            <val>+0.27</val>
          </value>
          <value>
            <val>0</val>
          </value>
          <value>
            <val>0</val>
          </value>
        </values>
      </ddeItem>
      <ddeItem name="45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540</val>
          </value>
          <value t="str">
            <val>2022/07/04</val>
          </value>
          <value t="str">
            <val>0.40</val>
          </value>
          <value>
            <val>1.33</val>
          </value>
          <value t="str">
            <val>0.74</val>
          </value>
          <value t="str">
            <val>0.27</val>
          </value>
          <value t="str">
            <val>晟田</val>
          </value>
          <value t="str">
            <val>上櫃其他</val>
          </value>
          <value t="str">
            <val>台灣唯一生產飛機起落架零組件廠商</val>
          </value>
        </values>
      </ddeItem>
      <ddeItem name="4541.TW-CName,InvestorConferenceDate,DateofMeetingofShareHolders,TradingDate" advise="1">
        <values cols="4">
          <value t="str">
            <val>晟田</val>
          </value>
          <value t="str">
            <val>2022/07/20</val>
          </value>
          <value t="str">
            <val>2022/06/15</val>
          </value>
          <value t="str">
            <val>2022/08/01</val>
          </value>
        </values>
      </ddeItem>
      <ddeItem name="4541.TW-ID,Name,MarketValue,Capital,NetIncomeGrowthRate,OperIncomeGrowthRate,FinancialStatementsTime,TFXRatio,MonthlyNetSalesYoY,RevenueMonth" advise="1">
        <values cols="10">
          <value t="str">
            <val>4541</val>
          </value>
          <value t="str">
            <val>晟田</val>
          </value>
          <value t="str">
            <val>20.3</val>
          </value>
          <value t="str">
            <val>6.76</val>
          </value>
          <value t="str">
            <val>159.46</val>
          </value>
          <value t="str">
            <val>109.71</val>
          </value>
          <value t="str">
            <val>2022/03</val>
          </value>
          <value t="str">
            <val>6.57</val>
          </value>
          <value t="str">
            <val>16.41</val>
          </value>
          <value t="str">
            <val>2022/06</val>
          </value>
        </values>
      </ddeItem>
      <ddeItem name="4541.TW-OperatingProfitRatio,Price,PriceChangeRatio,InOutRatioNumber,Value,YearReturn,MonthReturn,WeekReturn,FinanceBalanceDif,ChipsField2" advise="1">
        <values cols="10">
          <value t="str">
            <val>1.64</val>
          </value>
          <value>
            <val>30</val>
          </value>
          <value>
            <val>1.87</val>
          </value>
          <value t="str">
            <val>53.23%</val>
          </value>
          <value t="str">
            <val>5181萬</val>
          </value>
          <value t="str">
            <val>+14.11</val>
          </value>
          <value t="str">
            <val>+21.70</val>
          </value>
          <value t="str">
            <val>+6.01</val>
          </value>
          <value>
            <val>-179</val>
          </value>
          <value>
            <val>0</val>
          </value>
        </values>
      </ddeItem>
      <ddeItem name="45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2022/06/30</val>
          </value>
          <value t="str">
            <val>1.00</val>
          </value>
          <value>
            <val>4.03</val>
          </value>
          <value t="str">
            <val>0.87</val>
          </value>
          <value t="str">
            <val>-0.44</val>
          </value>
          <value t="str">
            <val>科嶠</val>
          </value>
          <value t="str">
            <val>上櫃電子零組件</val>
          </value>
          <value t="str">
            <val>PCB用自動化乾燥設備製造大廠</val>
          </value>
        </values>
      </ddeItem>
      <ddeItem name="4542.TW-CName,InvestorConferenceDate,DateofMeetingofShareHolders,TradingDate" advise="1">
        <values cols="4">
          <value t="str">
            <val>科嶠</val>
          </value>
          <value t="str">
            <val>2022/05/31</val>
          </value>
          <value t="str">
            <val>2022/06/02</val>
          </value>
          <value t="str">
            <val>2022/08/01</val>
          </value>
        </values>
      </ddeItem>
      <ddeItem name="4542.TW-ID,Name,MarketValue,Capital,NetIncomeGrowthRate,OperIncomeGrowthRate,FinancialStatementsTime,TFXRatio,MonthlyNetSalesYoY,RevenueMonth" advise="1">
        <values cols="10">
          <value t="str">
            <val>4542</val>
          </value>
          <value t="str">
            <val>科嶠</val>
          </value>
          <value t="str">
            <val>8.0</val>
          </value>
          <value t="str">
            <val>3.23</val>
          </value>
          <value t="str">
            <val>-77.90</val>
          </value>
          <value t="str">
            <val>-258.89</val>
          </value>
          <value t="str">
            <val>2022/03</val>
          </value>
          <value t="str">
            <val>-1.78</val>
          </value>
          <value t="str">
            <val>-17.48</val>
          </value>
          <value t="str">
            <val>2022/06</val>
          </value>
        </values>
      </ddeItem>
      <ddeItem name="4542.TW-OperatingProfitRatio,Price,PriceChangeRatio,InOutRatioNumber,Value,YearReturn,MonthReturn,WeekReturn,FinanceBalanceDif,ChipsField2" advise="1">
        <values cols="10">
          <value t="str">
            <val>-21.56</val>
          </value>
          <value>
            <val>24.8</val>
          </value>
          <value>
            <val>0.81</val>
          </value>
          <value t="str">
            <val>100.00%</val>
          </value>
          <value t="str">
            <val>2.48萬</val>
          </value>
          <value t="str">
            <val>-4.52</val>
          </value>
          <value t="str">
            <val>+1.22</val>
          </value>
          <value t="str">
            <val>+3.33</val>
          </value>
          <value>
            <val>1</val>
          </value>
          <value>
            <val>0</val>
          </value>
        </values>
      </ddeItem>
      <ddeItem name="45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169</val>
          </value>
          <value t="str">
            <val>--</val>
          </value>
          <value t="str">
            <val>0.00</val>
          </value>
          <value>
            <val>0</val>
          </value>
          <value t="str">
            <val>0.90</val>
          </value>
          <value t="str">
            <val>0.59</val>
          </value>
          <value t="str">
            <val>萬在</val>
          </value>
          <value t="str">
            <val>上櫃電機機械</val>
          </value>
          <value t="str">
            <val>專供AM市場汽車空調與引擎冷卻系統零件製造廠</val>
          </value>
        </values>
      </ddeItem>
      <ddeItem name="4543.TW-CName,InvestorConferenceDate,DateofMeetingofShareHolders,TradingDate" advise="1">
        <values cols="4">
          <value t="str">
            <val>萬在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4543.TW-ID,Name,MarketValue,Capital,NetIncomeGrowthRate,OperIncomeGrowthRate,FinancialStatementsTime,TFXRatio,MonthlyNetSalesYoY,RevenueMonth" advise="1">
        <values cols="10">
          <value t="str">
            <val>4543</val>
          </value>
          <value t="str">
            <val>萬在</val>
          </value>
          <value t="str">
            <val>16.7</val>
          </value>
          <value t="str">
            <val>5.70</val>
          </value>
          <value t="str">
            <val>165.12</val>
          </value>
          <value t="str">
            <val>35.34</val>
          </value>
          <value t="str">
            <val>2022/03</val>
          </value>
          <value t="str">
            <val>11.04</val>
          </value>
          <value t="str">
            <val>8.00</val>
          </value>
          <value t="str">
            <val>2022/06</val>
          </value>
        </values>
      </ddeItem>
      <ddeItem name="4543.TW-OperatingProfitRatio,Price,PriceChangeRatio,InOutRatioNumber,Value,YearReturn,MonthReturn,WeekReturn,FinanceBalanceDif,ChipsField2" advise="1">
        <values cols="10">
          <value t="str">
            <val>8.35</val>
          </value>
          <value>
            <val>29.25</val>
          </value>
          <value>
            <val>9.9600000000000009</val>
          </value>
          <value t="str">
            <val>63.85%</val>
          </value>
          <value t="str">
            <val>3.06億</val>
          </value>
          <value t="str">
            <val>+69.57</val>
          </value>
          <value t="str">
            <val>+41.65</val>
          </value>
          <value t="str">
            <val>+20.87</val>
          </value>
          <value>
            <val>10</val>
          </value>
          <value>
            <val>0</val>
          </value>
        </values>
      </ddeItem>
      <ddeItem name="45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2022/06/28</val>
          </value>
          <value t="str">
            <val>5.20</val>
          </value>
          <value>
            <val>5.92</val>
          </value>
          <value t="str">
            <val>6.60</val>
          </value>
          <value t="str">
            <val>1.38</val>
          </value>
          <value t="str">
            <val>桓達</val>
          </value>
          <value t="str">
            <val>上櫃電機機械</val>
          </value>
          <value t="str">
            <val>台灣最大製程自動化感測器廠</val>
          </value>
        </values>
      </ddeItem>
      <ddeItem name="4549.TW-CName,InvestorConferenceDate,DateofMeetingofShareHolders,TradingDate" advise="1">
        <values cols="4">
          <value t="str">
            <val>桓達</val>
          </value>
          <value t="str">
            <val>2021/10/13</val>
          </value>
          <value t="str">
            <val>2022/06/10</val>
          </value>
          <value t="str">
            <val>2022/08/01</val>
          </value>
        </values>
      </ddeItem>
      <ddeItem name="4549.TW-ID,Name,MarketValue,Capital,NetIncomeGrowthRate,OperIncomeGrowthRate,FinancialStatementsTime,TFXRatio,MonthlyNetSalesYoY,RevenueMonth" advise="1">
        <values cols="10">
          <value t="str">
            <val>4549</val>
          </value>
          <value t="str">
            <val>桓達</val>
          </value>
          <value t="str">
            <val>39.1</val>
          </value>
          <value t="str">
            <val>4.45</val>
          </value>
          <value t="str">
            <val>24.24</val>
          </value>
          <value t="str">
            <val>-7.48</val>
          </value>
          <value t="str">
            <val>2022/03</val>
          </value>
          <value t="str">
            <val>42.74</val>
          </value>
          <value t="str">
            <val>51.78</val>
          </value>
          <value t="str">
            <val>2022/06</val>
          </value>
        </values>
      </ddeItem>
      <ddeItem name="4549.TW-OperatingProfitRatio,Price,PriceChangeRatio,InOutRatioNumber,Value,YearReturn,MonthReturn,WeekReturn,FinanceBalanceDif,ChipsField2" advise="1">
        <values cols="10">
          <value t="str">
            <val>20.43</val>
          </value>
          <value>
            <val>87.8</val>
          </value>
          <value>
            <val>1.86</val>
          </value>
          <value t="str">
            <val>69.66%</val>
          </value>
          <value t="str">
            <val>776萬</val>
          </value>
          <value t="str">
            <val>+15.61</val>
          </value>
          <value t="str">
            <val>+6.42</val>
          </value>
          <value t="str">
            <val>+2.45</val>
          </value>
          <value>
            <val>0</val>
          </value>
          <value>
            <val>0</val>
          </value>
        </values>
      </ddeItem>
      <ddeItem name="45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2022/06/30</val>
          </value>
          <value t="str">
            <val>1.15</val>
          </value>
          <value>
            <val>5.35</val>
          </value>
          <value t="str">
            <val>1.50</val>
          </value>
          <value t="str">
            <val>0.21</val>
          </value>
          <value t="str">
            <val>長佳</val>
          </value>
          <value t="str">
            <val>上櫃電機機械</val>
          </value>
          <value t="str">
            <val>專業的機電工程整合公司</val>
          </value>
        </values>
      </ddeItem>
      <ddeItem name="4550.TW-CName,InvestorConferenceDate,DateofMeetingofShareHolders,TradingDate" advise="1">
        <values cols="4">
          <value t="str">
            <val>長佳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4550.TW-ID,Name,MarketValue,Capital,NetIncomeGrowthRate,OperIncomeGrowthRate,FinancialStatementsTime,TFXRatio,MonthlyNetSalesYoY,RevenueMonth" advise="1">
        <values cols="10">
          <value t="str">
            <val>4550</val>
          </value>
          <value t="str">
            <val>長佳</val>
          </value>
          <value t="str">
            <val>8.1</val>
          </value>
          <value t="str">
            <val>3.78</val>
          </value>
          <value t="str">
            <val>75.51</val>
          </value>
          <value t="str">
            <val>-8.23</val>
          </value>
          <value t="str">
            <val>2022/03</val>
          </value>
          <value t="str">
            <val>21.36</val>
          </value>
          <value t="str">
            <val>17.24</val>
          </value>
          <value t="str">
            <val>2022/06</val>
          </value>
        </values>
      </ddeItem>
      <ddeItem name="4550.TW-OperatingProfitRatio,Price,PriceChangeRatio,InOutRatioNumber,Value,YearReturn,MonthReturn,WeekReturn,FinanceBalanceDif,ChipsField2" advise="1">
        <values cols="10">
          <value t="str">
            <val>1.94</val>
          </value>
          <value>
            <val>21.5</val>
          </value>
          <value>
            <val>2.63</val>
          </value>
          <value t="str">
            <val>75.00%</val>
          </value>
          <value t="str">
            <val>33.6萬</val>
          </value>
          <value t="str">
            <val>-0.88</val>
          </value>
          <value t="str">
            <val>+4.37</val>
          </value>
          <value t="str">
            <val>+0.70</val>
          </value>
          <value>
            <val>0</val>
          </value>
          <value>
            <val>0</val>
          </value>
        </values>
      </ddeItem>
      <ddeItem name="45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1.80</val>
          </value>
          <value>
            <val>5.74</val>
          </value>
          <value t="str">
            <val>2.96</val>
          </value>
          <value t="str">
            <val>1.04</val>
          </value>
          <value t="str">
            <val>橙的</val>
          </value>
          <value t="str">
            <val>上櫃其他電子</val>
          </value>
          <value t="str">
            <val>胎壓偵測器在北美市佔率達7%以上</val>
          </value>
        </values>
      </ddeItem>
      <ddeItem name="4554.TW-CName,InvestorConferenceDate,DateofMeetingofShareHolders,TradingDate" advise="1">
        <values cols="4">
          <value t="str">
            <val>橙的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4554.TW-ID,Name,MarketValue,Capital,NetIncomeGrowthRate,OperIncomeGrowthRate,FinancialStatementsTime,TFXRatio,MonthlyNetSalesYoY,RevenueMonth" advise="1">
        <values cols="10">
          <value t="str">
            <val>4554</val>
          </value>
          <value t="str">
            <val>橙的</val>
          </value>
          <value t="str">
            <val>6.7</val>
          </value>
          <value t="str">
            <val>2.14</val>
          </value>
          <value t="str">
            <val>1242.12</val>
          </value>
          <value t="str">
            <val>263.12</val>
          </value>
          <value t="str">
            <val>2022/03</val>
          </value>
          <value t="str">
            <val>17.45</val>
          </value>
          <value t="str">
            <val>-11.79</val>
          </value>
          <value t="str">
            <val>2022/06</val>
          </value>
        </values>
      </ddeItem>
      <ddeItem name="4554.TW-OperatingProfitRatio,Price,PriceChangeRatio,InOutRatioNumber,Value,YearReturn,MonthReturn,WeekReturn,FinanceBalanceDif,ChipsField2" advise="1">
        <values cols="10">
          <value t="str">
            <val>11.96</val>
          </value>
          <value>
            <val>31.35</val>
          </value>
          <value>
            <val>3.13</val>
          </value>
          <value t="str">
            <val>67.31%</val>
          </value>
          <value t="str">
            <val>162萬</val>
          </value>
          <value t="str">
            <val>+21.21</val>
          </value>
          <value t="str">
            <val>+5.20</val>
          </value>
          <value t="str">
            <val>+2.79</val>
          </value>
          <value>
            <val>0</val>
          </value>
          <value>
            <val>0</val>
          </value>
        </values>
      </ddeItem>
      <ddeItem name="45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0.35</val>
          </value>
          <value>
            <val>1.17</val>
          </value>
          <value t="str">
            <val>0.44</val>
          </value>
          <value t="str">
            <val>0.03</val>
          </value>
          <value t="str">
            <val>旭然</val>
          </value>
          <value t="str">
            <val>上櫃其他</val>
          </value>
          <value t="str">
            <val>台灣最大的工業過濾設備製造商</val>
          </value>
        </values>
      </ddeItem>
      <ddeItem name="4556.TW-CName,InvestorConferenceDate,DateofMeetingofShareHolders,TradingDate" advise="1">
        <values cols="4">
          <value t="str">
            <val>旭然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4556.TW-ID,Name,MarketValue,Capital,NetIncomeGrowthRate,OperIncomeGrowthRate,FinancialStatementsTime,TFXRatio,MonthlyNetSalesYoY,RevenueMonth" advise="1">
        <values cols="10">
          <value t="str">
            <val>4556</val>
          </value>
          <value t="str">
            <val>旭然</val>
          </value>
          <value t="str">
            <val>12.5</val>
          </value>
          <value t="str">
            <val>4.19</val>
          </value>
          <value t="str">
            <val>129.44</val>
          </value>
          <value t="str">
            <val>264.44</val>
          </value>
          <value t="str">
            <val>2022/03</val>
          </value>
          <value t="str">
            <val>18.06</val>
          </value>
          <value t="str">
            <val>26.49</val>
          </value>
          <value t="str">
            <val>2022/06</val>
          </value>
        </values>
      </ddeItem>
      <ddeItem name="4556.TW-OperatingProfitRatio,Price,PriceChangeRatio,InOutRatioNumber,Value,YearReturn,MonthReturn,WeekReturn,FinanceBalanceDif,ChipsField2" advise="1">
        <values cols="10">
          <value t="str">
            <val>3.12</val>
          </value>
          <value>
            <val>29.95</val>
          </value>
          <value>
            <val>-0.66</val>
          </value>
          <value t="str">
            <val>33.33%</val>
          </value>
          <value t="str">
            <val>8.95萬</val>
          </value>
          <value t="str">
            <val>-7.39</val>
          </value>
          <value t="str">
            <val>-1.48</val>
          </value>
          <value t="str">
            <val>-0.83</val>
          </value>
          <value>
            <val>0</val>
          </value>
          <value>
            <val>0</val>
          </value>
        </values>
      </ddeItem>
      <ddeItem name="455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2022/07/14</val>
          </value>
          <value t="str">
            <val>3.00</val>
          </value>
          <value>
            <val>8.24</val>
          </value>
          <value t="str">
            <val>5.04</val>
          </value>
          <value t="str">
            <val>1.16</val>
          </value>
          <value t="str">
            <val>寶緯</val>
          </value>
          <value t="str">
            <val>上櫃電機機械</val>
          </value>
          <value t="str">
            <val>台灣加工鋁擠型及鋁窗生產廠</val>
          </value>
        </values>
      </ddeItem>
      <ddeItem name="4558.TW-CName,InvestorConferenceDate,DateofMeetingofShareHolders,TradingDate" advise="1">
        <values cols="4">
          <value t="str">
            <val>寶緯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4558.TW-ID,Name,MarketValue,Capital,NetIncomeGrowthRate,OperIncomeGrowthRate,FinancialStatementsTime,TFXRatio,MonthlyNetSalesYoY,RevenueMonth" advise="1">
        <values cols="10">
          <value t="str">
            <val>4558</val>
          </value>
          <value t="str">
            <val>寶緯</val>
          </value>
          <value t="str">
            <val>18.2</val>
          </value>
          <value t="str">
            <val>5.00</val>
          </value>
          <value t="str">
            <val>76.37</val>
          </value>
          <value t="str">
            <val>90.11</val>
          </value>
          <value t="str">
            <val>2022/03</val>
          </value>
          <value t="str">
            <val>-9.33</val>
          </value>
          <value t="str">
            <val>6.28</val>
          </value>
          <value t="str">
            <val>2022/06</val>
          </value>
        </values>
      </ddeItem>
      <ddeItem name="4558.TW-OperatingProfitRatio,Price,PriceChangeRatio,InOutRatioNumber,Value,YearReturn,MonthReturn,WeekReturn,FinanceBalanceDif,ChipsField2" advise="1">
        <values cols="10">
          <value t="str">
            <val>13.12</val>
          </value>
          <value>
            <val>36.4</val>
          </value>
          <value>
            <val>-0.27</val>
          </value>
          <value t="str">
            <val>19.23%</val>
          </value>
          <value t="str">
            <val>93.8萬</val>
          </value>
          <value t="str">
            <val>--</val>
          </value>
          <value t="str">
            <val>+2.87</val>
          </value>
          <value t="str">
            <val>-0.68</val>
          </value>
          <value>
            <val>0</val>
          </value>
          <value>
            <val>0</val>
          </value>
        </values>
      </ddeItem>
      <ddeItem name="4561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1</val>
          </value>
          <value t="str">
            <val>2022/07/19</val>
          </value>
          <value t="str">
            <val>0.90</val>
          </value>
          <value>
            <val>3.54</val>
          </value>
          <value t="str">
            <val>2.56</val>
          </value>
          <value t="str">
            <val>0.64</val>
          </value>
          <value t="str">
            <val>健椿</val>
          </value>
          <value t="str">
            <val>上櫃電機機械</val>
          </value>
          <value t="str">
            <val>台灣最大精密主軸製造廠</val>
          </value>
        </values>
      </ddeItem>
      <ddeItem name="4561.TW-CName,InvestorConferenceDate,DateofMeetingofShareHolders,TradingDate" advise="1">
        <values cols="4">
          <value t="str">
            <val>健椿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4561.TW-ID,Name,MarketValue,Capital,NetIncomeGrowthRate,OperIncomeGrowthRate,FinancialStatementsTime,TFXRatio,MonthlyNetSalesYoY,RevenueMonth" advise="1">
        <values cols="10">
          <value t="str">
            <val>4561</val>
          </value>
          <value t="str">
            <val>健椿</val>
          </value>
          <value t="str">
            <val>14.9</val>
          </value>
          <value t="str">
            <val>5.85</val>
          </value>
          <value t="str">
            <val>11.18</val>
          </value>
          <value t="str">
            <val>-27.11</val>
          </value>
          <value t="str">
            <val>2022/03</val>
          </value>
          <value t="str">
            <val>-1.67</val>
          </value>
          <value t="str">
            <val>-5.08</val>
          </value>
          <value t="str">
            <val>2022/06</val>
          </value>
        </values>
      </ddeItem>
      <ddeItem name="4561.TW-OperatingProfitRatio,Price,PriceChangeRatio,InOutRatioNumber,Value,YearReturn,MonthReturn,WeekReturn,FinanceBalanceDif,ChipsField2" advise="1">
        <values cols="10">
          <value t="str">
            <val>10.74</val>
          </value>
          <value>
            <val>25.4</val>
          </value>
          <value>
            <val>2.42</val>
          </value>
          <value t="str">
            <val>100.00%</val>
          </value>
          <value t="str">
            <val>104萬</val>
          </value>
          <value t="str">
            <val>-3.32</val>
          </value>
          <value t="str">
            <val>+4.16</val>
          </value>
          <value t="str">
            <val>+2.42</val>
          </value>
          <value>
            <val>1</val>
          </value>
          <value>
            <val>0</val>
          </value>
        </values>
      </ddeItem>
      <ddeItem name="45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0.00</val>
          </value>
          <value>
            <val>0</val>
          </value>
          <value t="str">
            <val>-1.68</val>
          </value>
          <value t="str">
            <val>0.60</val>
          </value>
          <value t="str">
            <val>百德</val>
          </value>
          <value t="str">
            <val>上櫃電機機械</val>
          </value>
          <value t="str">
            <val>為台灣老字號的綜合加工機製造廠商</val>
          </value>
        </values>
      </ddeItem>
      <ddeItem name="4563.TW-CName,InvestorConferenceDate,DateofMeetingofShareHolders,TradingDate" advise="1">
        <values cols="4">
          <value t="str">
            <val>百德</val>
          </value>
          <value t="str">
            <val>--</val>
          </value>
          <value t="str">
            <val>2022/08/04</val>
          </value>
          <value t="str">
            <val>2022/08/01</val>
          </value>
        </values>
      </ddeItem>
      <ddeItem name="4563.TW-ID,Name,MarketValue,Capital,NetIncomeGrowthRate,OperIncomeGrowthRate,FinancialStatementsTime,TFXRatio,MonthlyNetSalesYoY,RevenueMonth" advise="1">
        <values cols="10">
          <value t="str">
            <val>4563</val>
          </value>
          <value t="str">
            <val>百德</val>
          </value>
          <value t="str">
            <val>17.1</val>
          </value>
          <value t="str">
            <val>5.50</val>
          </value>
          <value t="str">
            <val>156.18</val>
          </value>
          <value t="str">
            <val>122.57</val>
          </value>
          <value t="str">
            <val>2022/03</val>
          </value>
          <value t="str">
            <val>14.79</val>
          </value>
          <value t="str">
            <val>28.08</val>
          </value>
          <value t="str">
            <val>2022/06</val>
          </value>
        </values>
      </ddeItem>
      <ddeItem name="4563.TW-OperatingProfitRatio,Price,PriceChangeRatio,InOutRatioNumber,Value,YearReturn,MonthReturn,WeekReturn,FinanceBalanceDif,ChipsField2" advise="1">
        <values cols="10">
          <value t="str">
            <val>1.89</val>
          </value>
          <value>
            <val>31.1</val>
          </value>
          <value>
            <val>-0.16</val>
          </value>
          <value t="str">
            <val>58.82%</val>
          </value>
          <value t="str">
            <val>58.7萬</val>
          </value>
          <value t="str">
            <val>+1.30</val>
          </value>
          <value t="str">
            <val>+4.01</val>
          </value>
          <value t="str">
            <val>-0.48</val>
          </value>
          <value>
            <val>0</val>
          </value>
          <value>
            <val>0</val>
          </value>
        </values>
      </ddeItem>
      <ddeItem name="45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2022/04/11</val>
          </value>
          <value t="str">
            <val>4.50</val>
          </value>
          <value>
            <val>6.83</val>
          </value>
          <value t="str">
            <val>5.43</val>
          </value>
          <value t="str">
            <val>1.44</val>
          </value>
          <value t="str">
            <val>科際精密</val>
          </value>
          <value t="str">
            <val>上櫃電機機械</val>
          </value>
          <value t="str">
            <val>專業微型泵浦生產廠商</val>
          </value>
        </values>
      </ddeItem>
      <ddeItem name="4568.TW-CName,InvestorConferenceDate,DateofMeetingofShareHolders,TradingDate" advise="1">
        <values cols="4">
          <value t="str">
            <val>科際精密</val>
          </value>
          <value t="str">
            <val>2022/08/05</val>
          </value>
          <value t="str">
            <val>2022/06/22</val>
          </value>
          <value t="str">
            <val>2022/08/01</val>
          </value>
        </values>
      </ddeItem>
      <ddeItem name="4568.TW-ID,Name,MarketValue,Capital,NetIncomeGrowthRate,OperIncomeGrowthRate,FinancialStatementsTime,TFXRatio,MonthlyNetSalesYoY,RevenueMonth" advise="1">
        <values cols="10">
          <value t="str">
            <val>4568</val>
          </value>
          <value t="str">
            <val>科際精密</val>
          </value>
          <value t="str">
            <val>19.9</val>
          </value>
          <value t="str">
            <val>3.02</val>
          </value>
          <value t="str">
            <val>38.64</val>
          </value>
          <value t="str">
            <val>-4.85</val>
          </value>
          <value t="str">
            <val>2022/03</val>
          </value>
          <value t="str">
            <val>2.21</val>
          </value>
          <value t="str">
            <val>-7.29</val>
          </value>
          <value t="str">
            <val>2022/06</val>
          </value>
        </values>
      </ddeItem>
      <ddeItem name="4568.TW-OperatingProfitRatio,Price,PriceChangeRatio,InOutRatioNumber,Value,YearReturn,MonthReturn,WeekReturn,FinanceBalanceDif,ChipsField2" advise="1">
        <values cols="10">
          <value t="str">
            <val>9.90</val>
          </value>
          <value>
            <val>65.900000000000006</val>
          </value>
          <value>
            <val>0.46</val>
          </value>
          <value t="str">
            <val>33.33%</val>
          </value>
          <value t="str">
            <val>39.8萬</val>
          </value>
          <value t="str">
            <val>+4.99</val>
          </value>
          <value t="str">
            <val>+2.17</val>
          </value>
          <value t="str">
            <val>+2.01</val>
          </value>
          <value>
            <val>-2</val>
          </value>
          <value>
            <val>0</val>
          </value>
        </values>
      </ddeItem>
      <ddeItem name="45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</val>
          </value>
          <value t="str">
            <val>2022/07/07</val>
          </value>
          <value t="str">
            <val>1.53</val>
          </value>
          <value>
            <val>4.55</val>
          </value>
          <value t="str">
            <val>2.61</val>
          </value>
          <value t="str">
            <val>1.24</val>
          </value>
          <value t="str">
            <val>達航科技</val>
          </value>
          <value t="str">
            <val>上櫃其他電子</val>
          </value>
          <value t="str">
            <val>台灣PCB鑽孔代工和設備廠商</val>
          </value>
        </values>
      </ddeItem>
      <ddeItem name="4577.TW-CName,InvestorConferenceDate,DateofMeetingofShareHolders,TradingDate" advise="1">
        <values cols="4">
          <value t="str">
            <val>達航科技</val>
          </value>
          <value t="str">
            <val>--</val>
          </value>
          <value t="str">
            <val>2022/05/30</val>
          </value>
          <value t="str">
            <val>2022/08/01</val>
          </value>
        </values>
      </ddeItem>
      <ddeItem name="4577.TW-ID,Name,MarketValue,Capital,NetIncomeGrowthRate,OperIncomeGrowthRate,FinancialStatementsTime,TFXRatio,MonthlyNetSalesYoY,RevenueMonth" advise="1">
        <values cols="10">
          <value t="str">
            <val>4577</val>
          </value>
          <value t="str">
            <val>達航科技</val>
          </value>
          <value t="str">
            <val>16.5</val>
          </value>
          <value t="str">
            <val>4.92</val>
          </value>
          <value t="str">
            <val>65.58</val>
          </value>
          <value t="str">
            <val>118.35</val>
          </value>
          <value t="str">
            <val>2022/03</val>
          </value>
          <value t="str">
            <val>-5.74</val>
          </value>
          <value t="str">
            <val>30.48</val>
          </value>
          <value t="str">
            <val>2022/06</val>
          </value>
        </values>
      </ddeItem>
      <ddeItem name="4577.TW-OperatingProfitRatio,Price,PriceChangeRatio,InOutRatioNumber,Value,YearReturn,MonthReturn,WeekReturn,FinanceBalanceDif,ChipsField2" advise="1">
        <values cols="10">
          <value t="str">
            <val>16.67</val>
          </value>
          <value>
            <val>33.65</val>
          </value>
          <value>
            <val>9.9700000000000006</val>
          </value>
          <value t="str">
            <val>87.38%</val>
          </value>
          <value t="str">
            <val>1329萬</val>
          </value>
          <value t="str">
            <val>--</val>
          </value>
          <value t="str">
            <val>+23.16</val>
          </value>
          <value t="str">
            <val>+9.79</val>
          </value>
          <value>
            <val>0</val>
          </value>
          <value>
            <val>0</val>
          </value>
        </values>
      </ddeItem>
      <ddeItem name="458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2022/08/08</val>
          </value>
          <value t="str">
            <val>5.22</val>
          </value>
          <value>
            <val>5.91</val>
          </value>
          <value t="str">
            <val>8.57</val>
          </value>
          <value t="str">
            <val>2.27</val>
          </value>
          <value t="str">
            <val>捷流閥業</val>
          </value>
          <value t="str">
            <val>上櫃電機機械</val>
          </value>
          <value t="str">
            <val>專業閥門製造商</val>
          </value>
        </values>
      </ddeItem>
      <ddeItem name="4580.TW-CName,InvestorConferenceDate,DateofMeetingofShareHolders,TradingDate" advise="1">
        <values cols="4">
          <value t="str">
            <val>捷流閥業</val>
          </value>
          <value t="str">
            <val>2022/05/12</val>
          </value>
          <value t="str">
            <val>2022/06/27</val>
          </value>
          <value t="str">
            <val>2022/08/01</val>
          </value>
        </values>
      </ddeItem>
      <ddeItem name="4580.TW-ID,Name,MarketValue,Capital,NetIncomeGrowthRate,OperIncomeGrowthRate,FinancialStatementsTime,TFXRatio,MonthlyNetSalesYoY,RevenueMonth" advise="1">
        <values cols="10">
          <value t="str">
            <val>4580</val>
          </value>
          <value t="str">
            <val>捷流閥業</val>
          </value>
          <value t="str">
            <val>38.1</val>
          </value>
          <value t="str">
            <val>4.31</val>
          </value>
          <value t="str">
            <val>30.21</val>
          </value>
          <value t="str">
            <val>15.12</val>
          </value>
          <value t="str">
            <val>2022/03</val>
          </value>
          <value t="str">
            <val>-1.86</val>
          </value>
          <value t="str">
            <val>10.48</val>
          </value>
          <value t="str">
            <val>2022/06</val>
          </value>
        </values>
      </ddeItem>
      <ddeItem name="4580.TW-OperatingProfitRatio,Price,PriceChangeRatio,InOutRatioNumber,Value,YearReturn,MonthReturn,WeekReturn,FinanceBalanceDif,ChipsField2" advise="1">
        <values cols="10">
          <value t="str">
            <val>16.98</val>
          </value>
          <value>
            <val>88.3</val>
          </value>
          <value>
            <val>0.68</val>
          </value>
          <value t="str">
            <val>55.56%</val>
          </value>
          <value t="str">
            <val>317萬</val>
          </value>
          <value t="str">
            <val>+4.00</val>
          </value>
          <value t="str">
            <val>+2.32</val>
          </value>
          <value t="str">
            <val>+0.46</val>
          </value>
          <value>
            <val>0</val>
          </value>
          <value>
            <val>0</val>
          </value>
        </values>
      </ddeItem>
      <ddeItem name="46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-0.11</val>
          </value>
          <value t="str">
            <val>0.03</val>
          </value>
          <value t="str">
            <val>唐鋒</val>
          </value>
          <value t="str">
            <val>上櫃電器電纜</val>
          </value>
          <value t="str">
            <val>以外銷小家電產品為主的廠商</val>
          </value>
        </values>
      </ddeItem>
      <ddeItem name="4609.TW-CName,InvestorConferenceDate,DateofMeetingofShareHolders,TradingDate" advise="1">
        <values cols="4">
          <value t="str">
            <val>唐鋒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4609.TW-ID,Name,MarketValue,Capital,NetIncomeGrowthRate,OperIncomeGrowthRate,FinancialStatementsTime,TFXRatio,MonthlyNetSalesYoY,RevenueMonth" advise="1">
        <values cols="10">
          <value t="str">
            <val>4609</val>
          </value>
          <value t="str">
            <val>唐鋒</val>
          </value>
          <value t="str">
            <val>4.1</val>
          </value>
          <value t="str">
            <val>4.79</val>
          </value>
          <value t="str">
            <val>113.98</val>
          </value>
          <value t="str">
            <val>9.18</val>
          </value>
          <value t="str">
            <val>2022/03</val>
          </value>
          <value t="str">
            <val>76.86</val>
          </value>
          <value t="str">
            <val>-50.64</val>
          </value>
          <value t="str">
            <val>2022/06</val>
          </value>
        </values>
      </ddeItem>
      <ddeItem name="4609.TW-OperatingProfitRatio,Price,PriceChangeRatio,InOutRatioNumber,Value,YearReturn,MonthReturn,WeekReturn,FinanceBalanceDif,ChipsField2" advise="1">
        <values cols="10">
          <value t="str">
            <val>-103.38</val>
          </value>
          <value>
            <val>8.49</val>
          </value>
          <value>
            <val>-1.96</val>
          </value>
          <value t="str">
            <val>25.93%</val>
          </value>
          <value t="str">
            <val>22.6萬</val>
          </value>
          <value t="str">
            <val>+6.13</val>
          </value>
          <value t="str">
            <val>-2.30</val>
          </value>
          <value t="str">
            <val>-2.08</val>
          </value>
          <value>
            <val>0</val>
          </value>
          <value>
            <val>0</val>
          </value>
        </values>
      </ddeItem>
      <ddeItem name="47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50</val>
          </value>
          <value t="str">
            <val>--</val>
          </value>
          <value t="str">
            <val>0.00</val>
          </value>
          <value>
            <val>0</val>
          </value>
          <value t="str">
            <val>1.23</val>
          </value>
          <value t="str">
            <val>0.47</val>
          </value>
          <value t="str">
            <val>中美實</val>
          </value>
          <value t="str">
            <val>上櫃化工</val>
          </value>
          <value t="str">
            <val>台灣最大分散性化學染料商並跨足汽車貿易業</val>
          </value>
        </values>
      </ddeItem>
      <ddeItem name="4702.TW-CName,InvestorConferenceDate,DateofMeetingofShareHolders,TradingDate" advise="1">
        <values cols="4">
          <value t="str">
            <val>中美實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4702.TW-ID,Name,MarketValue,Capital,NetIncomeGrowthRate,OperIncomeGrowthRate,FinancialStatementsTime,TFXRatio,MonthlyNetSalesYoY,RevenueMonth" advise="1">
        <values cols="10">
          <value t="str">
            <val>4702</val>
          </value>
          <value t="str">
            <val>中美實</val>
          </value>
          <value t="str">
            <val>9.9</val>
          </value>
          <value t="str">
            <val>7.23</val>
          </value>
          <value t="str">
            <val>19.86</val>
          </value>
          <value t="str">
            <val>-19.07</val>
          </value>
          <value t="str">
            <val>2022/03</val>
          </value>
          <value t="str">
            <val>-30.83</val>
          </value>
          <value t="str">
            <val>-23.90</val>
          </value>
          <value t="str">
            <val>2022/06</val>
          </value>
        </values>
      </ddeItem>
      <ddeItem name="4702.TW-OperatingProfitRatio,Price,PriceChangeRatio,InOutRatioNumber,Value,YearReturn,MonthReturn,WeekReturn,FinanceBalanceDif,ChipsField2" advise="1">
        <values cols="10">
          <value t="str">
            <val>1.47</val>
          </value>
          <value>
            <val>13.65</val>
          </value>
          <value>
            <val>0.37</val>
          </value>
          <value t="str">
            <val>53.65%</val>
          </value>
          <value t="str">
            <val>320萬</val>
          </value>
          <value t="str">
            <val>-4.21</val>
          </value>
          <value t="str">
            <val>+9.20</val>
          </value>
          <value t="str">
            <val>+0.74</val>
          </value>
          <value>
            <val>-1</val>
          </value>
          <value>
            <val>0</val>
          </value>
        </values>
      </ddeItem>
      <ddeItem name="47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2022/07/18</val>
          </value>
          <value t="str">
            <val>0.90</val>
          </value>
          <value>
            <val>5.1100000000000003</val>
          </value>
          <value t="str">
            <val>0.96</val>
          </value>
          <value t="str">
            <val>0.30</val>
          </value>
          <value t="str">
            <val>大恭</val>
          </value>
          <value t="str">
            <val>上櫃化工</val>
          </value>
          <value t="str">
            <val>台灣最大合成顏料製造商</val>
          </value>
        </values>
      </ddeItem>
      <ddeItem name="4706.TW-CName,InvestorConferenceDate,DateofMeetingofShareHolders,TradingDate" advise="1">
        <values cols="4">
          <value t="str">
            <val>大恭</val>
          </value>
          <value t="str">
            <val>2022/03/23</val>
          </value>
          <value t="str">
            <val>2022/06/29</val>
          </value>
          <value t="str">
            <val>2022/08/01</val>
          </value>
        </values>
      </ddeItem>
      <ddeItem name="4706.TW-ID,Name,MarketValue,Capital,NetIncomeGrowthRate,OperIncomeGrowthRate,FinancialStatementsTime,TFXRatio,MonthlyNetSalesYoY,RevenueMonth" advise="1">
        <values cols="10">
          <value t="str">
            <val>4706</val>
          </value>
          <value t="str">
            <val>大恭</val>
          </value>
          <value t="str">
            <val>13.9</val>
          </value>
          <value t="str">
            <val>7.90</val>
          </value>
          <value t="str">
            <val>-36.31</val>
          </value>
          <value t="str">
            <val>-52.35</val>
          </value>
          <value t="str">
            <val>2022/03</val>
          </value>
          <value t="str">
            <val>-26.41</val>
          </value>
          <value t="str">
            <val>-2.51</val>
          </value>
          <value t="str">
            <val>2022/06</val>
          </value>
        </values>
      </ddeItem>
      <ddeItem name="4706.TW-OperatingProfitRatio,Price,PriceChangeRatio,InOutRatioNumber,Value,YearReturn,MonthReturn,WeekReturn,FinanceBalanceDif,ChipsField2" advise="1">
        <values cols="10">
          <value t="str">
            <val>6.05</val>
          </value>
          <value>
            <val>17.600000000000001</val>
          </value>
          <value>
            <val>1.44</val>
          </value>
          <value t="str">
            <val>100.00%</val>
          </value>
          <value t="str">
            <val>1.76萬</val>
          </value>
          <value t="str">
            <val>+3.40</val>
          </value>
          <value t="str">
            <val>+5.29</val>
          </value>
          <value t="str">
            <val>+1.73</val>
          </value>
          <value>
            <val>0</val>
          </value>
          <value>
            <val>0</val>
          </value>
        </values>
      </ddeItem>
      <ddeItem name="47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69</val>
          </value>
          <value t="str">
            <val>--</val>
          </value>
          <value t="str">
            <val>0.90</val>
          </value>
          <value>
            <val>6.9</val>
          </value>
          <value t="str">
            <val>1.05</val>
          </value>
          <value t="str">
            <val>0.24</val>
          </value>
          <value t="str">
            <val>磐亞</val>
          </value>
          <value t="str">
            <val>上櫃化工</val>
          </value>
          <value t="str">
            <val>台灣主要從事生產界面活性劑廠商</val>
          </value>
        </values>
      </ddeItem>
      <ddeItem name="4707.TW-CName,InvestorConferenceDate,DateofMeetingofShareHolders,TradingDate" advise="1">
        <values cols="4">
          <value t="str">
            <val>磐亞</val>
          </value>
          <value t="str">
            <val>2022/06/16</val>
          </value>
          <value t="str">
            <val>2022/06/16</val>
          </value>
          <value t="str">
            <val>2022/08/01</val>
          </value>
        </values>
      </ddeItem>
      <ddeItem name="4707.TW-ID,Name,MarketValue,Capital,NetIncomeGrowthRate,OperIncomeGrowthRate,FinancialStatementsTime,TFXRatio,MonthlyNetSalesYoY,RevenueMonth" advise="1">
        <values cols="10">
          <value t="str">
            <val>4707</val>
          </value>
          <value t="str">
            <val>磐亞</val>
          </value>
          <value t="str">
            <val>42.8</val>
          </value>
          <value t="str">
            <val>32.80</val>
          </value>
          <value t="str">
            <val>-5.66</val>
          </value>
          <value t="str">
            <val>-49.56</val>
          </value>
          <value t="str">
            <val>2022/03</val>
          </value>
          <value t="str">
            <val>35.61</val>
          </value>
          <value t="str">
            <val>33.84</val>
          </value>
          <value t="str">
            <val>2022/06</val>
          </value>
        </values>
      </ddeItem>
      <ddeItem name="4707.TW-OperatingProfitRatio,Price,PriceChangeRatio,InOutRatioNumber,Value,YearReturn,MonthReturn,WeekReturn,FinanceBalanceDif,ChipsField2" advise="1">
        <values cols="10">
          <value t="str">
            <val>2.47</val>
          </value>
          <value>
            <val>13.05</val>
          </value>
          <value>
            <val>0.38</val>
          </value>
          <value t="str">
            <val>60.70%</val>
          </value>
          <value t="str">
            <val>550萬</val>
          </value>
          <value t="str">
            <val>+6.44</val>
          </value>
          <value t="str">
            <val>+3.57</val>
          </value>
          <value t="str">
            <val>+0.38</val>
          </value>
          <value>
            <val>0</val>
          </value>
          <value>
            <val>0</val>
          </value>
        </values>
      </ddeItem>
      <ddeItem name="47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2022/07/07</val>
          </value>
          <value t="str">
            <val>1.00</val>
          </value>
          <value>
            <val>6.67</val>
          </value>
          <value t="str">
            <val>0.80</val>
          </value>
          <value t="str">
            <val>0.02</val>
          </value>
          <value t="str">
            <val>永純</val>
          </value>
          <value t="str">
            <val>上櫃化工</val>
          </value>
          <value t="str">
            <val>台灣生產酸醇樹脂製造廠商</val>
          </value>
        </values>
      </ddeItem>
      <ddeItem name="4711.TW-CName,InvestorConferenceDate,DateofMeetingofShareHolders,TradingDate" advise="1">
        <values cols="4">
          <value t="str">
            <val>永純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4711.TW-ID,Name,MarketValue,Capital,NetIncomeGrowthRate,OperIncomeGrowthRate,FinancialStatementsTime,TFXRatio,MonthlyNetSalesYoY,RevenueMonth" advise="1">
        <values cols="10">
          <value t="str">
            <val>4711</val>
          </value>
          <value t="str">
            <val>永純</val>
          </value>
          <value t="str">
            <val>9.2</val>
          </value>
          <value t="str">
            <val>6.11</val>
          </value>
          <value t="str">
            <val>-96.02</val>
          </value>
          <value t="str">
            <val>-93.64</val>
          </value>
          <value t="str">
            <val>2022/03</val>
          </value>
          <value t="str">
            <val>-5.23</val>
          </value>
          <value t="str">
            <val>36.73</val>
          </value>
          <value t="str">
            <val>2022/06</val>
          </value>
        </values>
      </ddeItem>
      <ddeItem name="4711.TW-OperatingProfitRatio,Price,PriceChangeRatio,InOutRatioNumber,Value,YearReturn,MonthReturn,WeekReturn,FinanceBalanceDif,ChipsField2" advise="1">
        <values cols="10">
          <value t="str">
            <val>0.67</val>
          </value>
          <value>
            <val>15</val>
          </value>
          <value>
            <val>-0.33</val>
          </value>
          <value t="str">
            <val>68.42%</val>
          </value>
          <value t="str">
            <val>28.6萬</val>
          </value>
          <value t="str">
            <val>-7.93</val>
          </value>
          <value t="str">
            <val>+3.36</val>
          </value>
          <value t="str">
            <val>0.00</val>
          </value>
          <value>
            <val>0</val>
          </value>
          <value>
            <val>0</val>
          </value>
        </values>
      </ddeItem>
      <ddeItem name="47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-1.45</val>
          </value>
          <value t="str">
            <val>-0.06</val>
          </value>
          <value t="str">
            <val>南璋</val>
          </value>
          <value t="str">
            <val>上櫃食品</val>
          </value>
          <value t="str">
            <val>轉型為智能管家機器人服務商</val>
          </value>
        </values>
      </ddeItem>
      <ddeItem name="4712.TW-CName,InvestorConferenceDate,DateofMeetingofShareHolders,TradingDate" advise="1">
        <values cols="4">
          <value t="str">
            <val>南璋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4712.TW-ID,Name,MarketValue,Capital,NetIncomeGrowthRate,OperIncomeGrowthRate,FinancialStatementsTime,TFXRatio,MonthlyNetSalesYoY,RevenueMonth" advise="1">
        <values cols="10">
          <value t="str">
            <val>4712</val>
          </value>
          <value t="str">
            <val>南璋</val>
          </value>
          <value t="str">
            <val>3.5</val>
          </value>
          <value t="str">
            <val>7.37</val>
          </value>
          <value t="str">
            <val>73.56</val>
          </value>
          <value t="str">
            <val>37.61</val>
          </value>
          <value t="str">
            <val>2022/03</val>
          </value>
          <value t="str">
            <val>165.22</val>
          </value>
          <value t="str">
            <val>-95.69</val>
          </value>
          <value t="str">
            <val>2022/06</val>
          </value>
        </values>
      </ddeItem>
      <ddeItem name="4712.TW-OperatingProfitRatio,Price,PriceChangeRatio,InOutRatioNumber,Value,YearReturn,MonthReturn,WeekReturn,FinanceBalanceDif,ChipsField2" advise="1">
        <values cols="10">
          <value t="str">
            <val>-1615.54</val>
          </value>
          <value>
            <val>4.75</val>
          </value>
          <value>
            <val>-1.04</val>
          </value>
          <value t="str">
            <val>90.91%</val>
          </value>
          <value t="str">
            <val>5.75萬</val>
          </value>
          <value t="str">
            <val>-39.10</val>
          </value>
          <value t="str">
            <val>-4.62</val>
          </value>
          <value t="str">
            <val>-5.00</val>
          </value>
          <value>
            <val>0</val>
          </value>
          <value>
            <val>0</val>
          </value>
        </values>
      </ddeItem>
      <ddeItem name="47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16</val>
          </value>
          <value t="str">
            <val>2022/07/01</val>
          </value>
          <value t="str">
            <val>0.40</val>
          </value>
          <value>
            <val>3.21</val>
          </value>
          <value t="str">
            <val>0.33</val>
          </value>
          <value t="str">
            <val>0.03</val>
          </value>
          <value t="str">
            <val>永捷</val>
          </value>
          <value t="str">
            <val>上櫃化工</val>
          </value>
          <value t="str">
            <val>台灣PU樹脂大廠</val>
          </value>
        </values>
      </ddeItem>
      <ddeItem name="4714.TW-CName,InvestorConferenceDate,DateofMeetingofShareHolders,TradingDate" advise="1">
        <values cols="4">
          <value t="str">
            <val>永捷</val>
          </value>
          <value t="str">
            <val>2021/06/16</val>
          </value>
          <value t="str">
            <val>2022/05/26</val>
          </value>
          <value t="str">
            <val>2022/08/01</val>
          </value>
        </values>
      </ddeItem>
      <ddeItem name="4714.TW-ID,Name,MarketValue,Capital,NetIncomeGrowthRate,OperIncomeGrowthRate,FinancialStatementsTime,TFXRatio,MonthlyNetSalesYoY,RevenueMonth" advise="1">
        <values cols="10">
          <value t="str">
            <val>4714</val>
          </value>
          <value t="str">
            <val>永捷</val>
          </value>
          <value t="str">
            <val>17.4</val>
          </value>
          <value t="str">
            <val>13.95</val>
          </value>
          <value t="str">
            <val>2532.53</val>
          </value>
          <value t="str">
            <val>-296.84</val>
          </value>
          <value t="str">
            <val>2022/03</val>
          </value>
          <value t="str">
            <val>-8.87</val>
          </value>
          <value t="str">
            <val>148.45</val>
          </value>
          <value t="str">
            <val>2022/06</val>
          </value>
        </values>
      </ddeItem>
      <ddeItem name="4714.TW-OperatingProfitRatio,Price,PriceChangeRatio,InOutRatioNumber,Value,YearReturn,MonthReturn,WeekReturn,FinanceBalanceDif,ChipsField2" advise="1">
        <values cols="10">
          <value t="str">
            <val>-3.15</val>
          </value>
          <value>
            <val>12.45</val>
          </value>
          <value>
            <val>0.4</val>
          </value>
          <value t="str">
            <val>53.49%</val>
          </value>
          <value t="str">
            <val>160萬</val>
          </value>
          <value t="str">
            <val>-0.98</val>
          </value>
          <value t="str">
            <val>+3.32</val>
          </value>
          <value t="str">
            <val>+0.81</val>
          </value>
          <value>
            <val>1</val>
          </value>
          <value>
            <val>0</val>
          </value>
        </values>
      </ddeItem>
      <ddeItem name="47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2.00</val>
          </value>
          <value>
            <val>13.2</val>
          </value>
          <value t="str">
            <val>0.31</val>
          </value>
          <value t="str">
            <val>-0.13</val>
          </value>
          <value t="str">
            <val>大立</val>
          </value>
          <value t="str">
            <val>上櫃化工</val>
          </value>
          <value t="str">
            <val>台灣主要從事生產合成樹脂廠商</val>
          </value>
        </values>
      </ddeItem>
      <ddeItem name="4716.TW-CName,InvestorConferenceDate,DateofMeetingofShareHolders,TradingDate" advise="1">
        <values cols="4">
          <value t="str">
            <val>大立</val>
          </value>
          <value t="str">
            <val>2021/10/18</val>
          </value>
          <value t="str">
            <val>2022/06/28</val>
          </value>
          <value t="str">
            <val>2022/08/01</val>
          </value>
        </values>
      </ddeItem>
      <ddeItem name="4716.TW-ID,Name,MarketValue,Capital,NetIncomeGrowthRate,OperIncomeGrowthRate,FinancialStatementsTime,TFXRatio,MonthlyNetSalesYoY,RevenueMonth" advise="1">
        <values cols="10">
          <value t="str">
            <val>4716</val>
          </value>
          <value t="str">
            <val>大立</val>
          </value>
          <value t="str">
            <val>11.3</val>
          </value>
          <value t="str">
            <val>7.43</val>
          </value>
          <value t="str">
            <val>-103.90</val>
          </value>
          <value t="str">
            <val>35.94</val>
          </value>
          <value t="str">
            <val>2022/03</val>
          </value>
          <value t="str">
            <val>13.95</val>
          </value>
          <value t="str">
            <val>53.92</val>
          </value>
          <value t="str">
            <val>2022/06</val>
          </value>
        </values>
      </ddeItem>
      <ddeItem name="4716.TW-OperatingProfitRatio,Price,PriceChangeRatio,InOutRatioNumber,Value,YearReturn,MonthReturn,WeekReturn,FinanceBalanceDif,ChipsField2" advise="1">
        <values cols="10">
          <value t="str">
            <val>-10.63</val>
          </value>
          <value>
            <val>15.15</val>
          </value>
          <value>
            <val>-1.3</val>
          </value>
          <value t="str">
            <val>17.69%</val>
          </value>
          <value t="str">
            <val>425萬</val>
          </value>
          <value t="str">
            <val>+1.65</val>
          </value>
          <value t="str">
            <val>+5.94</val>
          </value>
          <value t="str">
            <val>-0.66</val>
          </value>
          <value>
            <val>-7</val>
          </value>
          <value>
            <val>0</val>
          </value>
        </values>
      </ddeItem>
      <ddeItem name="4721.TW-ChipsField3,ChipsField1,ChipsField25,CashAndStockDividend,CashDividendYieldRate,ProfitFourSeason,ProfitSingle,CName,ExchangeIndustry,CompanyPos" advise="1">
        <values cols="10">
          <value>
            <val>24</val>
          </value>
          <value>
            <val>259</val>
          </value>
          <value t="str">
            <val>2022/07/11</val>
          </value>
          <value t="str">
            <val>3.80</val>
          </value>
          <value>
            <val>3.09</val>
          </value>
          <value t="str">
            <val>6.35</val>
          </value>
          <value t="str">
            <val>2.24</val>
          </value>
          <value t="str">
            <val>美琪瑪</val>
          </value>
          <value t="str">
            <val>上櫃化工</val>
          </value>
          <value t="str">
            <val>全球最大PTA氧化觸媒供應商，也生產正極材料</val>
          </value>
        </values>
      </ddeItem>
      <ddeItem name="4721.TW-CName,InvestorConferenceDate,DateofMeetingofShareHolders,TradingDate" advise="1">
        <values cols="4">
          <value t="str">
            <val>美琪瑪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4721.TW-ID,Name,MarketValue,Capital,NetIncomeGrowthRate,OperIncomeGrowthRate,FinancialStatementsTime,TFXRatio,MonthlyNetSalesYoY,RevenueMonth" advise="1">
        <values cols="10">
          <value t="str">
            <val>4721</val>
          </value>
          <value t="str">
            <val>美琪瑪</val>
          </value>
          <value t="str">
            <val>92.2</val>
          </value>
          <value t="str">
            <val>7.50</val>
          </value>
          <value t="str">
            <val>219.11</val>
          </value>
          <value t="str">
            <val>169.07</val>
          </value>
          <value t="str">
            <val>2022/03</val>
          </value>
          <value t="str">
            <val>-1.59</val>
          </value>
          <value t="str">
            <val>120.12</val>
          </value>
          <value t="str">
            <val>2022/06</val>
          </value>
        </values>
      </ddeItem>
      <ddeItem name="4721.TW-OperatingProfitRatio,Price,PriceChangeRatio,InOutRatioNumber,Value,YearReturn,MonthReturn,WeekReturn,FinanceBalanceDif,ChipsField2" advise="1">
        <values cols="10">
          <value t="str">
            <val>11.83</val>
          </value>
          <value>
            <val>123</val>
          </value>
          <value>
            <val>0</val>
          </value>
          <value t="str">
            <val>47.56%</val>
          </value>
          <value t="str">
            <val>1.13億</val>
          </value>
          <value t="str">
            <val>+58.93</val>
          </value>
          <value t="str">
            <val>+7.30</val>
          </value>
          <value t="str">
            <val>+1.23</val>
          </value>
          <value>
            <val>-48</val>
          </value>
          <value>
            <val>0</val>
          </value>
        </values>
      </ddeItem>
      <ddeItem name="4726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-51</val>
          </value>
          <value t="str">
            <val>--</val>
          </value>
          <value t="str">
            <val>0.00</val>
          </value>
          <value>
            <val>0</val>
          </value>
          <value t="str">
            <val>-1.22</val>
          </value>
          <value t="str">
            <val>0.12</val>
          </value>
          <value t="str">
            <val>永昕</val>
          </value>
          <value t="str">
            <val>上櫃生技醫療</val>
          </value>
          <value t="str">
            <val>晟德旗下CDMO廠</val>
          </value>
        </values>
      </ddeItem>
      <ddeItem name="4726.TW-CName,InvestorConferenceDate,DateofMeetingofShareHolders,TradingDate" advise="1">
        <values cols="4">
          <value t="str">
            <val>永昕</val>
          </value>
          <value t="str">
            <val>2021/12/23</val>
          </value>
          <value t="str">
            <val>2022/05/30</val>
          </value>
          <value t="str">
            <val>2022/08/01</val>
          </value>
        </values>
      </ddeItem>
      <ddeItem name="4726.TW-ID,Name,MarketValue,Capital,NetIncomeGrowthRate,OperIncomeGrowthRate,FinancialStatementsTime,TFXRatio,MonthlyNetSalesYoY,RevenueMonth" advise="1">
        <values cols="10">
          <value t="str">
            <val>4726</val>
          </value>
          <value t="str">
            <val>永昕</val>
          </value>
          <value t="str">
            <val>61.4</val>
          </value>
          <value t="str">
            <val>15.42</val>
          </value>
          <value t="str">
            <val>-83.99</val>
          </value>
          <value t="str">
            <val>-86.09</val>
          </value>
          <value t="str">
            <val>2022/03</val>
          </value>
          <value t="str">
            <val>-71.73</val>
          </value>
          <value t="str">
            <val>-2.17</val>
          </value>
          <value t="str">
            <val>2022/06</val>
          </value>
        </values>
      </ddeItem>
      <ddeItem name="4726.TW-OperatingProfitRatio,Price,PriceChangeRatio,InOutRatioNumber,Value,YearReturn,MonthReturn,WeekReturn,FinanceBalanceDif,ChipsField2" advise="1">
        <values cols="10">
          <value t="str">
            <val>7.07</val>
          </value>
          <value>
            <val>39.85</val>
          </value>
          <value>
            <val>0.63</val>
          </value>
          <value t="str">
            <val>41.04%</val>
          </value>
          <value t="str">
            <val>3786萬</val>
          </value>
          <value t="str">
            <val>-10.45</val>
          </value>
          <value t="str">
            <val>+4.05</val>
          </value>
          <value t="str">
            <val>-0.87</val>
          </value>
          <value>
            <val>-103</val>
          </value>
          <value>
            <val>0</val>
          </value>
        </values>
      </ddeItem>
      <ddeItem name="47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-12</val>
          </value>
          <value t="str">
            <val>2022/07/13</val>
          </value>
          <value t="str">
            <val>4.40</val>
          </value>
          <value>
            <val>2.86</val>
          </value>
          <value t="str">
            <val>5.80</val>
          </value>
          <value t="str">
            <val>2.44</val>
          </value>
          <value t="str">
            <val>雙美</val>
          </value>
          <value t="str">
            <val>上櫃生技醫療</val>
          </value>
          <value t="str">
            <val>全球唯一以豬體皮為原料的膠原蛋白廠</val>
          </value>
        </values>
      </ddeItem>
      <ddeItem name="4728.TW-CName,InvestorConferenceDate,DateofMeetingofShareHolders,TradingDate" advise="1">
        <values cols="4">
          <value t="str">
            <val>雙美</val>
          </value>
          <value t="str">
            <val>--</val>
          </value>
          <value t="str">
            <val>2022/06/20</val>
          </value>
          <value t="str">
            <val>2022/08/01</val>
          </value>
        </values>
      </ddeItem>
      <ddeItem name="4728.TW-ID,Name,MarketValue,Capital,NetIncomeGrowthRate,OperIncomeGrowthRate,FinancialStatementsTime,TFXRatio,MonthlyNetSalesYoY,RevenueMonth" advise="1">
        <values cols="10">
          <value t="str">
            <val>4728</val>
          </value>
          <value t="str">
            <val>雙美</val>
          </value>
          <value t="str">
            <val>83.9</val>
          </value>
          <value t="str">
            <val>5.45</val>
          </value>
          <value t="str">
            <val>111.26</val>
          </value>
          <value t="str">
            <val>121.62</val>
          </value>
          <value t="str">
            <val>2022/03</val>
          </value>
          <value t="str">
            <val>-3.83</val>
          </value>
          <value t="str">
            <val>41.22</val>
          </value>
          <value t="str">
            <val>2022/06</val>
          </value>
        </values>
      </ddeItem>
      <ddeItem name="4728.TW-OperatingProfitRatio,Price,PriceChangeRatio,InOutRatioNumber,Value,YearReturn,MonthReturn,WeekReturn,FinanceBalanceDif,ChipsField2" advise="1">
        <values cols="10">
          <value t="str">
            <val>61.71</val>
          </value>
          <value>
            <val>154</val>
          </value>
          <value>
            <val>2.33</val>
          </value>
          <value t="str">
            <val>40.95%</val>
          </value>
          <value t="str">
            <val>1612萬</val>
          </value>
          <value t="str">
            <val>+126.76</val>
          </value>
          <value t="str">
            <val>+34.08</val>
          </value>
          <value t="str">
            <val>+12.82</val>
          </value>
          <value>
            <val>-5</val>
          </value>
          <value>
            <val>0</val>
          </value>
        </values>
      </ddeItem>
      <ddeItem name="47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-1.08</val>
          </value>
          <value t="str">
            <val>0.04</val>
          </value>
          <value t="str">
            <val>熒茂</val>
          </value>
          <value t="str">
            <val>上櫃光電</val>
          </value>
          <value t="str">
            <val>強茂轉投資之觸控面板廠</val>
          </value>
        </values>
      </ddeItem>
      <ddeItem name="4729.TW-CName,InvestorConferenceDate,DateofMeetingofShareHolders,TradingDate" advise="1">
        <values cols="4">
          <value t="str">
            <val>熒茂</val>
          </value>
          <value t="str">
            <val>2022/07/13</val>
          </value>
          <value t="str">
            <val>2022/06/10</val>
          </value>
          <value t="str">
            <val>2022/08/01</val>
          </value>
        </values>
      </ddeItem>
      <ddeItem name="4729.TW-ID,Name,MarketValue,Capital,NetIncomeGrowthRate,OperIncomeGrowthRate,FinancialStatementsTime,TFXRatio,MonthlyNetSalesYoY,RevenueMonth" advise="1">
        <values cols="10">
          <value t="str">
            <val>4729</val>
          </value>
          <value t="str">
            <val>熒茂</val>
          </value>
          <value t="str">
            <val>11.9</val>
          </value>
          <value t="str">
            <val>10.22</val>
          </value>
          <value t="str">
            <val>122.26</val>
          </value>
          <value t="str">
            <val>122.07</val>
          </value>
          <value t="str">
            <val>2022/03</val>
          </value>
          <value t="str">
            <val>-4.89</val>
          </value>
          <value t="str">
            <val>24.14</val>
          </value>
          <value t="str">
            <val>2022/06</val>
          </value>
        </values>
      </ddeItem>
      <ddeItem name="4729.TW-OperatingProfitRatio,Price,PriceChangeRatio,InOutRatioNumber,Value,YearReturn,MonthReturn,WeekReturn,FinanceBalanceDif,ChipsField2" advise="1">
        <values cols="10">
          <value t="str">
            <val>1.87</val>
          </value>
          <value>
            <val>11.6</val>
          </value>
          <value>
            <val>0.43</val>
          </value>
          <value t="str">
            <val>12.82%</val>
          </value>
          <value t="str">
            <val>45.1萬</val>
          </value>
          <value t="str">
            <val>-7.94</val>
          </value>
          <value t="str">
            <val>+15.42</val>
          </value>
          <value t="str">
            <val>-2.11</val>
          </value>
          <value>
            <val>0</val>
          </value>
          <value>
            <val>0</val>
          </value>
        </values>
      </ddeItem>
      <ddeItem name="47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-32</val>
          </value>
          <value t="str">
            <val>2022/06/16</val>
          </value>
          <value t="str">
            <val>0.50</val>
          </value>
          <value>
            <val>15.76</val>
          </value>
          <value t="str">
            <val>4.41</val>
          </value>
          <value t="str">
            <val>0.65</val>
          </value>
          <value t="str">
            <val>豪展</val>
          </value>
          <value t="str">
            <val>上櫃生技醫療</val>
          </value>
          <value t="str">
            <val>全球前三大紅外線額耳溫槍生產商</val>
          </value>
        </values>
      </ddeItem>
      <ddeItem name="4735.TW-CName,InvestorConferenceDate,DateofMeetingofShareHolders,TradingDate" advise="1">
        <values cols="4">
          <value t="str">
            <val>豪展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4735.TW-ID,Name,MarketValue,Capital,NetIncomeGrowthRate,OperIncomeGrowthRate,FinancialStatementsTime,TFXRatio,MonthlyNetSalesYoY,RevenueMonth" advise="1">
        <values cols="10">
          <value t="str">
            <val>4735</val>
          </value>
          <value t="str">
            <val>豪展</val>
          </value>
          <value t="str">
            <val>14.5</val>
          </value>
          <value t="str">
            <val>3.68</val>
          </value>
          <value t="str">
            <val>-86.55</val>
          </value>
          <value t="str">
            <val>-94.06</val>
          </value>
          <value t="str">
            <val>2022/03</val>
          </value>
          <value t="str">
            <val>20.14</val>
          </value>
          <value t="str">
            <val>-5.80</val>
          </value>
          <value t="str">
            <val>2022/06</val>
          </value>
        </values>
      </ddeItem>
      <ddeItem name="4735.TW-OperatingProfitRatio,Price,PriceChangeRatio,InOutRatioNumber,Value,YearReturn,MonthReturn,WeekReturn,FinanceBalanceDif,ChipsField2" advise="1">
        <values cols="10">
          <value t="str">
            <val>4.28</val>
          </value>
          <value>
            <val>39.35</val>
          </value>
          <value>
            <val>-2.36</val>
          </value>
          <value t="str">
            <val>21.74%</val>
          </value>
          <value t="str">
            <val>769萬</val>
          </value>
          <value t="str">
            <val>-33.75</val>
          </value>
          <value t="str">
            <val>+25.52</val>
          </value>
          <value t="str">
            <val>+11.63</val>
          </value>
          <value>
            <val>29</val>
          </value>
          <value>
            <val>0</val>
          </value>
        </values>
      </ddeItem>
      <ddeItem name="4736.TW-ChipsField3,ChipsField1,ChipsField25,CashAndStockDividend,CashDividendYieldRate,ProfitFourSeason,ProfitSingle,CName,ExchangeIndustry,CompanyPos" advise="1">
        <values cols="10">
          <value>
            <val>11</val>
          </value>
          <value>
            <val>-378</val>
          </value>
          <value t="str">
            <val>2022/08/04</val>
          </value>
          <value t="str">
            <val>14.94</val>
          </value>
          <value>
            <val>7.76</val>
          </value>
          <value t="str">
            <val>22.83</val>
          </value>
          <value t="str">
            <val>6.69</val>
          </value>
          <value t="str">
            <val>泰博</val>
          </value>
          <value t="str">
            <val>上櫃生技醫療</val>
          </value>
          <value t="str">
            <val>亞洲唯一擁有HCT(血球容積)變化檢測技術的廠商</val>
          </value>
        </values>
      </ddeItem>
      <ddeItem name="4736.TW-CName,InvestorConferenceDate,DateofMeetingofShareHolders,TradingDate" advise="1">
        <values cols="4">
          <value t="str">
            <val>泰博</val>
          </value>
          <value t="str">
            <val>2021/07/26</val>
          </value>
          <value t="str">
            <val>2022/05/25</val>
          </value>
          <value t="str">
            <val>2022/08/01</val>
          </value>
        </values>
      </ddeItem>
      <ddeItem name="4736.TW-ID,Name,MarketValue,Capital,NetIncomeGrowthRate,OperIncomeGrowthRate,FinancialStatementsTime,TFXRatio,MonthlyNetSalesYoY,RevenueMonth" advise="1">
        <values cols="10">
          <value t="str">
            <val>4736</val>
          </value>
          <value t="str">
            <val>泰博</val>
          </value>
          <value t="str">
            <val>179.8</val>
          </value>
          <value t="str">
            <val>9.34</val>
          </value>
          <value t="str">
            <val>29.59</val>
          </value>
          <value t="str">
            <val>98.38</val>
          </value>
          <value t="str">
            <val>2022/03</val>
          </value>
          <value t="str">
            <val>-2.17</val>
          </value>
          <value t="str">
            <val>30.83</val>
          </value>
          <value t="str">
            <val>2022/06</val>
          </value>
        </values>
      </ddeItem>
      <ddeItem name="4736.TW-OperatingProfitRatio,Price,PriceChangeRatio,InOutRatioNumber,Value,YearReturn,MonthReturn,WeekReturn,FinanceBalanceDif,ChipsField2" advise="1">
        <values cols="10">
          <value t="str">
            <val>39.17</val>
          </value>
          <value>
            <val>192.5</val>
          </value>
          <value>
            <val>-1.28</val>
          </value>
          <value t="str">
            <val>38.48%</val>
          </value>
          <value t="str">
            <val>2.04億</val>
          </value>
          <value t="str">
            <val>-4.75</val>
          </value>
          <value t="str">
            <val>+3.22</val>
          </value>
          <value t="str">
            <val>-7.23</val>
          </value>
          <value>
            <val>96</val>
          </value>
          <value>
            <val>0</val>
          </value>
        </values>
      </ddeItem>
      <ddeItem name="47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2022/07/08</val>
          </value>
          <value t="str">
            <val>0.80</val>
          </value>
          <value>
            <val>3.21</val>
          </value>
          <value t="str">
            <val>1.22</val>
          </value>
          <value t="str">
            <val>0.49</val>
          </value>
          <value t="str">
            <val>泓瀚</val>
          </value>
          <value t="str">
            <val>上櫃化工</val>
          </value>
          <value t="str">
            <val>台灣最大噴墨打印墨水研發與製造公司</val>
          </value>
        </values>
      </ddeItem>
      <ddeItem name="4741.TW-CName,InvestorConferenceDate,DateofMeetingofShareHolders,TradingDate" advise="1">
        <values cols="4">
          <value t="str">
            <val>泓瀚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4741.TW-ID,Name,MarketValue,Capital,NetIncomeGrowthRate,OperIncomeGrowthRate,FinancialStatementsTime,TFXRatio,MonthlyNetSalesYoY,RevenueMonth" advise="1">
        <values cols="10">
          <value t="str">
            <val>4741</val>
          </value>
          <value t="str">
            <val>泓瀚</val>
          </value>
          <value t="str">
            <val>8.2</val>
          </value>
          <value t="str">
            <val>3.28</val>
          </value>
          <value t="str">
            <val>265.51</val>
          </value>
          <value t="str">
            <val>36.71</val>
          </value>
          <value t="str">
            <val>2022/03</val>
          </value>
          <value t="str">
            <val>55.14</val>
          </value>
          <value t="str">
            <val>6.46</val>
          </value>
          <value t="str">
            <val>2022/06</val>
          </value>
        </values>
      </ddeItem>
      <ddeItem name="4741.TW-OperatingProfitRatio,Price,PriceChangeRatio,InOutRatioNumber,Value,YearReturn,MonthReturn,WeekReturn,FinanceBalanceDif,ChipsField2" advise="1">
        <values cols="10">
          <value t="str">
            <val>4.39</val>
          </value>
          <value>
            <val>24.95</val>
          </value>
          <value>
            <val>0.2</val>
          </value>
          <value t="str">
            <val>100.00%</val>
          </value>
          <value t="str">
            <val>5.00萬</val>
          </value>
          <value t="str">
            <val>+6.01</val>
          </value>
          <value t="str">
            <val>+9.15</val>
          </value>
          <value t="str">
            <val>+1.22</val>
          </value>
          <value>
            <val>0</val>
          </value>
          <value>
            <val>0</val>
          </value>
        </values>
      </ddeItem>
      <ddeItem name="4743.TW-ChipsField3,ChipsField1,ChipsField25,CashAndStockDividend,CashDividendYieldRate,ProfitFourSeason,ProfitSingle,CName,ExchangeIndustry,CompanyPos" advise="1">
        <values cols="10">
          <value>
            <val>-35</val>
          </value>
          <value>
            <val>-212</val>
          </value>
          <value t="str">
            <val>--</val>
          </value>
          <value t="str">
            <val>0.00</val>
          </value>
          <value>
            <val>0</val>
          </value>
          <value t="str">
            <val>-0.35</val>
          </value>
          <value t="str">
            <val>1.01</val>
          </value>
          <value t="str">
            <val>合一</val>
          </value>
          <value t="str">
            <val>上櫃生技醫療</val>
          </value>
          <value t="str">
            <val>中天轉投資的植物新藥開發公司</val>
          </value>
        </values>
      </ddeItem>
      <ddeItem name="4743.TW-CName,InvestorConferenceDate,DateofMeetingofShareHolders,TradingDate" advise="1">
        <values cols="4">
          <value t="str">
            <val>合一</val>
          </value>
          <value t="str">
            <val>2022/06/29</val>
          </value>
          <value t="str">
            <val>2022/05/24</val>
          </value>
          <value t="str">
            <val>2022/08/01</val>
          </value>
        </values>
      </ddeItem>
      <ddeItem name="4743.TW-ID,Name,MarketValue,Capital,NetIncomeGrowthRate,OperIncomeGrowthRate,FinancialStatementsTime,TFXRatio,MonthlyNetSalesYoY,RevenueMonth" advise="1">
        <values cols="10">
          <value t="str">
            <val>4743</val>
          </value>
          <value t="str">
            <val>合一</val>
          </value>
          <value t="str">
            <val>712.9</val>
          </value>
          <value t="str">
            <val>38.85</val>
          </value>
          <value t="str">
            <val>232.17</val>
          </value>
          <value t="str">
            <val>18.70</val>
          </value>
          <value t="str">
            <val>2022/03</val>
          </value>
          <value t="str">
            <val>18100.40</val>
          </value>
          <value t="str">
            <val>11407.90</val>
          </value>
          <value t="str">
            <val>2022/06</val>
          </value>
        </values>
      </ddeItem>
      <ddeItem name="4743.TW-OperatingProfitRatio,Price,PriceChangeRatio,InOutRatioNumber,Value,YearReturn,MonthReturn,WeekReturn,FinanceBalanceDif,ChipsField2" advise="1">
        <values cols="10">
          <value t="str">
            <val>-1115.57</val>
          </value>
          <value>
            <val>183.5</val>
          </value>
          <value>
            <val>-2.65</val>
          </value>
          <value t="str">
            <val>28.57%</val>
          </value>
          <value t="str">
            <val>4.50億</val>
          </value>
          <value t="str">
            <val>-4.92</val>
          </value>
          <value t="str">
            <val>+8.58</val>
          </value>
          <value t="str">
            <val>-4.18</val>
          </value>
          <value>
            <val>16</val>
          </value>
          <value>
            <val>0</val>
          </value>
        </values>
      </ddeItem>
      <ddeItem name="47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2022/08/15</val>
          </value>
          <value t="str">
            <val>1.20</val>
          </value>
          <value>
            <val>3.93</val>
          </value>
          <value t="str">
            <val>1.65</val>
          </value>
          <value t="str">
            <val>0.01</val>
          </value>
          <value t="str">
            <val>皇將</val>
          </value>
          <value t="str">
            <val>上櫃生技醫療</val>
          </value>
          <value t="str">
            <val>台灣製藥設備及檢驗儀器製造廠</val>
          </value>
        </values>
      </ddeItem>
      <ddeItem name="4744.TW-CName,InvestorConferenceDate,DateofMeetingofShareHolders,TradingDate" advise="1">
        <values cols="4">
          <value t="str">
            <val>皇將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4744.TW-ID,Name,MarketValue,Capital,NetIncomeGrowthRate,OperIncomeGrowthRate,FinancialStatementsTime,TFXRatio,MonthlyNetSalesYoY,RevenueMonth" advise="1">
        <values cols="10">
          <value t="str">
            <val>4744</val>
          </value>
          <value t="str">
            <val>皇將</val>
          </value>
          <value t="str">
            <val>14.0</val>
          </value>
          <value t="str">
            <val>4.60</val>
          </value>
          <value t="str">
            <val>-89.14</val>
          </value>
          <value t="str">
            <val>-890.65</val>
          </value>
          <value t="str">
            <val>2022/03</val>
          </value>
          <value t="str">
            <val>92.20</val>
          </value>
          <value t="str">
            <val>54.62</val>
          </value>
          <value t="str">
            <val>2022/06</val>
          </value>
        </values>
      </ddeItem>
      <ddeItem name="4744.TW-OperatingProfitRatio,Price,PriceChangeRatio,InOutRatioNumber,Value,YearReturn,MonthReturn,WeekReturn,FinanceBalanceDif,ChipsField2" advise="1">
        <values cols="10">
          <value t="str">
            <val>-17.35</val>
          </value>
          <value>
            <val>30.5</val>
          </value>
          <value>
            <val>1.5</val>
          </value>
          <value t="str">
            <val>51.86%</val>
          </value>
          <value t="str">
            <val>1112萬</val>
          </value>
          <value t="str">
            <val>+13.62</val>
          </value>
          <value t="str">
            <val>+30.34</val>
          </value>
          <value t="str">
            <val>+12.13</val>
          </value>
          <value>
            <val>27</val>
          </value>
          <value>
            <val>0</val>
          </value>
        </values>
      </ddeItem>
      <ddeItem name="474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2022/06/23</val>
          </value>
          <value t="str">
            <val>1.50</val>
          </value>
          <value>
            <val>5.79</val>
          </value>
          <value t="str">
            <val>1.83</val>
          </value>
          <value t="str">
            <val>0.33</val>
          </value>
          <value t="str">
            <val>合富-KY</val>
          </value>
          <value t="str">
            <val>上櫃生技醫療</val>
          </value>
          <value t="str">
            <val>大陸最大台資醫療通路集團</val>
          </value>
        </values>
      </ddeItem>
      <ddeItem name="4745.TW-CName,InvestorConferenceDate,DateofMeetingofShareHolders,TradingDate" advise="1">
        <values cols="4">
          <value t="str">
            <val>合富-KY</val>
          </value>
          <value t="str">
            <val>2021/12/24</val>
          </value>
          <value t="str">
            <val>2022/05/12</val>
          </value>
          <value t="str">
            <val>2022/08/01</val>
          </value>
        </values>
      </ddeItem>
      <ddeItem name="4745.TW-ID,Name,MarketValue,Capital,NetIncomeGrowthRate,OperIncomeGrowthRate,FinancialStatementsTime,TFXRatio,MonthlyNetSalesYoY,RevenueMonth" advise="1">
        <values cols="10">
          <value t="str">
            <val>4745</val>
          </value>
          <value t="str">
            <val>合富-KY</val>
          </value>
          <value t="str">
            <val>20.1</val>
          </value>
          <value t="str">
            <val>7.74</val>
          </value>
          <value t="str">
            <val>44.78</val>
          </value>
          <value t="str">
            <val>36.66</val>
          </value>
          <value t="str">
            <val>2022/03</val>
          </value>
          <value t="str">
            <val>95.06</val>
          </value>
          <value t="str">
            <val>-3.58</val>
          </value>
          <value t="str">
            <val>2022/06</val>
          </value>
        </values>
      </ddeItem>
      <ddeItem name="4745.TW-OperatingProfitRatio,Price,PriceChangeRatio,InOutRatioNumber,Value,YearReturn,MonthReturn,WeekReturn,FinanceBalanceDif,ChipsField2" advise="1">
        <values cols="10">
          <value t="str">
            <val>5.76</val>
          </value>
          <value>
            <val>25.9</val>
          </value>
          <value>
            <val>0.57999999999999996</val>
          </value>
          <value t="str">
            <val>50.00%</val>
          </value>
          <value t="str">
            <val>59.7萬</val>
          </value>
          <value t="str">
            <val>+1.65</val>
          </value>
          <value t="str">
            <val>+10.21</val>
          </value>
          <value t="str">
            <val>-1.71</val>
          </value>
          <value>
            <val>-27</val>
          </value>
          <value>
            <val>0</val>
          </value>
        </values>
      </ddeItem>
      <ddeItem name="47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2022/06/22</val>
          </value>
          <value t="str">
            <val>1.45</val>
          </value>
          <value>
            <val>4.3899999999999997</val>
          </value>
          <value t="str">
            <val>1.71</val>
          </value>
          <value t="str">
            <val>0.42</val>
          </value>
          <value t="str">
            <val>強生</val>
          </value>
          <value t="str">
            <val>上櫃生技醫療</val>
          </value>
          <value t="str">
            <val>台灣中小型利基型學名藥廠</val>
          </value>
        </values>
      </ddeItem>
      <ddeItem name="4747.TW-CName,InvestorConferenceDate,DateofMeetingofShareHolders,TradingDate" advise="1">
        <values cols="4">
          <value t="str">
            <val>強生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4747.TW-ID,Name,MarketValue,Capital,NetIncomeGrowthRate,OperIncomeGrowthRate,FinancialStatementsTime,TFXRatio,MonthlyNetSalesYoY,RevenueMonth" advise="1">
        <values cols="10">
          <value t="str">
            <val>4747</val>
          </value>
          <value t="str">
            <val>強生</val>
          </value>
          <value t="str">
            <val>9.9</val>
          </value>
          <value t="str">
            <val>3.00</val>
          </value>
          <value t="str">
            <val>21.64</val>
          </value>
          <value t="str">
            <val>24.77</val>
          </value>
          <value t="str">
            <val>2022/03</val>
          </value>
          <value t="str">
            <val>11.00</val>
          </value>
          <value t="str">
            <val>31.33</val>
          </value>
          <value t="str">
            <val>2022/06</val>
          </value>
        </values>
      </ddeItem>
      <ddeItem name="4747.TW-OperatingProfitRatio,Price,PriceChangeRatio,InOutRatioNumber,Value,YearReturn,MonthReturn,WeekReturn,FinanceBalanceDif,ChipsField2" advise="1">
        <values cols="10">
          <value t="str">
            <val>14.83</val>
          </value>
          <value>
            <val>33.049999999999997</val>
          </value>
          <value>
            <val>0</val>
          </value>
          <value t="str">
            <val>58.54%</val>
          </value>
          <value t="str">
            <val>136萬</val>
          </value>
          <value t="str">
            <val>-4.37</val>
          </value>
          <value t="str">
            <val>+5.09</val>
          </value>
          <value t="str">
            <val>+4.92</val>
          </value>
          <value>
            <val>-1</val>
          </value>
          <value>
            <val>0</val>
          </value>
        </values>
      </ddeItem>
      <ddeItem name="47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2.00</val>
          </value>
          <value>
            <val>5.24</val>
          </value>
          <value t="str">
            <val>2.92</val>
          </value>
          <value t="str">
            <val>0.62</val>
          </value>
          <value t="str">
            <val>國碳科</val>
          </value>
          <value t="str">
            <val>上櫃化工</val>
          </value>
          <value t="str">
            <val>台灣防火材料研發及生產廠商</val>
          </value>
        </values>
      </ddeItem>
      <ddeItem name="4754.TW-CName,InvestorConferenceDate,DateofMeetingofShareHolders,TradingDate" advise="1">
        <values cols="4">
          <value t="str">
            <val>國碳科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4754.TW-ID,Name,MarketValue,Capital,NetIncomeGrowthRate,OperIncomeGrowthRate,FinancialStatementsTime,TFXRatio,MonthlyNetSalesYoY,RevenueMonth" advise="1">
        <values cols="10">
          <value t="str">
            <val>4754</val>
          </value>
          <value t="str">
            <val>國碳科</val>
          </value>
          <value t="str">
            <val>9.6</val>
          </value>
          <value t="str">
            <val>2.50</val>
          </value>
          <value t="str">
            <val>205.78</val>
          </value>
          <value t="str">
            <val>124.06</val>
          </value>
          <value t="str">
            <val>2022/03</val>
          </value>
          <value t="str">
            <val>73.54</val>
          </value>
          <value t="str">
            <val>-21.39</val>
          </value>
          <value t="str">
            <val>2022/06</val>
          </value>
        </values>
      </ddeItem>
      <ddeItem name="4754.TW-OperatingProfitRatio,Price,PriceChangeRatio,InOutRatioNumber,Value,YearReturn,MonthReturn,WeekReturn,FinanceBalanceDif,ChipsField2" advise="1">
        <values cols="10">
          <value t="str">
            <val>13.74</val>
          </value>
          <value>
            <val>38.200000000000003</val>
          </value>
          <value>
            <val>0</val>
          </value>
          <value t="str">
            <val>48.15%</val>
          </value>
          <value t="str">
            <val>104萬</val>
          </value>
          <value t="str">
            <val>+10.33</val>
          </value>
          <value t="str">
            <val>+1.19</val>
          </value>
          <value t="str">
            <val>+0.79</val>
          </value>
          <value>
            <val>0</val>
          </value>
          <value>
            <val>0</val>
          </value>
        </values>
      </ddeItem>
      <ddeItem name="47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2022/07/07</val>
          </value>
          <value t="str">
            <val>4.58</val>
          </value>
          <value>
            <val>8.5399999999999991</val>
          </value>
          <value t="str">
            <val>5.98</val>
          </value>
          <value t="str">
            <val>1.09</val>
          </value>
          <value t="str">
            <val>勤凱</val>
          </value>
          <value t="str">
            <val>上櫃其他電子</val>
          </value>
          <value t="str">
            <val>台灣被動元件導電漿及厚膜導體材料大廠</val>
          </value>
        </values>
      </ddeItem>
      <ddeItem name="4760.TW-CName,InvestorConferenceDate,DateofMeetingofShareHolders,TradingDate" advise="1">
        <values cols="4">
          <value t="str">
            <val>勤凱</val>
          </value>
          <value t="str">
            <val>2021/03/19</val>
          </value>
          <value t="str">
            <val>2022/06/16</val>
          </value>
          <value t="str">
            <val>2022/08/01</val>
          </value>
        </values>
      </ddeItem>
      <ddeItem name="4760.TW-ID,Name,MarketValue,Capital,NetIncomeGrowthRate,OperIncomeGrowthRate,FinancialStatementsTime,TFXRatio,MonthlyNetSalesYoY,RevenueMonth" advise="1">
        <values cols="10">
          <value t="str">
            <val>4760</val>
          </value>
          <value t="str">
            <val>勤凱</val>
          </value>
          <value t="str">
            <val>17.3</val>
          </value>
          <value t="str">
            <val>3.23</val>
          </value>
          <value t="str">
            <val>-38.88</val>
          </value>
          <value t="str">
            <val>-38.99</val>
          </value>
          <value t="str">
            <val>2022/03</val>
          </value>
          <value t="str">
            <val>-0.25</val>
          </value>
          <value t="str">
            <val>-38.44</val>
          </value>
          <value t="str">
            <val>2022/06</val>
          </value>
        </values>
      </ddeItem>
      <ddeItem name="4760.TW-OperatingProfitRatio,Price,PriceChangeRatio,InOutRatioNumber,Value,YearReturn,MonthReturn,WeekReturn,FinanceBalanceDif,ChipsField2" advise="1">
        <values cols="10">
          <value t="str">
            <val>12.51</val>
          </value>
          <value>
            <val>53.6</val>
          </value>
          <value>
            <val>-0.92</val>
          </value>
          <value t="str">
            <val>36.84%</val>
          </value>
          <value t="str">
            <val>102萬</val>
          </value>
          <value t="str">
            <val>-55.67</val>
          </value>
          <value t="str">
            <val>+3.00</val>
          </value>
          <value t="str">
            <val>-2.72</val>
          </value>
          <value>
            <val>2</val>
          </value>
          <value>
            <val>0</val>
          </value>
        </values>
      </ddeItem>
      <ddeItem name="47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2022/07/21</val>
          </value>
          <value t="str">
            <val>1.50</val>
          </value>
          <value>
            <val>5.51</val>
          </value>
          <value t="str">
            <val>2.73</val>
          </value>
          <value t="str">
            <val>0.54</val>
          </value>
          <value t="str">
            <val>誠泰科技</val>
          </value>
          <value t="str">
            <val>上櫃化工</val>
          </value>
          <value t="str">
            <val>自動化設備用熱熔膠製造商</val>
          </value>
        </values>
      </ddeItem>
      <ddeItem name="4767.TW-CName,InvestorConferenceDate,DateofMeetingofShareHolders,TradingDate" advise="1">
        <values cols="4">
          <value t="str">
            <val>誠泰科技</val>
          </value>
          <value t="str">
            <val>2022/05/30</val>
          </value>
          <value t="str">
            <val>2022/06/14</val>
          </value>
          <value t="str">
            <val>2022/08/01</val>
          </value>
        </values>
      </ddeItem>
      <ddeItem name="4767.TW-ID,Name,MarketValue,Capital,NetIncomeGrowthRate,OperIncomeGrowthRate,FinancialStatementsTime,TFXRatio,MonthlyNetSalesYoY,RevenueMonth" advise="1">
        <values cols="10">
          <value t="str">
            <val>4767</val>
          </value>
          <value t="str">
            <val>誠泰科技</val>
          </value>
          <value t="str">
            <val>8.5</val>
          </value>
          <value t="str">
            <val>3.14</val>
          </value>
          <value t="str">
            <val>-16.93</val>
          </value>
          <value t="str">
            <val>-30.53</val>
          </value>
          <value t="str">
            <val>2022/03</val>
          </value>
          <value t="str">
            <val>-10.47</val>
          </value>
          <value t="str">
            <val>0.43</val>
          </value>
          <value t="str">
            <val>2022/06</val>
          </value>
        </values>
      </ddeItem>
      <ddeItem name="4767.TW-OperatingProfitRatio,Price,PriceChangeRatio,InOutRatioNumber,Value,YearReturn,MonthReturn,WeekReturn,FinanceBalanceDif,ChipsField2" advise="1">
        <values cols="10">
          <value t="str">
            <val>4.82</val>
          </value>
          <value>
            <val>27.2</val>
          </value>
          <value>
            <val>0</val>
          </value>
          <value t="str">
            <val>0.00%</val>
          </value>
          <value t="str">
            <val>2.72萬</val>
          </value>
          <value t="str">
            <val>-1.56</val>
          </value>
          <value t="str">
            <val>+9.11</val>
          </value>
          <value t="str">
            <val>-2.16</val>
          </value>
          <value>
            <val>0</val>
          </value>
          <value>
            <val>0</val>
          </value>
        </values>
      </ddeItem>
      <ddeItem name="4768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-6</val>
          </value>
          <value t="str">
            <val>--</val>
          </value>
          <value t="str">
            <val>2.00</val>
          </value>
          <value>
            <val>1.59</val>
          </value>
          <value t="str">
            <val>2.17</val>
          </value>
          <value t="str">
            <val>0.41</val>
          </value>
          <value t="str">
            <val>晶呈科技</val>
          </value>
          <value t="str">
            <val>上櫃化工</val>
          </value>
          <value t="str">
            <val>半導體及光電特殊氣體供應商</val>
          </value>
        </values>
      </ddeItem>
      <ddeItem name="4768.TW-CName,InvestorConferenceDate,DateofMeetingofShareHolders,TradingDate" advise="1">
        <values cols="4">
          <value t="str">
            <val>晶呈科技</val>
          </value>
          <value t="str">
            <val>2022/07/14</val>
          </value>
          <value t="str">
            <val>2022/06/29</val>
          </value>
          <value t="str">
            <val>2022/08/01</val>
          </value>
        </values>
      </ddeItem>
      <ddeItem name="4768.TW-ID,Name,MarketValue,Capital,NetIncomeGrowthRate,OperIncomeGrowthRate,FinancialStatementsTime,TFXRatio,MonthlyNetSalesYoY,RevenueMonth" advise="1">
        <values cols="10">
          <value t="str">
            <val>4768</val>
          </value>
          <value t="str">
            <val>晶呈科技</val>
          </value>
          <value t="str">
            <val>45.0</val>
          </value>
          <value t="str">
            <val>3.59</val>
          </value>
          <value t="str">
            <val>11.93</val>
          </value>
          <value t="str">
            <val>13.24</val>
          </value>
          <value t="str">
            <val>2022/03</val>
          </value>
          <value t="str">
            <val>-14.09</val>
          </value>
          <value t="str">
            <val>34.70</val>
          </value>
          <value t="str">
            <val>2022/06</val>
          </value>
        </values>
      </ddeItem>
      <ddeItem name="4768.TW-OperatingProfitRatio,Price,PriceChangeRatio,InOutRatioNumber,Value,YearReturn,MonthReturn,WeekReturn,FinanceBalanceDif,ChipsField2" advise="1">
        <values cols="10">
          <value t="str">
            <val>18.22</val>
          </value>
          <value>
            <val>125.5</val>
          </value>
          <value>
            <val>0.4</val>
          </value>
          <value t="str">
            <val>56.07%</val>
          </value>
          <value t="str">
            <val>2697萬</val>
          </value>
          <value t="str">
            <val>--</val>
          </value>
          <value t="str">
            <val>+2.87</val>
          </value>
          <value t="str">
            <val>-3.46</val>
          </value>
          <value>
            <val>0</val>
          </value>
          <value>
            <val>0</val>
          </value>
        </values>
      </ddeItem>
      <ddeItem name="48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321</val>
          </value>
          <value t="str">
            <val>--</val>
          </value>
          <value t="str">
            <val>0.00</val>
          </value>
          <value>
            <val>0</val>
          </value>
          <value t="str">
            <val>-0.85</val>
          </value>
          <value t="str">
            <val>-0.94</val>
          </value>
          <value t="str">
            <val>大略-KY</val>
          </value>
          <value t="str">
            <val>上櫃觀光</val>
          </value>
          <value t="str">
            <val>大陸知名整合婚禮服務業者，主要品牌是維多利亞婚宴會所</val>
          </value>
        </values>
      </ddeItem>
      <ddeItem name="4804.TW-CName,InvestorConferenceDate,DateofMeetingofShareHolders,TradingDate" advise="1">
        <values cols="4">
          <value t="str">
            <val>大略-KY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4804.TW-ID,Name,MarketValue,Capital,NetIncomeGrowthRate,OperIncomeGrowthRate,FinancialStatementsTime,TFXRatio,MonthlyNetSalesYoY,RevenueMonth" advise="1">
        <values cols="10">
          <value t="str">
            <val>4804</val>
          </value>
          <value t="str">
            <val>大略-KY</val>
          </value>
          <value t="str">
            <val>5.0</val>
          </value>
          <value t="str">
            <val>4.53</val>
          </value>
          <value t="str">
            <val>-220.44</val>
          </value>
          <value t="str">
            <val>-297.09</val>
          </value>
          <value t="str">
            <val>2022/03</val>
          </value>
          <value t="str">
            <val>-12.57</val>
          </value>
          <value t="str">
            <val>-49.51</val>
          </value>
          <value t="str">
            <val>2022/06</val>
          </value>
        </values>
      </ddeItem>
      <ddeItem name="4804.TW-OperatingProfitRatio,Price,PriceChangeRatio,InOutRatioNumber,Value,YearReturn,MonthReturn,WeekReturn,FinanceBalanceDif,ChipsField2" advise="1">
        <values cols="10">
          <value t="str">
            <val>-56.97</val>
          </value>
          <value>
            <val>11.1</val>
          </value>
          <value>
            <val>-1.33</val>
          </value>
          <value t="str">
            <val>40.05%</val>
          </value>
          <value t="str">
            <val>457萬</val>
          </value>
          <value t="str">
            <val>+11.67</val>
          </value>
          <value t="str">
            <val>+0.45</val>
          </value>
          <value t="str">
            <val>-3.06</val>
          </value>
          <value>
            <val>51</val>
          </value>
          <value>
            <val>0</val>
          </value>
        </values>
      </ddeItem>
      <ddeItem name="48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-3.62</val>
          </value>
          <value t="str">
            <val>-0.43</val>
          </value>
          <value t="str">
            <val>昇華</val>
          </value>
          <value t="str">
            <val>上櫃文化創意</val>
          </value>
          <value t="str">
            <val>台灣第一家掛牌電視劇製作公司</val>
          </value>
        </values>
      </ddeItem>
      <ddeItem name="4806.TW-CName,InvestorConferenceDate,DateofMeetingofShareHolders,TradingDate" advise="1">
        <values cols="4">
          <value t="str">
            <val>昇華</val>
          </value>
          <value t="str">
            <val>2021/12/23</val>
          </value>
          <value t="str">
            <val>2022/08/12</val>
          </value>
          <value t="str">
            <val>2022/08/01</val>
          </value>
        </values>
      </ddeItem>
      <ddeItem name="4806.TW-ID,Name,MarketValue,Capital,NetIncomeGrowthRate,OperIncomeGrowthRate,FinancialStatementsTime,TFXRatio,MonthlyNetSalesYoY,RevenueMonth" advise="1">
        <values cols="10">
          <value t="str">
            <val>4806</val>
          </value>
          <value t="str">
            <val>昇華</val>
          </value>
          <value t="str">
            <val>6.0</val>
          </value>
          <value t="str">
            <val>5.42</val>
          </value>
          <value t="str">
            <val>48.26</val>
          </value>
          <value t="str">
            <val>51.07</val>
          </value>
          <value t="str">
            <val>2022/03</val>
          </value>
          <value t="str">
            <val>40.00</val>
          </value>
          <value t="str">
            <val>--</val>
          </value>
          <value t="str">
            <val>2022/06</val>
          </value>
        </values>
      </ddeItem>
      <ddeItem name="4806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11.45</val>
          </value>
          <value>
            <val>2.69</val>
          </value>
          <value t="str">
            <val>100.00%</val>
          </value>
          <value t="str">
            <val>1.15萬</val>
          </value>
          <value t="str">
            <val>+2.23</val>
          </value>
          <value t="str">
            <val>+17.56</val>
          </value>
          <value t="str">
            <val>+9.57</val>
          </value>
          <value>
            <val>0</val>
          </value>
          <value>
            <val>0</val>
          </value>
        </values>
      </ddeItem>
      <ddeItem name="49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-35</val>
          </value>
          <value t="str">
            <val>--</val>
          </value>
          <value t="str">
            <val>0.00</val>
          </value>
          <value>
            <val>0</val>
          </value>
          <value t="str">
            <val>-0.45</val>
          </value>
          <value t="str">
            <val>-0.16</val>
          </value>
          <value t="str">
            <val>聯光通</val>
          </value>
          <value t="str">
            <val>上櫃通信網路</val>
          </value>
          <value t="str">
            <val>光通訊工程承包及光纖光纜製造商</val>
          </value>
        </values>
      </ddeItem>
      <ddeItem name="4903.TW-CName,InvestorConferenceDate,DateofMeetingofShareHolders,TradingDate" advise="1">
        <values cols="4">
          <value t="str">
            <val>聯光通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4903.TW-ID,Name,MarketValue,Capital,NetIncomeGrowthRate,OperIncomeGrowthRate,FinancialStatementsTime,TFXRatio,MonthlyNetSalesYoY,RevenueMonth" advise="1">
        <values cols="10">
          <value t="str">
            <val>4903</val>
          </value>
          <value t="str">
            <val>聯光通</val>
          </value>
          <value t="str">
            <val>11.4</val>
          </value>
          <value t="str">
            <val>10.03</val>
          </value>
          <value t="str">
            <val>-619.68</val>
          </value>
          <value t="str">
            <val>-662.82</val>
          </value>
          <value t="str">
            <val>2022/03</val>
          </value>
          <value t="str">
            <val>84.03</val>
          </value>
          <value t="str">
            <val>65.53</val>
          </value>
          <value t="str">
            <val>2022/06</val>
          </value>
        </values>
      </ddeItem>
      <ddeItem name="4903.TW-OperatingProfitRatio,Price,PriceChangeRatio,InOutRatioNumber,Value,YearReturn,MonthReturn,WeekReturn,FinanceBalanceDif,ChipsField2" advise="1">
        <values cols="10">
          <value t="str">
            <val>-11.99</val>
          </value>
          <value>
            <val>12.65</val>
          </value>
          <value>
            <val>2.85</val>
          </value>
          <value t="str">
            <val>72.84%</val>
          </value>
          <value t="str">
            <val>690萬</val>
          </value>
          <value t="str">
            <val>+66.45</val>
          </value>
          <value t="str">
            <val>+18.22</val>
          </value>
          <value t="str">
            <val>0.00</val>
          </value>
          <value>
            <val>0</val>
          </value>
          <value>
            <val>0</val>
          </value>
        </values>
      </ddeItem>
      <ddeItem name="49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1.20</val>
          </value>
          <value>
            <val>2.3199999999999998</val>
          </value>
          <value t="str">
            <val>-1.77</val>
          </value>
          <value t="str">
            <val>-0.45</val>
          </value>
          <value t="str">
            <val>台聯電</val>
          </value>
          <value t="str">
            <val>上櫃通信網路</val>
          </value>
          <value t="str">
            <val>主產品為數據機、XDSL等網通設備廠</val>
          </value>
        </values>
      </ddeItem>
      <ddeItem name="4905.TW-CName,InvestorConferenceDate,DateofMeetingofShareHolders,TradingDate" advise="1">
        <values cols="4">
          <value t="str">
            <val>台聯電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4905.TW-ID,Name,MarketValue,Capital,NetIncomeGrowthRate,OperIncomeGrowthRate,FinancialStatementsTime,TFXRatio,MonthlyNetSalesYoY,RevenueMonth" advise="1">
        <values cols="10">
          <value t="str">
            <val>4905</val>
          </value>
          <value t="str">
            <val>台聯電</val>
          </value>
          <value t="str">
            <val>15.5</val>
          </value>
          <value t="str">
            <val>3.00</val>
          </value>
          <value t="str">
            <val>-114.76</val>
          </value>
          <value t="str">
            <val>67.82</val>
          </value>
          <value t="str">
            <val>2022/03</val>
          </value>
          <value t="str">
            <val>110.75</val>
          </value>
          <value t="str">
            <val>174.09</val>
          </value>
          <value t="str">
            <val>2022/06</val>
          </value>
        </values>
      </ddeItem>
      <ddeItem name="4905.TW-OperatingProfitRatio,Price,PriceChangeRatio,InOutRatioNumber,Value,YearReturn,MonthReturn,WeekReturn,FinanceBalanceDif,ChipsField2" advise="1">
        <values cols="10">
          <value t="str">
            <val>-23.54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-7.78</val>
          </value>
          <value t="str">
            <val>+0.39</val>
          </value>
          <value t="str">
            <val>-0.58</val>
          </value>
          <value>
            <val>-8</val>
          </value>
          <value>
            <val>0</val>
          </value>
        </values>
      </ddeItem>
      <ddeItem name="49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1.30</val>
          </value>
          <value>
            <val>5.37</val>
          </value>
          <value t="str">
            <val>1.44</val>
          </value>
          <value t="str">
            <val>0.11</val>
          </value>
          <value t="str">
            <val>富宇</val>
          </value>
          <value t="str">
            <val>上櫃建材營造</val>
          </value>
          <value t="str">
            <val>富宇建設集團成員之一，主要從事大台中地區建築開發</val>
          </value>
        </values>
      </ddeItem>
      <ddeItem name="4907.TW-CName,InvestorConferenceDate,DateofMeetingofShareHolders,TradingDate" advise="1">
        <values cols="4">
          <value t="str">
            <val>富宇</val>
          </value>
          <value t="str">
            <val>2022/07/28</val>
          </value>
          <value t="str">
            <val>2022/06/30</val>
          </value>
          <value t="str">
            <val>2022/08/01</val>
          </value>
        </values>
      </ddeItem>
      <ddeItem name="4907.TW-ID,Name,MarketValue,Capital,NetIncomeGrowthRate,OperIncomeGrowthRate,FinancialStatementsTime,TFXRatio,MonthlyNetSalesYoY,RevenueMonth" advise="1">
        <values cols="10">
          <value t="str">
            <val>4907</val>
          </value>
          <value t="str">
            <val>富宇</val>
          </value>
          <value t="str">
            <val>28.6</val>
          </value>
          <value t="str">
            <val>11.81</val>
          </value>
          <value t="str">
            <val>-73.14</val>
          </value>
          <value t="str">
            <val>-72.83</val>
          </value>
          <value t="str">
            <val>2022/03</val>
          </value>
          <value t="str">
            <val>0.00</val>
          </value>
          <value t="str">
            <val>-99.19</val>
          </value>
          <value t="str">
            <val>2022/06</val>
          </value>
        </values>
      </ddeItem>
      <ddeItem name="4907.TW-OperatingProfitRatio,Price,PriceChangeRatio,InOutRatioNumber,Value,YearReturn,MonthReturn,WeekReturn,FinanceBalanceDif,ChipsField2" advise="1">
        <values cols="10">
          <value t="str">
            <val>10.48</val>
          </value>
          <value>
            <val>24.2</val>
          </value>
          <value>
            <val>0</val>
          </value>
          <value t="str">
            <val>55.00%</val>
          </value>
          <value t="str">
            <val>50.8萬</val>
          </value>
          <value t="str">
            <val>+5.30</val>
          </value>
          <value t="str">
            <val>-1.02</val>
          </value>
          <value t="str">
            <val>+0.21</val>
          </value>
          <value>
            <val>0</val>
          </value>
          <value>
            <val>0</val>
          </value>
        </values>
      </ddeItem>
      <ddeItem name="49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129</val>
          </value>
          <value t="str">
            <val>--</val>
          </value>
          <value t="str">
            <val>1.80</val>
          </value>
          <value>
            <val>5.39</val>
          </value>
          <value t="str">
            <val>2.71</val>
          </value>
          <value t="str">
            <val>0.95</val>
          </value>
          <value t="str">
            <val>前鼎</val>
          </value>
          <value t="str">
            <val>上櫃通信網路</val>
          </value>
          <value t="str">
            <val>台灣光收發模組封裝及製造廠</val>
          </value>
        </values>
      </ddeItem>
      <ddeItem name="4908.TW-CName,InvestorConferenceDate,DateofMeetingofShareHolders,TradingDate" advise="1">
        <values cols="4">
          <value t="str">
            <val>前鼎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4908.TW-ID,Name,MarketValue,Capital,NetIncomeGrowthRate,OperIncomeGrowthRate,FinancialStatementsTime,TFXRatio,MonthlyNetSalesYoY,RevenueMonth" advise="1">
        <values cols="10">
          <value t="str">
            <val>4908</val>
          </value>
          <value t="str">
            <val>前鼎</val>
          </value>
          <value t="str">
            <val>26.1</val>
          </value>
          <value t="str">
            <val>7.82</val>
          </value>
          <value t="str">
            <val>839.90</val>
          </value>
          <value t="str">
            <val>678.95</val>
          </value>
          <value t="str">
            <val>2022/03</val>
          </value>
          <value t="str">
            <val>-23.59</val>
          </value>
          <value t="str">
            <val>-5.65</val>
          </value>
          <value t="str">
            <val>2022/06</val>
          </value>
        </values>
      </ddeItem>
      <ddeItem name="4908.TW-OperatingProfitRatio,Price,PriceChangeRatio,InOutRatioNumber,Value,YearReturn,MonthReturn,WeekReturn,FinanceBalanceDif,ChipsField2" advise="1">
        <values cols="10">
          <value t="str">
            <val>27.57</val>
          </value>
          <value>
            <val>33.4</val>
          </value>
          <value>
            <val>-1.47</val>
          </value>
          <value t="str">
            <val>37.25%</val>
          </value>
          <value t="str">
            <val>4709萬</val>
          </value>
          <value t="str">
            <val>+20.64</val>
          </value>
          <value t="str">
            <val>+4.70</val>
          </value>
          <value t="str">
            <val>+0.45</val>
          </value>
          <value>
            <val>17</val>
          </value>
          <value>
            <val>0</val>
          </value>
        </values>
      </ddeItem>
      <ddeItem name="49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--</val>
          </value>
          <value t="str">
            <val>0.00</val>
          </value>
          <value>
            <val>0</val>
          </value>
          <value t="str">
            <val>-0.98</val>
          </value>
          <value t="str">
            <val>0.11</val>
          </value>
          <value t="str">
            <val>新復興</val>
          </value>
          <value t="str">
            <val>上櫃通信網路</val>
          </value>
          <value t="str">
            <val>全球最大LNB用板製造商</val>
          </value>
        </values>
      </ddeItem>
      <ddeItem name="4909.TW-CName,InvestorConferenceDate,DateofMeetingofShareHolders,TradingDate" advise="1">
        <values cols="4">
          <value t="str">
            <val>新復興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4909.TW-ID,Name,MarketValue,Capital,NetIncomeGrowthRate,OperIncomeGrowthRate,FinancialStatementsTime,TFXRatio,MonthlyNetSalesYoY,RevenueMonth" advise="1">
        <values cols="10">
          <value t="str">
            <val>4909</val>
          </value>
          <value t="str">
            <val>新復興</val>
          </value>
          <value t="str">
            <val>15.7</val>
          </value>
          <value t="str">
            <val>9.34</val>
          </value>
          <value t="str">
            <val>163.30</val>
          </value>
          <value t="str">
            <val>-145.08</val>
          </value>
          <value t="str">
            <val>2022/03</val>
          </value>
          <value t="str">
            <val>1.73</val>
          </value>
          <value t="str">
            <val>-25.27</val>
          </value>
          <value t="str">
            <val>2022/06</val>
          </value>
        </values>
      </ddeItem>
      <ddeItem name="4909.TW-OperatingProfitRatio,Price,PriceChangeRatio,InOutRatioNumber,Value,YearReturn,MonthReturn,WeekReturn,FinanceBalanceDif,ChipsField2" advise="1">
        <values cols="10">
          <value t="str">
            <val>-29.12</val>
          </value>
          <value>
            <val>16.8</val>
          </value>
          <value>
            <val>-1.47</val>
          </value>
          <value t="str">
            <val>38.10%</val>
          </value>
          <value t="str">
            <val>229萬</val>
          </value>
          <value t="str">
            <val>-30.09</val>
          </value>
          <value t="str">
            <val>+5.99</val>
          </value>
          <value t="str">
            <val>+0.60</val>
          </value>
          <value>
            <val>-12</val>
          </value>
          <value>
            <val>0</val>
          </value>
        </values>
      </ddeItem>
      <ddeItem name="49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30</val>
          </value>
          <value t="str">
            <val>--</val>
          </value>
          <value t="str">
            <val>0.00</val>
          </value>
          <value>
            <val>0</val>
          </value>
          <value t="str">
            <val>-0.39</val>
          </value>
          <value t="str">
            <val>-0.09</val>
          </value>
          <value t="str">
            <val>德英</val>
          </value>
          <value t="str">
            <val>上櫃生技醫療</val>
          </value>
          <value t="str">
            <val>抗癌植物新藥研發公司</val>
          </value>
        </values>
      </ddeItem>
      <ddeItem name="4911.TW-CName,InvestorConferenceDate,DateofMeetingofShareHolders,TradingDate" advise="1">
        <values cols="4">
          <value t="str">
            <val>德英</val>
          </value>
          <value t="str">
            <val>2021/11/29</val>
          </value>
          <value t="str">
            <val>2022/06/10</val>
          </value>
          <value t="str">
            <val>2022/08/01</val>
          </value>
        </values>
      </ddeItem>
      <ddeItem name="4911.TW-ID,Name,MarketValue,Capital,NetIncomeGrowthRate,OperIncomeGrowthRate,FinancialStatementsTime,TFXRatio,MonthlyNetSalesYoY,RevenueMonth" advise="1">
        <values cols="10">
          <value t="str">
            <val>4911</val>
          </value>
          <value t="str">
            <val>德英</val>
          </value>
          <value t="str">
            <val>33.7</val>
          </value>
          <value t="str">
            <val>5.57</val>
          </value>
          <value t="str">
            <val>-50.36</val>
          </value>
          <value t="str">
            <val>-34.73</val>
          </value>
          <value t="str">
            <val>2022/03</val>
          </value>
          <value t="str">
            <val>31.43</val>
          </value>
          <value t="str">
            <val>275.50</val>
          </value>
          <value t="str">
            <val>2022/06</val>
          </value>
        </values>
      </ddeItem>
      <ddeItem name="4911.TW-OperatingProfitRatio,Price,PriceChangeRatio,InOutRatioNumber,Value,YearReturn,MonthReturn,WeekReturn,FinanceBalanceDif,ChipsField2" advise="1">
        <values cols="10">
          <value t="str">
            <val>-69.62</val>
          </value>
          <value>
            <val>60.5</val>
          </value>
          <value>
            <val>10</val>
          </value>
          <value t="str">
            <val>88.63%</val>
          </value>
          <value t="str">
            <val>6364萬</val>
          </value>
          <value t="str">
            <val>+145.44</val>
          </value>
          <value t="str">
            <val>+17.70</val>
          </value>
          <value t="str">
            <val>+8.81</val>
          </value>
          <value>
            <val>0</val>
          </value>
          <value>
            <val>0</val>
          </value>
        </values>
      </ddeItem>
      <ddeItem name="49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16</val>
          </value>
          <value t="str">
            <val>2022/06/28</val>
          </value>
          <value t="str">
            <val>4.51</val>
          </value>
          <value>
            <val>7.48</val>
          </value>
          <value t="str">
            <val>7.36</val>
          </value>
          <value t="str">
            <val>2.30</val>
          </value>
          <value t="str">
            <val>力士</val>
          </value>
          <value t="str">
            <val>上櫃半導體</val>
          </value>
          <value t="str">
            <val>斐成轉投資的Power MOSFET廠</val>
          </value>
        </values>
      </ddeItem>
      <ddeItem name="4923.TW-CName,InvestorConferenceDate,DateofMeetingofShareHolders,TradingDate" advise="1">
        <values cols="4">
          <value t="str">
            <val>力士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4923.TW-ID,Name,MarketValue,Capital,NetIncomeGrowthRate,OperIncomeGrowthRate,FinancialStatementsTime,TFXRatio,MonthlyNetSalesYoY,RevenueMonth" advise="1">
        <values cols="10">
          <value t="str">
            <val>4923</val>
          </value>
          <value t="str">
            <val>力士</val>
          </value>
          <value t="str">
            <val>17.1</val>
          </value>
          <value t="str">
            <val>2.83</val>
          </value>
          <value t="str">
            <val>241.19</val>
          </value>
          <value t="str">
            <val>136.06</val>
          </value>
          <value t="str">
            <val>2022/03</val>
          </value>
          <value t="str">
            <val>-1.77</val>
          </value>
          <value t="str">
            <val>10.02</val>
          </value>
          <value t="str">
            <val>2022/06</val>
          </value>
        </values>
      </ddeItem>
      <ddeItem name="4923.TW-OperatingProfitRatio,Price,PriceChangeRatio,InOutRatioNumber,Value,YearReturn,MonthReturn,WeekReturn,FinanceBalanceDif,ChipsField2" advise="1">
        <values cols="10">
          <value t="str">
            <val>17.94</val>
          </value>
          <value>
            <val>60.3</val>
          </value>
          <value>
            <val>-2.11</val>
          </value>
          <value t="str">
            <val>30.56%</val>
          </value>
          <value t="str">
            <val>1359萬</val>
          </value>
          <value t="str">
            <val>--</val>
          </value>
          <value t="str">
            <val>+6.35</val>
          </value>
          <value t="str">
            <val>+2.03</val>
          </value>
          <value>
            <val>0</val>
          </value>
          <value>
            <val>0</val>
          </value>
        </values>
      </ddeItem>
      <ddeItem name="49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0.00</val>
          </value>
          <value>
            <val>0</val>
          </value>
          <value t="str">
            <val>1.08</val>
          </value>
          <value t="str">
            <val>0.34</val>
          </value>
          <value t="str">
            <val>欣厚-KY</val>
          </value>
          <value t="str">
            <val>上櫃電腦及週邊設備</val>
          </value>
          <value t="str">
            <val>馬來西亞鍵盤週邊及音響面板塑膠件生產企業</val>
          </value>
        </values>
      </ddeItem>
      <ddeItem name="4924.TW-CName,InvestorConferenceDate,DateofMeetingofShareHolders,TradingDate" advise="1">
        <values cols="4">
          <value t="str">
            <val>欣厚-KY</val>
          </value>
          <value t="str">
            <val>2021/12/30</val>
          </value>
          <value t="str">
            <val>2022/06/30</val>
          </value>
          <value t="str">
            <val>2022/08/01</val>
          </value>
        </values>
      </ddeItem>
      <ddeItem name="4924.TW-ID,Name,MarketValue,Capital,NetIncomeGrowthRate,OperIncomeGrowthRate,FinancialStatementsTime,TFXRatio,MonthlyNetSalesYoY,RevenueMonth" advise="1">
        <values cols="10">
          <value t="str">
            <val>4924</val>
          </value>
          <value t="str">
            <val>欣厚-KY</val>
          </value>
          <value t="str">
            <val>5.3</val>
          </value>
          <value t="str">
            <val>3.72</val>
          </value>
          <value t="str">
            <val>47.06</val>
          </value>
          <value t="str">
            <val>62.34</val>
          </value>
          <value t="str">
            <val>2022/03</val>
          </value>
          <value t="str">
            <val>46.94</val>
          </value>
          <value t="str">
            <val>54.01</val>
          </value>
          <value t="str">
            <val>2022/06</val>
          </value>
        </values>
      </ddeItem>
      <ddeItem name="4924.TW-OperatingProfitRatio,Price,PriceChangeRatio,InOutRatioNumber,Value,YearReturn,MonthReturn,WeekReturn,FinanceBalanceDif,ChipsField2" advise="1">
        <values cols="10">
          <value t="str">
            <val>6.56</val>
          </value>
          <value>
            <val>14.15</val>
          </value>
          <value>
            <val>0</val>
          </value>
          <value t="str">
            <val>75.00%</val>
          </value>
          <value t="str">
            <val>5.64萬</val>
          </value>
          <value t="str">
            <val>+1.07</val>
          </value>
          <value t="str">
            <val>+1.80</val>
          </value>
          <value t="str">
            <val>-0.35</val>
          </value>
          <value>
            <val>0</val>
          </value>
          <value>
            <val>0</val>
          </value>
        </values>
      </ddeItem>
      <ddeItem name="493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906</val>
          </value>
          <value t="str">
            <val>--</val>
          </value>
          <value t="str">
            <val>0.00</val>
          </value>
          <value>
            <val>0</val>
          </value>
          <value t="str">
            <val>-0.17</val>
          </value>
          <value t="str">
            <val>0.60</val>
          </value>
          <value t="str">
            <val>新盛力</val>
          </value>
          <value t="str">
            <val>上櫃電腦及週邊設備</val>
          </value>
          <value t="str">
            <val>台灣鋰電池模組之生產商</val>
          </value>
        </values>
      </ddeItem>
      <ddeItem name="4931.TW-CName,InvestorConferenceDate,DateofMeetingofShareHolders,TradingDate" advise="1">
        <values cols="4">
          <value t="str">
            <val>新盛力</val>
          </value>
          <value t="str">
            <val>--</val>
          </value>
          <value t="str">
            <val>2022/09/07</val>
          </value>
          <value t="str">
            <val>2022/08/01</val>
          </value>
        </values>
      </ddeItem>
      <ddeItem name="4931.TW-ID,Name,MarketValue,Capital,NetIncomeGrowthRate,OperIncomeGrowthRate,FinancialStatementsTime,TFXRatio,MonthlyNetSalesYoY,RevenueMonth" advise="1">
        <values cols="10">
          <value t="str">
            <val>4931</val>
          </value>
          <value t="str">
            <val>新盛力</val>
          </value>
          <value t="str">
            <val>22.7</val>
          </value>
          <value t="str">
            <val>6.40</val>
          </value>
          <value t="str">
            <val>324.38</val>
          </value>
          <value t="str">
            <val>151.43</val>
          </value>
          <value t="str">
            <val>2022/03</val>
          </value>
          <value t="str">
            <val>-14.38</val>
          </value>
          <value t="str">
            <val>43.19</val>
          </value>
          <value t="str">
            <val>2022/06</val>
          </value>
        </values>
      </ddeItem>
      <ddeItem name="4931.TW-OperatingProfitRatio,Price,PriceChangeRatio,InOutRatioNumber,Value,YearReturn,MonthReturn,WeekReturn,FinanceBalanceDif,ChipsField2" advise="1">
        <values cols="10">
          <value t="str">
            <val>4.22</val>
          </value>
          <value>
            <val>35.549999999999997</val>
          </value>
          <value>
            <val>5.65</val>
          </value>
          <value t="str">
            <val>54.39%</val>
          </value>
          <value t="str">
            <val>6.46億</val>
          </value>
          <value t="str">
            <val>+69.42</val>
          </value>
          <value t="str">
            <val>+1.72</val>
          </value>
          <value t="str">
            <val>+8.72</val>
          </value>
          <value>
            <val>133</val>
          </value>
          <value>
            <val>0</val>
          </value>
        </values>
      </ddeItem>
      <ddeItem name="49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2022/08/03</val>
          </value>
          <value t="str">
            <val>3.32</val>
          </value>
          <value>
            <val>9</val>
          </value>
          <value t="str">
            <val>3.89</val>
          </value>
          <value t="str">
            <val>1.10</val>
          </value>
          <value t="str">
            <val>友輝</val>
          </value>
          <value t="str">
            <val>上櫃光電</val>
          </value>
          <value t="str">
            <val>新纖轉投資的聚光片廠</val>
          </value>
        </values>
      </ddeItem>
      <ddeItem name="4933.TW-CName,InvestorConferenceDate,DateofMeetingofShareHolders,TradingDate" advise="1">
        <values cols="4">
          <value t="str">
            <val>友輝</val>
          </value>
          <value t="str">
            <val>--</val>
          </value>
          <value t="str">
            <val>2022/06/06</val>
          </value>
          <value t="str">
            <val>2022/08/01</val>
          </value>
        </values>
      </ddeItem>
      <ddeItem name="4933.TW-ID,Name,MarketValue,Capital,NetIncomeGrowthRate,OperIncomeGrowthRate,FinancialStatementsTime,TFXRatio,MonthlyNetSalesYoY,RevenueMonth" advise="1">
        <values cols="10">
          <value t="str">
            <val>4933</val>
          </value>
          <value t="str">
            <val>友輝</val>
          </value>
          <value t="str">
            <val>29.5</val>
          </value>
          <value t="str">
            <val>8.01</val>
          </value>
          <value t="str">
            <val>27.46</val>
          </value>
          <value t="str">
            <val>-7.65</val>
          </value>
          <value t="str">
            <val>2022/03</val>
          </value>
          <value t="str">
            <val>-9.39</val>
          </value>
          <value t="str">
            <val>-16.06</val>
          </value>
          <value t="str">
            <val>2022/06</val>
          </value>
        </values>
      </ddeItem>
      <ddeItem name="4933.TW-OperatingProfitRatio,Price,PriceChangeRatio,InOutRatioNumber,Value,YearReturn,MonthReturn,WeekReturn,FinanceBalanceDif,ChipsField2" advise="1">
        <values cols="10">
          <value t="str">
            <val>11.81</val>
          </value>
          <value>
            <val>36.9</val>
          </value>
          <value>
            <val>0.82</val>
          </value>
          <value t="str">
            <val>57.75%</val>
          </value>
          <value t="str">
            <val>262萬</val>
          </value>
          <value t="str">
            <val>-1.70</val>
          </value>
          <value t="str">
            <val>+6.49</val>
          </value>
          <value t="str">
            <val>+5.28</val>
          </value>
          <value>
            <val>-4</val>
          </value>
          <value>
            <val>0</val>
          </value>
        </values>
      </ddeItem>
      <ddeItem name="493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2022/06/02</val>
          </value>
          <value t="str">
            <val>1.40</val>
          </value>
          <value>
            <val>8.16</val>
          </value>
          <value t="str">
            <val>1.78</val>
          </value>
          <value t="str">
            <val>0.41</val>
          </value>
          <value t="str">
            <val>亞電</val>
          </value>
          <value t="str">
            <val>上櫃電子零組件</val>
          </value>
          <value t="str">
            <val>台灣第二大FCCL廠商</val>
          </value>
        </values>
      </ddeItem>
      <ddeItem name="4939.TW-CName,InvestorConferenceDate,DateofMeetingofShareHolders,TradingDate" advise="1">
        <values cols="4">
          <value t="str">
            <val>亞電</val>
          </value>
          <value t="str">
            <val>--</val>
          </value>
          <value t="str">
            <val>2022/05/17</val>
          </value>
          <value t="str">
            <val>2022/08/01</val>
          </value>
        </values>
      </ddeItem>
      <ddeItem name="4939.TW-ID,Name,MarketValue,Capital,NetIncomeGrowthRate,OperIncomeGrowthRate,FinancialStatementsTime,TFXRatio,MonthlyNetSalesYoY,RevenueMonth" advise="1">
        <values cols="10">
          <value t="str">
            <val>4939</val>
          </value>
          <value t="str">
            <val>亞電</val>
          </value>
          <value t="str">
            <val>16.8</val>
          </value>
          <value t="str">
            <val>9.82</val>
          </value>
          <value t="str">
            <val>3.07</val>
          </value>
          <value t="str">
            <val>-38.62</val>
          </value>
          <value t="str">
            <val>2022/03</val>
          </value>
          <value t="str">
            <val>-19.73</val>
          </value>
          <value t="str">
            <val>-31.88</val>
          </value>
          <value t="str">
            <val>2022/06</val>
          </value>
        </values>
      </ddeItem>
      <ddeItem name="4939.TW-OperatingProfitRatio,Price,PriceChangeRatio,InOutRatioNumber,Value,YearReturn,MonthReturn,WeekReturn,FinanceBalanceDif,ChipsField2" advise="1">
        <values cols="10">
          <value t="str">
            <val>9.20</val>
          </value>
          <value>
            <val>17.149999999999999</val>
          </value>
          <value>
            <val>0</val>
          </value>
          <value t="str">
            <val>32.32%</val>
          </value>
          <value t="str">
            <val>169萬</val>
          </value>
          <value t="str">
            <val>-24.94</val>
          </value>
          <value t="str">
            <val>+1.18</val>
          </value>
          <value t="str">
            <val>-2.56</val>
          </value>
          <value>
            <val>-38</val>
          </value>
          <value>
            <val>0</val>
          </value>
        </values>
      </ddeItem>
      <ddeItem name="49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-3.60</val>
          </value>
          <value t="str">
            <val>-0.44</val>
          </value>
          <value t="str">
            <val>兆遠</val>
          </value>
          <value t="str">
            <val>上櫃光電</val>
          </value>
          <value t="str">
            <val>台灣LED藍寶石基板大廠</val>
          </value>
        </values>
      </ddeItem>
      <ddeItem name="4944.TW-CName,InvestorConferenceDate,DateofMeetingofShareHolders,TradingDate" advise="1">
        <values cols="4">
          <value t="str">
            <val>兆遠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4944.TW-ID,Name,MarketValue,Capital,NetIncomeGrowthRate,OperIncomeGrowthRate,FinancialStatementsTime,TFXRatio,MonthlyNetSalesYoY,RevenueMonth" advise="1">
        <values cols="10">
          <value t="str">
            <val>4944</val>
          </value>
          <value t="str">
            <val>兆遠</val>
          </value>
          <value t="str">
            <val>7.8</val>
          </value>
          <value t="str">
            <val>8.79</val>
          </value>
          <value t="str">
            <val>-0.71</val>
          </value>
          <value t="str">
            <val>1.06</val>
          </value>
          <value t="str">
            <val>2022/03</val>
          </value>
          <value t="str">
            <val>-45.55</val>
          </value>
          <value t="str">
            <val>-49.78</val>
          </value>
          <value t="str">
            <val>2022/06</val>
          </value>
        </values>
      </ddeItem>
      <ddeItem name="4944.TW-OperatingProfitRatio,Price,PriceChangeRatio,InOutRatioNumber,Value,YearReturn,MonthReturn,WeekReturn,FinanceBalanceDif,ChipsField2" advise="1">
        <values cols="10">
          <value t="str">
            <val>-35.10</val>
          </value>
          <value>
            <val>8.8800000000000008</val>
          </value>
          <value>
            <val>-1.33</val>
          </value>
          <value t="str">
            <val>75.00%</val>
          </value>
          <value t="str">
            <val>38.0萬</val>
          </value>
          <value t="str">
            <val>-69.90</val>
          </value>
          <value t="str">
            <val>-4.00</val>
          </value>
          <value t="str">
            <val>-2.42</val>
          </value>
          <value>
            <val>0</val>
          </value>
          <value>
            <val>0</val>
          </value>
        </values>
      </ddeItem>
      <ddeItem name="4945.TW-ChipsField3,ChipsField1,ChipsField25,CashAndStockDividend,CashDividendYieldRate,ProfitFourSeason,ProfitSingle,CName,ExchangeIndustry,CompanyPos" advise="1">
        <values cols="10">
          <value>
            <val>-45</val>
          </value>
          <value>
            <val>-34</val>
          </value>
          <value t="str">
            <val>2022/06/14</val>
          </value>
          <value t="str">
            <val>3.20</val>
          </value>
          <value>
            <val>4.46</val>
          </value>
          <value t="str">
            <val>4.16</val>
          </value>
          <value t="str">
            <val>1.60</val>
          </value>
          <value t="str">
            <val>陞達科技</val>
          </value>
          <value t="str">
            <val>上櫃半導體</val>
          </value>
          <value t="str">
            <val>台灣風扇馬達驅動控制IC設計公司</val>
          </value>
        </values>
      </ddeItem>
      <ddeItem name="4945.TW-CName,InvestorConferenceDate,DateofMeetingofShareHolders,TradingDate" advise="1">
        <values cols="4">
          <value t="str">
            <val>陞達科技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4945.TW-ID,Name,MarketValue,Capital,NetIncomeGrowthRate,OperIncomeGrowthRate,FinancialStatementsTime,TFXRatio,MonthlyNetSalesYoY,RevenueMonth" advise="1">
        <values cols="10">
          <value t="str">
            <val>4945</val>
          </value>
          <value t="str">
            <val>陞達科技</val>
          </value>
          <value t="str">
            <val>21.5</val>
          </value>
          <value t="str">
            <val>3.00</val>
          </value>
          <value t="str">
            <val>69.32</val>
          </value>
          <value t="str">
            <val>31.79</val>
          </value>
          <value t="str">
            <val>2022/03</val>
          </value>
          <value t="str">
            <val>-22.92</val>
          </value>
          <value t="str">
            <val>12.38</val>
          </value>
          <value t="str">
            <val>2022/06</val>
          </value>
        </values>
      </ddeItem>
      <ddeItem name="4945.TW-OperatingProfitRatio,Price,PriceChangeRatio,InOutRatioNumber,Value,YearReturn,MonthReturn,WeekReturn,FinanceBalanceDif,ChipsField2" advise="1">
        <values cols="10">
          <value t="str">
            <val>25.44</val>
          </value>
          <value>
            <val>71.7</val>
          </value>
          <value>
            <val>0</val>
          </value>
          <value t="str">
            <val>17.67%</val>
          </value>
          <value t="str">
            <val>2001萬</val>
          </value>
          <value t="str">
            <val>+0.20</val>
          </value>
          <value t="str">
            <val>+19.90</val>
          </value>
          <value t="str">
            <val>+12.91</val>
          </value>
          <value>
            <val>-62</val>
          </value>
          <value>
            <val>0</val>
          </value>
        </values>
      </ddeItem>
      <ddeItem name="49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</val>
          </value>
          <value t="str">
            <val>--</val>
          </value>
          <value t="str">
            <val>0.00</val>
          </value>
          <value>
            <val>0</val>
          </value>
          <value t="str">
            <val>-1.13</val>
          </value>
          <value t="str">
            <val>-1.59</val>
          </value>
          <value t="str">
            <val>辣椒</val>
          </value>
          <value t="str">
            <val>上櫃文化創意</val>
          </value>
          <value t="str">
            <val>台灣知名休閒遊戲運營商</val>
          </value>
        </values>
      </ddeItem>
      <ddeItem name="4946.TW-CName,InvestorConferenceDate,DateofMeetingofShareHolders,TradingDate" advise="1">
        <values cols="4">
          <value t="str">
            <val>辣椒</val>
          </value>
          <value t="str">
            <val>2021/12/29</val>
          </value>
          <value t="str">
            <val>2022/06/23</val>
          </value>
          <value t="str">
            <val>2022/08/01</val>
          </value>
        </values>
      </ddeItem>
      <ddeItem name="4946.TW-ID,Name,MarketValue,Capital,NetIncomeGrowthRate,OperIncomeGrowthRate,FinancialStatementsTime,TFXRatio,MonthlyNetSalesYoY,RevenueMonth" advise="1">
        <values cols="10">
          <value t="str">
            <val>4946</val>
          </value>
          <value t="str">
            <val>辣椒</val>
          </value>
          <value t="str">
            <val>7.2</val>
          </value>
          <value t="str">
            <val>1.40</val>
          </value>
          <value t="str">
            <val>-222.59</val>
          </value>
          <value t="str">
            <val>-12.81</val>
          </value>
          <value t="str">
            <val>2022/03</val>
          </value>
          <value t="str">
            <val>-47.97</val>
          </value>
          <value t="str">
            <val>83.83</val>
          </value>
          <value t="str">
            <val>2022/06</val>
          </value>
        </values>
      </ddeItem>
      <ddeItem name="4946.TW-OperatingProfitRatio,Price,PriceChangeRatio,InOutRatioNumber,Value,YearReturn,MonthReturn,WeekReturn,FinanceBalanceDif,ChipsField2" advise="1">
        <values cols="10">
          <value t="str">
            <val>-65.89</val>
          </value>
          <value>
            <val>51.2</val>
          </value>
          <value>
            <val>-1.92</val>
          </value>
          <value t="str">
            <val>13.79%</val>
          </value>
          <value t="str">
            <val>149萬</val>
          </value>
          <value t="str">
            <val>+46.92</val>
          </value>
          <value t="str">
            <val>-15.65</val>
          </value>
          <value t="str">
            <val>-1.16</val>
          </value>
          <value>
            <val>0</val>
          </value>
          <value>
            <val>0</val>
          </value>
        </values>
      </ddeItem>
      <ddeItem name="49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--</val>
          </value>
          <value t="str">
            <val>0.00</val>
          </value>
          <value>
            <val>0</val>
          </value>
          <value t="str">
            <val>0.91</val>
          </value>
          <value t="str">
            <val>0.04</val>
          </value>
          <value t="str">
            <val>牧東</val>
          </value>
          <value t="str">
            <val>上櫃其他</val>
          </value>
          <value t="str">
            <val>轉型為廚房用不鏽鋼刀具生產廠商</val>
          </value>
        </values>
      </ddeItem>
      <ddeItem name="4950.TW-CName,InvestorConferenceDate,DateofMeetingofShareHolders,TradingDate" advise="1">
        <values cols="4">
          <value t="str">
            <val>牧東</val>
          </value>
          <value t="str">
            <val>2021/06/09</val>
          </value>
          <value t="str">
            <val>2022/11/10</val>
          </value>
          <value t="str">
            <val>2022/08/01</val>
          </value>
        </values>
      </ddeItem>
      <ddeItem name="4950.TW-ID,Name,MarketValue,Capital,NetIncomeGrowthRate,OperIncomeGrowthRate,FinancialStatementsTime,TFXRatio,MonthlyNetSalesYoY,RevenueMonth" advise="1">
        <values cols="10">
          <value t="str">
            <val>4950</val>
          </value>
          <value t="str">
            <val>牧東</val>
          </value>
          <value t="str">
            <val>11.5</val>
          </value>
          <value t="str">
            <val>4.68</val>
          </value>
          <value t="str">
            <val>109.77</val>
          </value>
          <value t="str">
            <val>41.08</val>
          </value>
          <value t="str">
            <val>2022/03</val>
          </value>
          <value t="str">
            <val>-55.09</val>
          </value>
          <value t="str">
            <val>-85.26</val>
          </value>
          <value t="str">
            <val>2022/06</val>
          </value>
        </values>
      </ddeItem>
      <ddeItem name="4950.TW-OperatingProfitRatio,Price,PriceChangeRatio,InOutRatioNumber,Value,YearReturn,MonthReturn,WeekReturn,FinanceBalanceDif,ChipsField2" advise="1">
        <values cols="10">
          <value t="str">
            <val>-22.72</val>
          </value>
          <value>
            <val>24.7</val>
          </value>
          <value>
            <val>3.13</val>
          </value>
          <value t="str">
            <val>69.74%</val>
          </value>
          <value t="str">
            <val>1943萬</val>
          </value>
          <value t="str">
            <val>+31.73</val>
          </value>
          <value t="str">
            <val>-8.52</val>
          </value>
          <value t="str">
            <val>+1.44</val>
          </value>
          <value>
            <val>0</val>
          </value>
          <value>
            <val>0</val>
          </value>
        </values>
      </ddeItem>
      <ddeItem name="4953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24</val>
          </value>
          <value t="str">
            <val>2022/07/19</val>
          </value>
          <value t="str">
            <val>4.59</val>
          </value>
          <value>
            <val>5.85</val>
          </value>
          <value t="str">
            <val>6.93</val>
          </value>
          <value t="str">
            <val>1.66</val>
          </value>
          <value t="str">
            <val>緯軟</val>
          </value>
          <value t="str">
            <val>上櫃資訊服務</val>
          </value>
          <value t="str">
            <val>緯創集團旗下台灣最大資訊委外服務廠商</val>
          </value>
        </values>
      </ddeItem>
      <ddeItem name="4953.TW-CName,InvestorConferenceDate,DateofMeetingofShareHolders,TradingDate" advise="1">
        <values cols="4">
          <value t="str">
            <val>緯軟</val>
          </value>
          <value t="str">
            <val>2022/02/14</val>
          </value>
          <value t="str">
            <val>2022/05/26</val>
          </value>
          <value t="str">
            <val>2022/08/01</val>
          </value>
        </values>
      </ddeItem>
      <ddeItem name="4953.TW-ID,Name,MarketValue,Capital,NetIncomeGrowthRate,OperIncomeGrowthRate,FinancialStatementsTime,TFXRatio,MonthlyNetSalesYoY,RevenueMonth" advise="1">
        <values cols="10">
          <value t="str">
            <val>4953</val>
          </value>
          <value t="str">
            <val>緯軟</val>
          </value>
          <value t="str">
            <val>52.5</val>
          </value>
          <value t="str">
            <val>6.69</val>
          </value>
          <value t="str">
            <val>1.69</val>
          </value>
          <value t="str">
            <val>4.80</val>
          </value>
          <value t="str">
            <val>2022/03</val>
          </value>
          <value t="str">
            <val>2.66</val>
          </value>
          <value t="str">
            <val>31.59</val>
          </value>
          <value t="str">
            <val>2022/06</val>
          </value>
        </values>
      </ddeItem>
      <ddeItem name="4953.TW-OperatingProfitRatio,Price,PriceChangeRatio,InOutRatioNumber,Value,YearReturn,MonthReturn,WeekReturn,FinanceBalanceDif,ChipsField2" advise="1">
        <values cols="10">
          <value t="str">
            <val>6.73</val>
          </value>
          <value>
            <val>78.400000000000006</val>
          </value>
          <value>
            <val>0.38</val>
          </value>
          <value t="str">
            <val>25.61%</val>
          </value>
          <value t="str">
            <val>647萬</val>
          </value>
          <value t="str">
            <val>-11.69</val>
          </value>
          <value t="str">
            <val>+15.22</val>
          </value>
          <value t="str">
            <val>+1.82</val>
          </value>
          <value>
            <val>16</val>
          </value>
          <value>
            <val>0</val>
          </value>
        </values>
      </ddeItem>
      <ddeItem name="4966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-34</val>
          </value>
          <value t="str">
            <val>2022/08/23</val>
          </value>
          <value t="str">
            <val>18.23</val>
          </value>
          <value>
            <val>2.97</val>
          </value>
          <value t="str">
            <val>74.12</val>
          </value>
          <value t="str">
            <val>20.91</val>
          </value>
          <value t="str">
            <val>譜瑞-KY</val>
          </value>
          <value t="str">
            <val>上櫃半導體</val>
          </value>
          <value t="str">
            <val>專攻高速訊號傳輸介面及顯示晶片廠商</val>
          </value>
        </values>
      </ddeItem>
      <ddeItem name="4966.TW-CName,InvestorConferenceDate,DateofMeetingofShareHolders,TradingDate" advise="1">
        <values cols="4">
          <value t="str">
            <val>譜瑞-KY</val>
          </value>
          <value t="str">
            <val>2022/08/03</val>
          </value>
          <value t="str">
            <val>2022/06/15</val>
          </value>
          <value t="str">
            <val>2022/08/01</val>
          </value>
        </values>
      </ddeItem>
      <ddeItem name="4966.TW-ID,Name,MarketValue,Capital,NetIncomeGrowthRate,OperIncomeGrowthRate,FinancialStatementsTime,TFXRatio,MonthlyNetSalesYoY,RevenueMonth" advise="1">
        <values cols="10">
          <value t="str">
            <val>4966</val>
          </value>
          <value t="str">
            <val>譜瑞-KY</val>
          </value>
          <value t="str">
            <val>889.0</val>
          </value>
          <value t="str">
            <val>8.12</val>
          </value>
          <value t="str">
            <val>60.27</val>
          </value>
          <value t="str">
            <val>61.61</val>
          </value>
          <value t="str">
            <val>2022/03</val>
          </value>
          <value t="str">
            <val>0.45</val>
          </value>
          <value t="str">
            <val>42.65</val>
          </value>
          <value t="str">
            <val>2022/06</val>
          </value>
        </values>
      </ddeItem>
      <ddeItem name="4966.TW-OperatingProfitRatio,Price,PriceChangeRatio,InOutRatioNumber,Value,YearReturn,MonthReturn,WeekReturn,FinanceBalanceDif,ChipsField2" advise="1">
        <values cols="10">
          <value t="str">
            <val>30.79</val>
          </value>
          <value>
            <val>1095</val>
          </value>
          <value>
            <val>-2.67</val>
          </value>
          <value t="str">
            <val>54.99%</val>
          </value>
          <value t="str">
            <val>10.9億</val>
          </value>
          <value t="str">
            <val>-34.98</val>
          </value>
          <value t="str">
            <val>+1.39</val>
          </value>
          <value t="str">
            <val>-3.52</val>
          </value>
          <value>
            <val>3</val>
          </value>
          <value>
            <val>1</val>
          </value>
        </values>
      </ddeItem>
      <ddeItem name="49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2022/07/28</val>
          </value>
          <value t="str">
            <val>1.50</val>
          </value>
          <value>
            <val>2.16</val>
          </value>
          <value t="str">
            <val>3.56</val>
          </value>
          <value t="str">
            <val>1.16</val>
          </value>
          <value t="str">
            <val>IET-KY</val>
          </value>
          <value t="str">
            <val>上櫃半導體</val>
          </value>
          <value t="str">
            <val>以MBE技術製造III-V族磊晶廠</val>
          </value>
        </values>
      </ddeItem>
      <ddeItem name="4971.TW-CName,InvestorConferenceDate,DateofMeetingofShareHolders,TradingDate" advise="1">
        <values cols="4">
          <value t="str">
            <val>IET-KY</val>
          </value>
          <value t="str">
            <val>2022/06/23</val>
          </value>
          <value t="str">
            <val>2022/06/29</val>
          </value>
          <value t="str">
            <val>2022/08/01</val>
          </value>
        </values>
      </ddeItem>
      <ddeItem name="4971.TW-ID,Name,MarketValue,Capital,NetIncomeGrowthRate,OperIncomeGrowthRate,FinancialStatementsTime,TFXRatio,MonthlyNetSalesYoY,RevenueMonth" advise="1">
        <values cols="10">
          <value t="str">
            <val>4971</val>
          </value>
          <value t="str">
            <val>IET-KY</val>
          </value>
          <value t="str">
            <val>25.4</val>
          </value>
          <value t="str">
            <val>3.65</val>
          </value>
          <value t="str">
            <val>2090.17</val>
          </value>
          <value t="str">
            <val>2188.41</val>
          </value>
          <value t="str">
            <val>2022/03</val>
          </value>
          <value t="str">
            <val>-3.71</val>
          </value>
          <value t="str">
            <val>20.69</val>
          </value>
          <value t="str">
            <val>2022/06</val>
          </value>
        </values>
      </ddeItem>
      <ddeItem name="4971.TW-OperatingProfitRatio,Price,PriceChangeRatio,InOutRatioNumber,Value,YearReturn,MonthReturn,WeekReturn,FinanceBalanceDif,ChipsField2" advise="1">
        <values cols="10">
          <value t="str">
            <val>24.07</val>
          </value>
          <value>
            <val>69.5</val>
          </value>
          <value>
            <val>-0.28999999999999998</val>
          </value>
          <value t="str">
            <val>71.74%</val>
          </value>
          <value t="str">
            <val>321萬</val>
          </value>
          <value t="str">
            <val>+25.05</val>
          </value>
          <value t="str">
            <val>+6.97</val>
          </value>
          <value t="str">
            <val>-1.35</val>
          </value>
          <value>
            <val>7</val>
          </value>
          <value>
            <val>0</val>
          </value>
        </values>
      </ddeItem>
      <ddeItem name="49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2022/06/15</val>
          </value>
          <value t="str">
            <val>2.10</val>
          </value>
          <value>
            <val>6.91</val>
          </value>
          <value t="str">
            <val>2.81</val>
          </value>
          <value t="str">
            <val>0.33</val>
          </value>
          <value t="str">
            <val>湯石照明</val>
          </value>
          <value t="str">
            <val>上櫃光電</val>
          </value>
          <value t="str">
            <val>以自有品牌行銷歐美之LED燈具商</val>
          </value>
        </values>
      </ddeItem>
      <ddeItem name="4972.TW-CName,InvestorConferenceDate,DateofMeetingofShareHolders,TradingDate" advise="1">
        <values cols="4">
          <value t="str">
            <val>湯石照明</val>
          </value>
          <value t="str">
            <val>2022/03/08</val>
          </value>
          <value t="str">
            <val>2022/05/26</val>
          </value>
          <value t="str">
            <val>2022/08/01</val>
          </value>
        </values>
      </ddeItem>
      <ddeItem name="4972.TW-ID,Name,MarketValue,Capital,NetIncomeGrowthRate,OperIncomeGrowthRate,FinancialStatementsTime,TFXRatio,MonthlyNetSalesYoY,RevenueMonth" advise="1">
        <values cols="10">
          <value t="str">
            <val>4972</val>
          </value>
          <value t="str">
            <val>湯石照明</val>
          </value>
          <value t="str">
            <val>12.0</val>
          </value>
          <value t="str">
            <val>3.94</val>
          </value>
          <value t="str">
            <val>140.36</val>
          </value>
          <value t="str">
            <val>19.97</val>
          </value>
          <value t="str">
            <val>2022/06</val>
          </value>
          <value t="str">
            <val>-1.97</val>
          </value>
          <value t="str">
            <val>9.96</val>
          </value>
          <value t="str">
            <val>2022/06</val>
          </value>
        </values>
      </ddeItem>
      <ddeItem name="4972.TW-OperatingProfitRatio,Price,PriceChangeRatio,InOutRatioNumber,Value,YearReturn,MonthReturn,WeekReturn,FinanceBalanceDif,ChipsField2" advise="1">
        <values cols="10">
          <value t="str">
            <val>9.77</val>
          </value>
          <value>
            <val>30.4</val>
          </value>
          <value>
            <val>-0.16</val>
          </value>
          <value t="str">
            <val>42.86%</val>
          </value>
          <value t="str">
            <val>45.6萬</val>
          </value>
          <value t="str">
            <val>+3.51</val>
          </value>
          <value t="str">
            <val>+3.05</val>
          </value>
          <value t="str">
            <val>+0.33</val>
          </value>
          <value>
            <val>0</val>
          </value>
          <value>
            <val>0</val>
          </value>
        </values>
      </ddeItem>
      <ddeItem name="497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2022/04/14</val>
          </value>
          <value t="str">
            <val>1.00</val>
          </value>
          <value>
            <val>5.12</val>
          </value>
          <value t="str">
            <val>0.39</val>
          </value>
          <value t="str">
            <val>0.26</val>
          </value>
          <value t="str">
            <val>廣穎</val>
          </value>
          <value t="str">
            <val>上櫃半導體</val>
          </value>
          <value t="str">
            <val>兆豐及矽創轉投資之記憶體產品廠</val>
          </value>
        </values>
      </ddeItem>
      <ddeItem name="4973.TW-CName,InvestorConferenceDate,DateofMeetingofShareHolders,TradingDate" advise="1">
        <values cols="4">
          <value t="str">
            <val>廣穎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4973.TW-ID,Name,MarketValue,Capital,NetIncomeGrowthRate,OperIncomeGrowthRate,FinancialStatementsTime,TFXRatio,MonthlyNetSalesYoY,RevenueMonth" advise="1">
        <values cols="10">
          <value t="str">
            <val>4973</val>
          </value>
          <value t="str">
            <val>廣穎</val>
          </value>
          <value t="str">
            <val>12.4</val>
          </value>
          <value t="str">
            <val>6.35</val>
          </value>
          <value t="str">
            <val>17.60</val>
          </value>
          <value t="str">
            <val>-67.31</val>
          </value>
          <value t="str">
            <val>2022/03</val>
          </value>
          <value t="str">
            <val>2.29</val>
          </value>
          <value t="str">
            <val>-13.29</val>
          </value>
          <value t="str">
            <val>2022/06</val>
          </value>
        </values>
      </ddeItem>
      <ddeItem name="4973.TW-OperatingProfitRatio,Price,PriceChangeRatio,InOutRatioNumber,Value,YearReturn,MonthReturn,WeekReturn,FinanceBalanceDif,ChipsField2" advise="1">
        <values cols="10">
          <value t="str">
            <val>0.89</val>
          </value>
          <value>
            <val>19.55</val>
          </value>
          <value>
            <val>-0.26</val>
          </value>
          <value t="str">
            <val>14.63%</val>
          </value>
          <value t="str">
            <val>85.5萬</val>
          </value>
          <value t="str">
            <val>-25.99</val>
          </value>
          <value t="str">
            <val>+2.89</val>
          </value>
          <value t="str">
            <val>+0.51</val>
          </value>
          <value>
            <val>0</val>
          </value>
          <value>
            <val>0</val>
          </value>
        </values>
      </ddeItem>
      <ddeItem name="49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</val>
          </value>
          <value t="str">
            <val>2022/06/21</val>
          </value>
          <value t="str">
            <val>4.30</val>
          </value>
          <value>
            <val>7.76</val>
          </value>
          <value t="str">
            <val>6.32</val>
          </value>
          <value t="str">
            <val>1.73</val>
          </value>
          <value t="str">
            <val>亞泰</val>
          </value>
          <value t="str">
            <val>上櫃電子零組件</val>
          </value>
          <value t="str">
            <val>全球前三大接觸式CIS影像感測器業者</val>
          </value>
        </values>
      </ddeItem>
      <ddeItem name="4974.TW-CName,InvestorConferenceDate,DateofMeetingofShareHolders,TradingDate" advise="1">
        <values cols="4">
          <value t="str">
            <val>亞泰</val>
          </value>
          <value t="str">
            <val>2022/02/10</val>
          </value>
          <value t="str">
            <val>2022/05/27</val>
          </value>
          <value t="str">
            <val>2022/08/01</val>
          </value>
        </values>
      </ddeItem>
      <ddeItem name="4974.TW-ID,Name,MarketValue,Capital,NetIncomeGrowthRate,OperIncomeGrowthRate,FinancialStatementsTime,TFXRatio,MonthlyNetSalesYoY,RevenueMonth" advise="1">
        <values cols="10">
          <value t="str">
            <val>4974</val>
          </value>
          <value t="str">
            <val>亞泰</val>
          </value>
          <value t="str">
            <val>40.2</val>
          </value>
          <value t="str">
            <val>7.25</val>
          </value>
          <value t="str">
            <val>34.86</val>
          </value>
          <value t="str">
            <val>-7.29</val>
          </value>
          <value t="str">
            <val>2022/03</val>
          </value>
          <value t="str">
            <val>0.64</val>
          </value>
          <value t="str">
            <val>-2.48</val>
          </value>
          <value t="str">
            <val>2022/06</val>
          </value>
        </values>
      </ddeItem>
      <ddeItem name="4974.TW-OperatingProfitRatio,Price,PriceChangeRatio,InOutRatioNumber,Value,YearReturn,MonthReturn,WeekReturn,FinanceBalanceDif,ChipsField2" advise="1">
        <values cols="10">
          <value t="str">
            <val>10.31</val>
          </value>
          <value>
            <val>55.4</val>
          </value>
          <value>
            <val>5.93</val>
          </value>
          <value t="str">
            <val>46.61%</val>
          </value>
          <value t="str">
            <val>7986萬</val>
          </value>
          <value t="str">
            <val>+7.98</val>
          </value>
          <value t="str">
            <val>+10.58</val>
          </value>
          <value t="str">
            <val>+6.74</val>
          </value>
          <value>
            <val>5</val>
          </value>
          <value>
            <val>0</val>
          </value>
        </values>
      </ddeItem>
      <ddeItem name="497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314</val>
          </value>
          <value t="str">
            <val>--</val>
          </value>
          <value t="str">
            <val>0.00</val>
          </value>
          <value>
            <val>0</val>
          </value>
          <value t="str">
            <val>-1.63</val>
          </value>
          <value t="str">
            <val>-0.01</val>
          </value>
          <value t="str">
            <val>華星光</val>
          </value>
          <value t="str">
            <val>上櫃通信網路</val>
          </value>
          <value t="str">
            <val>台灣光收發模組一貫廠</val>
          </value>
        </values>
      </ddeItem>
      <ddeItem name="4979.TW-CName,InvestorConferenceDate,DateofMeetingofShareHolders,TradingDate" advise="1">
        <values cols="4">
          <value t="str">
            <val>華星光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4979.TW-ID,Name,MarketValue,Capital,NetIncomeGrowthRate,OperIncomeGrowthRate,FinancialStatementsTime,TFXRatio,MonthlyNetSalesYoY,RevenueMonth" advise="1">
        <values cols="10">
          <value t="str">
            <val>4979</val>
          </value>
          <value t="str">
            <val>華星光</val>
          </value>
          <value t="str">
            <val>38.4</val>
          </value>
          <value t="str">
            <val>13.24</val>
          </value>
          <value t="str">
            <val>97.56</val>
          </value>
          <value t="str">
            <val>94.05</val>
          </value>
          <value t="str">
            <val>2022/03</val>
          </value>
          <value t="str">
            <val>9.36</val>
          </value>
          <value t="str">
            <val>41.25</val>
          </value>
          <value t="str">
            <val>2022/06</val>
          </value>
        </values>
      </ddeItem>
      <ddeItem name="4979.TW-OperatingProfitRatio,Price,PriceChangeRatio,InOutRatioNumber,Value,YearReturn,MonthReturn,WeekReturn,FinanceBalanceDif,ChipsField2" advise="1">
        <values cols="10">
          <value t="str">
            <val>-2.26</val>
          </value>
          <value>
            <val>29</val>
          </value>
          <value>
            <val>-3.49</val>
          </value>
          <value t="str">
            <val>33.57%</val>
          </value>
          <value t="str">
            <val>6209萬</val>
          </value>
          <value t="str">
            <val>+51.83</val>
          </value>
          <value t="str">
            <val>+23.40</val>
          </value>
          <value t="str">
            <val>-4.61</val>
          </value>
          <value>
            <val>-23</val>
          </value>
          <value>
            <val>0</val>
          </value>
        </values>
      </ddeItem>
      <ddeItem name="49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2022/08/08</val>
          </value>
          <value t="str">
            <val>4.00</val>
          </value>
          <value>
            <val>6.8</val>
          </value>
          <value t="str">
            <val>5.72</val>
          </value>
          <value t="str">
            <val>1.84</val>
          </value>
          <value t="str">
            <val>科誠</val>
          </value>
          <value t="str">
            <val>上櫃電腦及週邊設備</val>
          </value>
          <value t="str">
            <val>台灣第二大條碼標籤印製機製造商</val>
          </value>
        </values>
      </ddeItem>
      <ddeItem name="4987.TW-CName,InvestorConferenceDate,DateofMeetingofShareHolders,TradingDate" advise="1">
        <values cols="4">
          <value t="str">
            <val>科誠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4987.TW-ID,Name,MarketValue,Capital,NetIncomeGrowthRate,OperIncomeGrowthRate,FinancialStatementsTime,TFXRatio,MonthlyNetSalesYoY,RevenueMonth" advise="1">
        <values cols="10">
          <value t="str">
            <val>4987</val>
          </value>
          <value t="str">
            <val>科誠</val>
          </value>
          <value t="str">
            <val>17.0</val>
          </value>
          <value t="str">
            <val>2.90</val>
          </value>
          <value t="str">
            <val>102.74</val>
          </value>
          <value t="str">
            <val>62.15</val>
          </value>
          <value t="str">
            <val>2022/03</val>
          </value>
          <value t="str">
            <val>-6.74</val>
          </value>
          <value t="str">
            <val>2.82</val>
          </value>
          <value t="str">
            <val>2022/06</val>
          </value>
        </values>
      </ddeItem>
      <ddeItem name="4987.TW-OperatingProfitRatio,Price,PriceChangeRatio,InOutRatioNumber,Value,YearReturn,MonthReturn,WeekReturn,FinanceBalanceDif,ChipsField2" advise="1">
        <values cols="10">
          <value t="str">
            <val>16.41</val>
          </value>
          <value>
            <val>58.8</val>
          </value>
          <value>
            <val>0.17</val>
          </value>
          <value t="str">
            <val>17.14%</val>
          </value>
          <value t="str">
            <val>411萬</val>
          </value>
          <value t="str">
            <val>+21.11</val>
          </value>
          <value t="str">
            <val>-1.01</val>
          </value>
          <value t="str">
            <val>-0.84</val>
          </value>
          <value>
            <val>0</val>
          </value>
          <value>
            <val>0</val>
          </value>
        </values>
      </ddeItem>
      <ddeItem name="49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-4.85</val>
          </value>
          <value t="str">
            <val>-1.55</val>
          </value>
          <value t="str">
            <val>環宇-KY</val>
          </value>
          <value t="str">
            <val>上櫃半導體</val>
          </value>
          <value t="str">
            <val>全球III-V族專業晶圓代工廠</val>
          </value>
        </values>
      </ddeItem>
      <ddeItem name="4991.TW-CName,InvestorConferenceDate,DateofMeetingofShareHolders,TradingDate" advise="1">
        <values cols="4">
          <value t="str">
            <val>環宇-KY</val>
          </value>
          <value t="str">
            <val>2022/08/02</val>
          </value>
          <value t="str">
            <val>2022/05/20</val>
          </value>
          <value t="str">
            <val>2022/08/01</val>
          </value>
        </values>
      </ddeItem>
      <ddeItem name="4991.TW-ID,Name,MarketValue,Capital,NetIncomeGrowthRate,OperIncomeGrowthRate,FinancialStatementsTime,TFXRatio,MonthlyNetSalesYoY,RevenueMonth" advise="1">
        <values cols="10">
          <value t="str">
            <val>4991</val>
          </value>
          <value t="str">
            <val>環宇-KY</val>
          </value>
          <value t="str">
            <val>45.4</val>
          </value>
          <value t="str">
            <val>11.10</val>
          </value>
          <value t="str">
            <val>-93.52</val>
          </value>
          <value t="str">
            <val>-2044.39</val>
          </value>
          <value t="str">
            <val>2022/03</val>
          </value>
          <value t="str">
            <val>64.47</val>
          </value>
          <value t="str">
            <val>32.34</val>
          </value>
          <value t="str">
            <val>2022/06</val>
          </value>
        </values>
      </ddeItem>
      <ddeItem name="4991.TW-OperatingProfitRatio,Price,PriceChangeRatio,InOutRatioNumber,Value,YearReturn,MonthReturn,WeekReturn,FinanceBalanceDif,ChipsField2" advise="1">
        <values cols="10">
          <value t="str">
            <val>-5.12</val>
          </value>
          <value>
            <val>40.950000000000003</val>
          </value>
          <value>
            <val>0.12</val>
          </value>
          <value t="str">
            <val>41.67%</val>
          </value>
          <value t="str">
            <val>104萬</val>
          </value>
          <value t="str">
            <val>-14.95</val>
          </value>
          <value t="str">
            <val>+28.77</val>
          </value>
          <value t="str">
            <val>+1.11</val>
          </value>
          <value>
            <val>-3</val>
          </value>
          <value>
            <val>0</val>
          </value>
        </values>
      </ddeItem>
      <ddeItem name="499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2022/06/01</val>
          </value>
          <value t="str">
            <val>2.50</val>
          </value>
          <value>
            <val>6.94</val>
          </value>
          <value t="str">
            <val>3.48</val>
          </value>
          <value t="str">
            <val>1.04</val>
          </value>
          <value t="str">
            <val>晶達</val>
          </value>
          <value t="str">
            <val>上櫃光電</val>
          </value>
          <value t="str">
            <val>工業用高亮度面板專業廠商</val>
          </value>
        </values>
      </ddeItem>
      <ddeItem name="4995.TW-CName,InvestorConferenceDate,DateofMeetingofShareHolders,TradingDate" advise="1">
        <values cols="4">
          <value t="str">
            <val>晶達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4995.TW-ID,Name,MarketValue,Capital,NetIncomeGrowthRate,OperIncomeGrowthRate,FinancialStatementsTime,TFXRatio,MonthlyNetSalesYoY,RevenueMonth" advise="1">
        <values cols="10">
          <value t="str">
            <val>4995</val>
          </value>
          <value t="str">
            <val>晶達</val>
          </value>
          <value t="str">
            <val>15.1</val>
          </value>
          <value t="str">
            <val>4.19</val>
          </value>
          <value t="str">
            <val>336.96</val>
          </value>
          <value t="str">
            <val>243.36</val>
          </value>
          <value t="str">
            <val>2022/03</val>
          </value>
          <value t="str">
            <val>36.21</val>
          </value>
          <value t="str">
            <val>32.91</val>
          </value>
          <value t="str">
            <val>2022/06</val>
          </value>
        </values>
      </ddeItem>
      <ddeItem name="4995.TW-OperatingProfitRatio,Price,PriceChangeRatio,InOutRatioNumber,Value,YearReturn,MonthReturn,WeekReturn,FinanceBalanceDif,ChipsField2" advise="1">
        <values cols="10">
          <value t="str">
            <val>11.24</val>
          </value>
          <value>
            <val>36</val>
          </value>
          <value>
            <val>2.27</val>
          </value>
          <value t="str">
            <val>61.90%</val>
          </value>
          <value t="str">
            <val>74.8萬</val>
          </value>
          <value t="str">
            <val>+12.69</val>
          </value>
          <value t="str">
            <val>+7.62</val>
          </value>
          <value t="str">
            <val>+4.05</val>
          </value>
          <value>
            <val>-1</val>
          </value>
          <value>
            <val>0</val>
          </value>
        </values>
      </ddeItem>
      <ddeItem name="5009.TW-ChipsField3,ChipsField1,ChipsField25,CashAndStockDividend,CashDividendYieldRate,ProfitFourSeason,ProfitSingle,CName,ExchangeIndustry,CompanyPos" advise="1">
        <values cols="10">
          <value>
            <val>-71</val>
          </value>
          <value>
            <val>2204</val>
          </value>
          <value t="str">
            <val>2022/03/16</val>
          </value>
          <value t="str">
            <val>1.40</val>
          </value>
          <value>
            <val>4.46</val>
          </value>
          <value t="str">
            <val>3.02</val>
          </value>
          <value t="str">
            <val>1.23</val>
          </value>
          <value t="str">
            <val>榮剛</val>
          </value>
          <value t="str">
            <val>上櫃鋼鐵</val>
          </value>
          <value t="str">
            <val>全球前十大合金棒鋼廠</val>
          </value>
        </values>
      </ddeItem>
      <ddeItem name="5009.TW-CName,InvestorConferenceDate,DateofMeetingofShareHolders,TradingDate" advise="1">
        <values cols="4">
          <value t="str">
            <val>榮剛</val>
          </value>
          <value t="str">
            <val>2021/11/30</val>
          </value>
          <value t="str">
            <val>2022/05/26</val>
          </value>
          <value t="str">
            <val>2022/08/01</val>
          </value>
        </values>
      </ddeItem>
      <ddeItem name="5009.TW-ID,Name,MarketValue,Capital,NetIncomeGrowthRate,OperIncomeGrowthRate,FinancialStatementsTime,TFXRatio,MonthlyNetSalesYoY,RevenueMonth" advise="1">
        <values cols="10">
          <value t="str">
            <val>5009</val>
          </value>
          <value t="str">
            <val>榮剛</val>
          </value>
          <value t="str">
            <val>143.4</val>
          </value>
          <value t="str">
            <val>45.67</val>
          </value>
          <value t="str">
            <val>176.75</val>
          </value>
          <value t="str">
            <val>151.07</val>
          </value>
          <value t="str">
            <val>2022/06</val>
          </value>
          <value t="str">
            <val>5.84</val>
          </value>
          <value t="str">
            <val>48.87</val>
          </value>
          <value t="str">
            <val>2022/06</val>
          </value>
        </values>
      </ddeItem>
      <ddeItem name="5009.TW-OperatingProfitRatio,Price,PriceChangeRatio,InOutRatioNumber,Value,YearReturn,MonthReturn,WeekReturn,FinanceBalanceDif,ChipsField2" advise="1">
        <values cols="10">
          <value t="str">
            <val>19.17</val>
          </value>
          <value>
            <val>31.4</val>
          </value>
          <value>
            <val>0.64</val>
          </value>
          <value t="str">
            <val>46.55%</val>
          </value>
          <value t="str">
            <val>5.47億</val>
          </value>
          <value t="str">
            <val>+22.05</val>
          </value>
          <value t="str">
            <val>+29.48</val>
          </value>
          <value t="str">
            <val>+3.46</val>
          </value>
          <value>
            <val>-269</val>
          </value>
          <value>
            <val>-330</val>
          </value>
        </values>
      </ddeItem>
      <ddeItem name="50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-101</val>
          </value>
          <value t="str">
            <val>2022/07/27</val>
          </value>
          <value t="str">
            <val>0.35</val>
          </value>
          <value>
            <val>4.68</val>
          </value>
          <value t="str">
            <val>2.77</val>
          </value>
          <value t="str">
            <val>0.91</val>
          </value>
          <value t="str">
            <val>久陽</val>
          </value>
          <value t="str">
            <val>上櫃鋼鐵</val>
          </value>
          <value t="str">
            <val>台鋼集團旗下，台灣大尺寸螺栓製造廠之一</val>
          </value>
        </values>
      </ddeItem>
      <ddeItem name="5011.TW-CName,InvestorConferenceDate,DateofMeetingofShareHolders,TradingDate" advise="1">
        <values cols="4">
          <value t="str">
            <val>久陽</val>
          </value>
          <value t="str">
            <val>2021/12/07</val>
          </value>
          <value t="str">
            <val>2022/06/22</val>
          </value>
          <value t="str">
            <val>2022/08/01</val>
          </value>
        </values>
      </ddeItem>
      <ddeItem name="5011.TW-ID,Name,MarketValue,Capital,NetIncomeGrowthRate,OperIncomeGrowthRate,FinancialStatementsTime,TFXRatio,MonthlyNetSalesYoY,RevenueMonth" advise="1">
        <values cols="10">
          <value t="str">
            <val>5011</val>
          </value>
          <value t="str">
            <val>久陽</val>
          </value>
          <value t="str">
            <val>27.6</val>
          </value>
          <value t="str">
            <val>9.94</val>
          </value>
          <value t="str">
            <val>1434.83</val>
          </value>
          <value t="str">
            <val>1085.08</val>
          </value>
          <value t="str">
            <val>2022/03</val>
          </value>
          <value t="str">
            <val>10.34</val>
          </value>
          <value t="str">
            <val>15.63</val>
          </value>
          <value t="str">
            <val>2022/06</val>
          </value>
        </values>
      </ddeItem>
      <ddeItem name="5011.TW-OperatingProfitRatio,Price,PriceChangeRatio,InOutRatioNumber,Value,YearReturn,MonthReturn,WeekReturn,FinanceBalanceDif,ChipsField2" advise="1">
        <values cols="10">
          <value t="str">
            <val>6.71</val>
          </value>
          <value>
            <val>27.8</val>
          </value>
          <value>
            <val>0.91</val>
          </value>
          <value t="str">
            <val>40.20%</val>
          </value>
          <value t="str">
            <val>2213萬</val>
          </value>
          <value t="str">
            <val>-8.85</val>
          </value>
          <value t="str">
            <val>+13.29</val>
          </value>
          <value t="str">
            <val>-0.69</val>
          </value>
          <value>
            <val>-98</val>
          </value>
          <value>
            <val>0</val>
          </value>
        </values>
      </ddeItem>
      <ddeItem name="50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2.00</val>
          </value>
          <value>
            <val>5.81</val>
          </value>
          <value t="str">
            <val>4.90</val>
          </value>
          <value t="str">
            <val>1.30</val>
          </value>
          <value t="str">
            <val>強新</val>
          </value>
          <value t="str">
            <val>上櫃鋼鐵</val>
          </value>
          <value t="str">
            <val>台灣電解拋光管件市佔8成</val>
          </value>
        </values>
      </ddeItem>
      <ddeItem name="5013.TW-CName,InvestorConferenceDate,DateofMeetingofShareHolders,TradingDate" advise="1">
        <values cols="4">
          <value t="str">
            <val>強新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5013.TW-ID,Name,MarketValue,Capital,NetIncomeGrowthRate,OperIncomeGrowthRate,FinancialStatementsTime,TFXRatio,MonthlyNetSalesYoY,RevenueMonth" advise="1">
        <values cols="10">
          <value t="str">
            <val>5013</val>
          </value>
          <value t="str">
            <val>強新</val>
          </value>
          <value t="str">
            <val>46.0</val>
          </value>
          <value t="str">
            <val>13.34</val>
          </value>
          <value t="str">
            <val>37.83</val>
          </value>
          <value t="str">
            <val>28.79</val>
          </value>
          <value t="str">
            <val>2022/03</val>
          </value>
          <value t="str">
            <val>-0.92</val>
          </value>
          <value t="str">
            <val>7.30</val>
          </value>
          <value t="str">
            <val>2022/06</val>
          </value>
        </values>
      </ddeItem>
      <ddeItem name="5013.TW-OperatingProfitRatio,Price,PriceChangeRatio,InOutRatioNumber,Value,YearReturn,MonthReturn,WeekReturn,FinanceBalanceDif,ChipsField2" advise="1">
        <values cols="10">
          <value t="str">
            <val>11.49</val>
          </value>
          <value>
            <val>34.450000000000003</val>
          </value>
          <value>
            <val>4.71</val>
          </value>
          <value t="str">
            <val>78.43%</val>
          </value>
          <value t="str">
            <val>178萬</val>
          </value>
          <value t="str">
            <val>-20.05</val>
          </value>
          <value t="str">
            <val>+6.99</val>
          </value>
          <value t="str">
            <val>+4.87</val>
          </value>
          <value>
            <val>0</val>
          </value>
          <value>
            <val>0</val>
          </value>
        </values>
      </ddeItem>
      <ddeItem name="50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129</val>
          </value>
          <value t="str">
            <val>2022/07/28</val>
          </value>
          <value t="str">
            <val>1.20</val>
          </value>
          <value>
            <val>6.54</val>
          </value>
          <value t="str">
            <val>3.93</val>
          </value>
          <value t="str">
            <val>1.05</val>
          </value>
          <value t="str">
            <val>建錩</val>
          </value>
          <value t="str">
            <val>上櫃鋼鐵</val>
          </value>
          <value t="str">
            <val>不鏽鋼板裁剪及分條加工廠</val>
          </value>
        </values>
      </ddeItem>
      <ddeItem name="5014.TW-CName,InvestorConferenceDate,DateofMeetingofShareHolders,TradingDate" advise="1">
        <values cols="4">
          <value t="str">
            <val>建錩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5014.TW-ID,Name,MarketValue,Capital,NetIncomeGrowthRate,OperIncomeGrowthRate,FinancialStatementsTime,TFXRatio,MonthlyNetSalesYoY,RevenueMonth" advise="1">
        <values cols="10">
          <value t="str">
            <val>5014</val>
          </value>
          <value t="str">
            <val>建錩</val>
          </value>
          <value t="str">
            <val>34.0</val>
          </value>
          <value t="str">
            <val>18.53</val>
          </value>
          <value t="str">
            <val>338.97</val>
          </value>
          <value t="str">
            <val>109.00</val>
          </value>
          <value t="str">
            <val>2022/03</val>
          </value>
          <value t="str">
            <val>-5.56</val>
          </value>
          <value t="str">
            <val>24.95</val>
          </value>
          <value t="str">
            <val>2022/06</val>
          </value>
        </values>
      </ddeItem>
      <ddeItem name="5014.TW-OperatingProfitRatio,Price,PriceChangeRatio,InOutRatioNumber,Value,YearReturn,MonthReturn,WeekReturn,FinanceBalanceDif,ChipsField2" advise="1">
        <values cols="10">
          <value t="str">
            <val>6.16</val>
          </value>
          <value>
            <val>18.350000000000001</val>
          </value>
          <value>
            <val>7.62</val>
          </value>
          <value t="str">
            <val>59.52%</val>
          </value>
          <value t="str">
            <val>7715萬</val>
          </value>
          <value t="str">
            <val>-24.30</val>
          </value>
          <value t="str">
            <val>+23.01</val>
          </value>
          <value t="str">
            <val>+8.13</val>
          </value>
          <value>
            <val>-44</val>
          </value>
          <value>
            <val>0</val>
          </value>
        </values>
      </ddeItem>
      <ddeItem name="50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2022/07/07</val>
          </value>
          <value t="str">
            <val>3.50</val>
          </value>
          <value>
            <val>7.84</val>
          </value>
          <value t="str">
            <val>5.98</val>
          </value>
          <value t="str">
            <val>2.33</val>
          </value>
          <value t="str">
            <val>華祺</val>
          </value>
          <value t="str">
            <val>上櫃鋼鐵</val>
          </value>
          <value t="str">
            <val>全球知名不鏽鋼螺絲製造廠</val>
          </value>
        </values>
      </ddeItem>
      <ddeItem name="5015.TW-CName,InvestorConferenceDate,DateofMeetingofShareHolders,TradingDate" advise="1">
        <values cols="4">
          <value t="str">
            <val>華祺</val>
          </value>
          <value t="str">
            <val>--</val>
          </value>
          <value t="str">
            <val>2022/06/13</val>
          </value>
          <value t="str">
            <val>2022/08/01</val>
          </value>
        </values>
      </ddeItem>
      <ddeItem name="5015.TW-ID,Name,MarketValue,Capital,NetIncomeGrowthRate,OperIncomeGrowthRate,FinancialStatementsTime,TFXRatio,MonthlyNetSalesYoY,RevenueMonth" advise="1">
        <values cols="10">
          <value t="str">
            <val>5015</val>
          </value>
          <value t="str">
            <val>華祺</val>
          </value>
          <value t="str">
            <val>27.1</val>
          </value>
          <value t="str">
            <val>6.06</val>
          </value>
          <value t="str">
            <val>412.15</val>
          </value>
          <value t="str">
            <val>283.57</val>
          </value>
          <value t="str">
            <val>2022/03</val>
          </value>
          <value t="str">
            <val>6.41</val>
          </value>
          <value t="str">
            <val>18.55</val>
          </value>
          <value t="str">
            <val>2022/06</val>
          </value>
        </values>
      </ddeItem>
      <ddeItem name="5015.TW-OperatingProfitRatio,Price,PriceChangeRatio,InOutRatioNumber,Value,YearReturn,MonthReturn,WeekReturn,FinanceBalanceDif,ChipsField2" advise="1">
        <values cols="10">
          <value t="str">
            <val>21.42</val>
          </value>
          <value>
            <val>44.65</val>
          </value>
          <value>
            <val>0.11</val>
          </value>
          <value t="str">
            <val>50.00%</val>
          </value>
          <value t="str">
            <val>320萬</val>
          </value>
          <value t="str">
            <val>+46.23</val>
          </value>
          <value t="str">
            <val>+19.12</val>
          </value>
          <value t="str">
            <val>+5.81</val>
          </value>
          <value>
            <val>10</val>
          </value>
          <value>
            <val>0</val>
          </value>
        </values>
      </ddeItem>
      <ddeItem name="50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2022/06/24</val>
          </value>
          <value t="str">
            <val>3.30</val>
          </value>
          <value>
            <val>10.31</val>
          </value>
          <value t="str">
            <val>4.61</val>
          </value>
          <value t="str">
            <val>0.76</val>
          </value>
          <value t="str">
            <val>松和</val>
          </value>
          <value t="str">
            <val>上櫃鋼鐵</val>
          </value>
          <value t="str">
            <val>台灣規模最大鋼線鋼纜廠之一</val>
          </value>
        </values>
      </ddeItem>
      <ddeItem name="5016.TW-CName,InvestorConferenceDate,DateofMeetingofShareHolders,TradingDate" advise="1">
        <values cols="4">
          <value t="str">
            <val>松和</val>
          </value>
          <value t="str">
            <val>2022/04/08</val>
          </value>
          <value t="str">
            <val>2022/06/08</val>
          </value>
          <value t="str">
            <val>2022/08/01</val>
          </value>
        </values>
      </ddeItem>
      <ddeItem name="5016.TW-ID,Name,MarketValue,Capital,NetIncomeGrowthRate,OperIncomeGrowthRate,FinancialStatementsTime,TFXRatio,MonthlyNetSalesYoY,RevenueMonth" advise="1">
        <values cols="10">
          <value t="str">
            <val>5016</val>
          </value>
          <value t="str">
            <val>松和</val>
          </value>
          <value t="str">
            <val>15.9</val>
          </value>
          <value t="str">
            <val>4.96</val>
          </value>
          <value t="str">
            <val>-15.08</val>
          </value>
          <value t="str">
            <val>-21.08</val>
          </value>
          <value t="str">
            <val>2022/03</val>
          </value>
          <value t="str">
            <val>-4.46</val>
          </value>
          <value t="str">
            <val>-13.75</val>
          </value>
          <value t="str">
            <val>2022/06</val>
          </value>
        </values>
      </ddeItem>
      <ddeItem name="5016.TW-OperatingProfitRatio,Price,PriceChangeRatio,InOutRatioNumber,Value,YearReturn,MonthReturn,WeekReturn,FinanceBalanceDif,ChipsField2" advise="1">
        <values cols="10">
          <value t="str">
            <val>6.93</val>
          </value>
          <value>
            <val>32</val>
          </value>
          <value>
            <val>0.63</val>
          </value>
          <value t="str">
            <val>100.00%</val>
          </value>
          <value t="str">
            <val>12.8萬</val>
          </value>
          <value t="str">
            <val>-0.25</val>
          </value>
          <value t="str">
            <val>+5.61</val>
          </value>
          <value t="str">
            <val>+0.47</val>
          </value>
          <value>
            <val>0</val>
          </value>
          <value>
            <val>0</val>
          </value>
        </values>
      </ddeItem>
      <ddeItem name="52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2022/03/31</val>
          </value>
          <value t="str">
            <val>1.50</val>
          </value>
          <value>
            <val>4.8499999999999996</val>
          </value>
          <value t="str">
            <val>1.03</val>
          </value>
          <value t="str">
            <val>0.03</val>
          </value>
          <value t="str">
            <val>凱衛</val>
          </value>
          <value t="str">
            <val>上櫃資訊服務</val>
          </value>
          <value t="str">
            <val>以證券金融服務為主的系統整合商</val>
          </value>
        </values>
      </ddeItem>
      <ddeItem name="5201.TW-CName,InvestorConferenceDate,DateofMeetingofShareHolders,TradingDate" advise="1">
        <values cols="4">
          <value t="str">
            <val>凱衛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5201.TW-ID,Name,MarketValue,Capital,NetIncomeGrowthRate,OperIncomeGrowthRate,FinancialStatementsTime,TFXRatio,MonthlyNetSalesYoY,RevenueMonth" advise="1">
        <values cols="10">
          <value t="str">
            <val>5201</val>
          </value>
          <value t="str">
            <val>凱衛</val>
          </value>
          <value t="str">
            <val>9.5</val>
          </value>
          <value t="str">
            <val>3.07</val>
          </value>
          <value t="str">
            <val>-93.96</val>
          </value>
          <value t="str">
            <val>-242.61</val>
          </value>
          <value t="str">
            <val>2022/03</val>
          </value>
          <value t="str">
            <val>44.68</val>
          </value>
          <value t="str">
            <val>23.96</val>
          </value>
          <value t="str">
            <val>2022/06</val>
          </value>
        </values>
      </ddeItem>
      <ddeItem name="5201.TW-OperatingProfitRatio,Price,PriceChangeRatio,InOutRatioNumber,Value,YearReturn,MonthReturn,WeekReturn,FinanceBalanceDif,ChipsField2" advise="1">
        <values cols="10">
          <value t="str">
            <val>-9.51</val>
          </value>
          <value>
            <val>30.9</val>
          </value>
          <value>
            <val>-0.32</val>
          </value>
          <value t="str">
            <val>16.67%</val>
          </value>
          <value t="str">
            <val>37.1萬</val>
          </value>
          <value t="str">
            <val>+12.95</val>
          </value>
          <value t="str">
            <val>+9.38</val>
          </value>
          <value t="str">
            <val>-0.80</val>
          </value>
          <value>
            <val>-5</val>
          </value>
          <value>
            <val>0</val>
          </value>
        </values>
      </ddeItem>
      <ddeItem name="52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0.68</val>
          </value>
          <value>
            <val>3.66</val>
          </value>
          <value t="str">
            <val>-0.62</val>
          </value>
          <value t="str">
            <val>-0.24</val>
          </value>
          <value t="str">
            <val>力新</val>
          </value>
          <value t="str">
            <val>上櫃資訊服務</val>
          </value>
          <value t="str">
            <val>台灣影像處理軟體商</val>
          </value>
        </values>
      </ddeItem>
      <ddeItem name="5202.TW-CName,InvestorConferenceDate,DateofMeetingofShareHolders,TradingDate" advise="1">
        <values cols="4">
          <value t="str">
            <val>力新</val>
          </value>
          <value t="str">
            <val>2021/12/30</val>
          </value>
          <value t="str">
            <val>2022/06/21</val>
          </value>
          <value t="str">
            <val>2022/08/01</val>
          </value>
        </values>
      </ddeItem>
      <ddeItem name="5202.TW-ID,Name,MarketValue,Capital,NetIncomeGrowthRate,OperIncomeGrowthRate,FinancialStatementsTime,TFXRatio,MonthlyNetSalesYoY,RevenueMonth" advise="1">
        <values cols="10">
          <value t="str">
            <val>5202</val>
          </value>
          <value t="str">
            <val>力新</val>
          </value>
          <value t="str">
            <val>16.6</val>
          </value>
          <value t="str">
            <val>8.91</val>
          </value>
          <value t="str">
            <val>-688.84</val>
          </value>
          <value t="str">
            <val>1.62</val>
          </value>
          <value t="str">
            <val>2022/03</val>
          </value>
          <value t="str">
            <val>1.36</val>
          </value>
          <value t="str">
            <val>4.39</val>
          </value>
          <value t="str">
            <val>2022/06</val>
          </value>
        </values>
      </ddeItem>
      <ddeItem name="5202.TW-OperatingProfitRatio,Price,PriceChangeRatio,InOutRatioNumber,Value,YearReturn,MonthReturn,WeekReturn,FinanceBalanceDif,ChipsField2" advise="1">
        <values cols="10">
          <value t="str">
            <val>-40.21</val>
          </value>
          <value>
            <val>18.600000000000001</val>
          </value>
          <value>
            <val>1.64</val>
          </value>
          <value t="str">
            <val>44.12%</val>
          </value>
          <value t="str">
            <val>62.6萬</val>
          </value>
          <value t="str">
            <val>+2.76</val>
          </value>
          <value t="str">
            <val>+3.62</val>
          </value>
          <value t="str">
            <val>+0.54</val>
          </value>
          <value>
            <val>8</val>
          </value>
          <value>
            <val>0</val>
          </value>
        </values>
      </ddeItem>
      <ddeItem name="52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-1.75</val>
          </value>
          <value t="str">
            <val>-0.46</val>
          </value>
          <value t="str">
            <val>中茂</val>
          </value>
          <value t="str">
            <val>上櫃其他電子</val>
          </value>
          <value t="str">
            <val>廢水及廢棄物處理工程商</val>
          </value>
        </values>
      </ddeItem>
      <ddeItem name="5205.TW-CName,InvestorConferenceDate,DateofMeetingofShareHolders,TradingDate" advise="1">
        <values cols="4">
          <value t="str">
            <val>中茂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5205.TW-ID,Name,MarketValue,Capital,NetIncomeGrowthRate,OperIncomeGrowthRate,FinancialStatementsTime,TFXRatio,MonthlyNetSalesYoY,RevenueMonth" advise="1">
        <values cols="10">
          <value t="str">
            <val>5205</val>
          </value>
          <value t="str">
            <val>中茂</val>
          </value>
          <value t="str">
            <val>2.8</val>
          </value>
          <value t="str">
            <val>1.03</val>
          </value>
          <value t="str">
            <val>-18.18</val>
          </value>
          <value t="str">
            <val>-18.13</val>
          </value>
          <value t="str">
            <val>2022/03</val>
          </value>
          <value t="str">
            <val>6.47</val>
          </value>
          <value t="str">
            <val>-75.18</val>
          </value>
          <value t="str">
            <val>2022/06</val>
          </value>
        </values>
      </ddeItem>
      <ddeItem name="5205.TW-OperatingProfitRatio,Price,PriceChangeRatio,InOutRatioNumber,Value,YearReturn,MonthReturn,WeekReturn,FinanceBalanceDif,ChipsField2" advise="1">
        <values cols="10">
          <value t="str">
            <val>-173.42</val>
          </value>
          <value>
            <val>27.15</val>
          </value>
          <value>
            <val>2.84</val>
          </value>
          <value t="str">
            <val>57.89%</val>
          </value>
          <value t="str">
            <val>50.3萬</val>
          </value>
          <value t="str">
            <val>+35.75</val>
          </value>
          <value t="str">
            <val>+14.32</val>
          </value>
          <value t="str">
            <val>+19.60</val>
          </value>
          <value>
            <val>0</val>
          </value>
          <value>
            <val>0</val>
          </value>
        </values>
      </ddeItem>
      <ddeItem name="52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0.48</val>
          </value>
          <value>
            <val>3.38</val>
          </value>
          <value t="str">
            <val>0.08</val>
          </value>
          <value t="str">
            <val>-0.40</val>
          </value>
          <value t="str">
            <val>坤悅</val>
          </value>
          <value t="str">
            <val>上櫃建材營造</val>
          </value>
          <value t="str">
            <val>推案集中於台中地區之建商</val>
          </value>
        </values>
      </ddeItem>
      <ddeItem name="5206.TW-CName,InvestorConferenceDate,DateofMeetingofShareHolders,TradingDate" advise="1">
        <values cols="4">
          <value t="str">
            <val>坤悅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5206.TW-ID,Name,MarketValue,Capital,NetIncomeGrowthRate,OperIncomeGrowthRate,FinancialStatementsTime,TFXRatio,MonthlyNetSalesYoY,RevenueMonth" advise="1">
        <values cols="10">
          <value t="str">
            <val>5206</val>
          </value>
          <value t="str">
            <val>坤悅</val>
          </value>
          <value t="str">
            <val>22.1</val>
          </value>
          <value t="str">
            <val>15.59</val>
          </value>
          <value t="str">
            <val>-846.95</val>
          </value>
          <value t="str">
            <val>-767.59</val>
          </value>
          <value t="str">
            <val>2022/03</val>
          </value>
          <value t="str">
            <val>--</val>
          </value>
          <value t="str">
            <val>17320.00</val>
          </value>
          <value t="str">
            <val>2022/06</val>
          </value>
        </values>
      </ddeItem>
      <ddeItem name="5206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14.2</val>
          </value>
          <value>
            <val>-1.39</val>
          </value>
          <value t="str">
            <val>28.57%</val>
          </value>
          <value t="str">
            <val>11.3萬</val>
          </value>
          <value t="str">
            <val>-12.56</val>
          </value>
          <value t="str">
            <val>+5.19</val>
          </value>
          <value t="str">
            <val>-4.05</val>
          </value>
          <value>
            <val>0</val>
          </value>
          <value>
            <val>0</val>
          </value>
        </values>
      </ddeItem>
      <ddeItem name="52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2022/07/01</val>
          </value>
          <value t="str">
            <val>8.79</val>
          </value>
          <value>
            <val>13.06</val>
          </value>
          <value t="str">
            <val>9.45</val>
          </value>
          <value t="str">
            <val>1.33</val>
          </value>
          <value t="str">
            <val>新鼎</val>
          </value>
          <value t="str">
            <val>上櫃其他</val>
          </value>
          <value t="str">
            <val>中鼎旗下石化、煉油廠、交通機電等資訊系統工程SI廠</val>
          </value>
        </values>
      </ddeItem>
      <ddeItem name="5209.TW-CName,InvestorConferenceDate,DateofMeetingofShareHolders,TradingDate" advise="1">
        <values cols="4">
          <value t="str">
            <val>新鼎</val>
          </value>
          <value t="str">
            <val>2022/05/27</val>
          </value>
          <value t="str">
            <val>2022/05/26</val>
          </value>
          <value t="str">
            <val>2022/08/01</val>
          </value>
        </values>
      </ddeItem>
      <ddeItem name="5209.TW-ID,Name,MarketValue,Capital,NetIncomeGrowthRate,OperIncomeGrowthRate,FinancialStatementsTime,TFXRatio,MonthlyNetSalesYoY,RevenueMonth" advise="1">
        <values cols="10">
          <value t="str">
            <val>5209</val>
          </value>
          <value t="str">
            <val>新鼎</val>
          </value>
          <value t="str">
            <val>18.7</val>
          </value>
          <value t="str">
            <val>2.77</val>
          </value>
          <value t="str">
            <val>-29.43</val>
          </value>
          <value t="str">
            <val>-0.02</val>
          </value>
          <value t="str">
            <val>2022/03</val>
          </value>
          <value t="str">
            <val>47.18</val>
          </value>
          <value t="str">
            <val>16.35</val>
          </value>
          <value t="str">
            <val>2022/06</val>
          </value>
        </values>
      </ddeItem>
      <ddeItem name="5209.TW-OperatingProfitRatio,Price,PriceChangeRatio,InOutRatioNumber,Value,YearReturn,MonthReturn,WeekReturn,FinanceBalanceDif,ChipsField2" advise="1">
        <values cols="10">
          <value t="str">
            <val>5.13</val>
          </value>
          <value>
            <val>67.3</val>
          </value>
          <value>
            <val>2.44</val>
          </value>
          <value t="str">
            <val>40.00%</val>
          </value>
          <value t="str">
            <val>267萬</val>
          </value>
          <value t="str">
            <val>+18.15</val>
          </value>
          <value t="str">
            <val>+9.43</val>
          </value>
          <value t="str">
            <val>+5.16</val>
          </value>
          <value>
            <val>0</val>
          </value>
          <value>
            <val>0</val>
          </value>
        </values>
      </ddeItem>
      <ddeItem name="52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-68</val>
          </value>
          <value t="str">
            <val>--</val>
          </value>
          <value t="str">
            <val>0.00</val>
          </value>
          <value>
            <val>0</val>
          </value>
          <value t="str">
            <val>0.00</val>
          </value>
          <value t="str">
            <val>-0.01</val>
          </value>
          <value t="str">
            <val>寶碩</val>
          </value>
          <value t="str">
            <val>上櫃資訊服務</val>
          </value>
          <value t="str">
            <val>證券金融相關解決方案系統整合廠商</val>
          </value>
        </values>
      </ddeItem>
      <ddeItem name="5210.TW-CName,InvestorConferenceDate,DateofMeetingofShareHolders,TradingDate" advise="1">
        <values cols="4">
          <value t="str">
            <val>寶碩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5210.TW-ID,Name,MarketValue,Capital,NetIncomeGrowthRate,OperIncomeGrowthRate,FinancialStatementsTime,TFXRatio,MonthlyNetSalesYoY,RevenueMonth" advise="1">
        <values cols="10">
          <value t="str">
            <val>5210</val>
          </value>
          <value t="str">
            <val>寶碩</val>
          </value>
          <value t="str">
            <val>13.8</val>
          </value>
          <value t="str">
            <val>6.22</val>
          </value>
          <value t="str">
            <val>98.37</val>
          </value>
          <value t="str">
            <val>102.55</val>
          </value>
          <value t="str">
            <val>2022/03</val>
          </value>
          <value t="str">
            <val>16.90</val>
          </value>
          <value t="str">
            <val>62.78</val>
          </value>
          <value t="str">
            <val>2022/06</val>
          </value>
        </values>
      </ddeItem>
      <ddeItem name="5210.TW-OperatingProfitRatio,Price,PriceChangeRatio,InOutRatioNumber,Value,YearReturn,MonthReturn,WeekReturn,FinanceBalanceDif,ChipsField2" advise="1">
        <values cols="10">
          <value t="str">
            <val>0.91</val>
          </value>
          <value>
            <val>22.25</val>
          </value>
          <value>
            <val>0.68</val>
          </value>
          <value t="str">
            <val>47.14%</val>
          </value>
          <value t="str">
            <val>983萬</val>
          </value>
          <value t="str">
            <val>+103.20</val>
          </value>
          <value t="str">
            <val>+17.11</val>
          </value>
          <value t="str">
            <val>+11.25</val>
          </value>
          <value>
            <val>0</val>
          </value>
          <value>
            <val>0</val>
          </value>
        </values>
      </ddeItem>
      <ddeItem name="52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2022/06/28</val>
          </value>
          <value t="str">
            <val>0.70</val>
          </value>
          <value>
            <val>4.12</val>
          </value>
          <value t="str">
            <val>1.68</val>
          </value>
          <value t="str">
            <val>0.09</val>
          </value>
          <value t="str">
            <val>蒙恬</val>
          </value>
          <value t="str">
            <val>上櫃資訊服務</val>
          </value>
          <value t="str">
            <val>台灣手寫辨識軟、硬體廠商</val>
          </value>
        </values>
      </ddeItem>
      <ddeItem name="5211.TW-CName,InvestorConferenceDate,DateofMeetingofShareHolders,TradingDate" advise="1">
        <values cols="4">
          <value t="str">
            <val>蒙恬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5211.TW-ID,Name,MarketValue,Capital,NetIncomeGrowthRate,OperIncomeGrowthRate,FinancialStatementsTime,TFXRatio,MonthlyNetSalesYoY,RevenueMonth" advise="1">
        <values cols="10">
          <value t="str">
            <val>5211</val>
          </value>
          <value t="str">
            <val>蒙恬</val>
          </value>
          <value t="str">
            <val>5.4</val>
          </value>
          <value t="str">
            <val>3.20</val>
          </value>
          <value t="str">
            <val>131.51</val>
          </value>
          <value t="str">
            <val>10.26</val>
          </value>
          <value t="str">
            <val>2022/03</val>
          </value>
          <value t="str">
            <val>-15.48</val>
          </value>
          <value t="str">
            <val>23.05</val>
          </value>
          <value t="str">
            <val>2022/06</val>
          </value>
        </values>
      </ddeItem>
      <ddeItem name="5211.TW-OperatingProfitRatio,Price,PriceChangeRatio,InOutRatioNumber,Value,YearReturn,MonthReturn,WeekReturn,FinanceBalanceDif,ChipsField2" advise="1">
        <values cols="10">
          <value t="str">
            <val>-27.61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+10.33</val>
          </value>
          <value t="str">
            <val>+5.26</val>
          </value>
          <value t="str">
            <val>-0.58</val>
          </value>
          <value>
            <val>1</val>
          </value>
          <value>
            <val>0</val>
          </value>
        </values>
      </ddeItem>
      <ddeItem name="52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2022/06/15</val>
          </value>
          <value t="str">
            <val>2.50</val>
          </value>
          <value>
            <val>5.57</val>
          </value>
          <value t="str">
            <val>2.34</val>
          </value>
          <value t="str">
            <val>0.04</val>
          </value>
          <value t="str">
            <val>凌網</val>
          </value>
          <value t="str">
            <val>上櫃資訊服務</val>
          </value>
          <value t="str">
            <val>以知識管理為主的系統整合廠</val>
          </value>
        </values>
      </ddeItem>
      <ddeItem name="5212.TW-CName,InvestorConferenceDate,DateofMeetingofShareHolders,TradingDate" advise="1">
        <values cols="4">
          <value t="str">
            <val>凌網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5212.TW-ID,Name,MarketValue,Capital,NetIncomeGrowthRate,OperIncomeGrowthRate,FinancialStatementsTime,TFXRatio,MonthlyNetSalesYoY,RevenueMonth" advise="1">
        <values cols="10">
          <value t="str">
            <val>5212</val>
          </value>
          <value t="str">
            <val>凌網</val>
          </value>
          <value t="str">
            <val>15.6</val>
          </value>
          <value t="str">
            <val>3.46</val>
          </value>
          <value t="str">
            <val>-93.35</val>
          </value>
          <value t="str">
            <val>-72.34</val>
          </value>
          <value t="str">
            <val>2022/03</val>
          </value>
          <value t="str">
            <val>35.93</val>
          </value>
          <value t="str">
            <val>-0.31</val>
          </value>
          <value t="str">
            <val>2022/06</val>
          </value>
        </values>
      </ddeItem>
      <ddeItem name="5212.TW-OperatingProfitRatio,Price,PriceChangeRatio,InOutRatioNumber,Value,YearReturn,MonthReturn,WeekReturn,FinanceBalanceDif,ChipsField2" advise="1">
        <values cols="10">
          <value t="str">
            <val>3.03</val>
          </value>
          <value>
            <val>44.9</val>
          </value>
          <value>
            <val>-0.88</val>
          </value>
          <value t="str">
            <val>47.37%</val>
          </value>
          <value t="str">
            <val>251萬</val>
          </value>
          <value t="str">
            <val>-15.39</val>
          </value>
          <value t="str">
            <val>-4.16</val>
          </value>
          <value t="str">
            <val>-2.39</val>
          </value>
          <value>
            <val>0</val>
          </value>
          <value>
            <val>0</val>
          </value>
        </values>
      </ddeItem>
      <ddeItem name="52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21</val>
          </value>
          <value t="str">
            <val>2022/07/04</val>
          </value>
          <value t="str">
            <val>1.77</val>
          </value>
          <value>
            <val>8.19</val>
          </value>
          <value t="str">
            <val>-0.43</val>
          </value>
          <value t="str">
            <val>-0.33</val>
          </value>
          <value t="str">
            <val>亞昕</val>
          </value>
          <value t="str">
            <val>上櫃建材營造</val>
          </value>
          <value t="str">
            <val>推案集中於大台北地區之建商</val>
          </value>
        </values>
      </ddeItem>
      <ddeItem name="5213.TW-CName,InvestorConferenceDate,DateofMeetingofShareHolders,TradingDate" advise="1">
        <values cols="4">
          <value t="str">
            <val>亞昕</val>
          </value>
          <value t="str">
            <val>--</val>
          </value>
          <value t="str">
            <val>2022/06/02</val>
          </value>
          <value t="str">
            <val>2022/08/01</val>
          </value>
        </values>
      </ddeItem>
      <ddeItem name="5213.TW-ID,Name,MarketValue,Capital,NetIncomeGrowthRate,OperIncomeGrowthRate,FinancialStatementsTime,TFXRatio,MonthlyNetSalesYoY,RevenueMonth" advise="1">
        <values cols="10">
          <value t="str">
            <val>5213</val>
          </value>
          <value t="str">
            <val>亞昕</val>
          </value>
          <value t="str">
            <val>84.4</val>
          </value>
          <value t="str">
            <val>42.57</val>
          </value>
          <value t="str">
            <val>-142.23</val>
          </value>
          <value t="str">
            <val>-119.81</val>
          </value>
          <value t="str">
            <val>2022/03</val>
          </value>
          <value t="str">
            <val>-50.17</val>
          </value>
          <value t="str">
            <val>-43.74</val>
          </value>
          <value t="str">
            <val>2022/06</val>
          </value>
        </values>
      </ddeItem>
      <ddeItem name="5213.TW-OperatingProfitRatio,Price,PriceChangeRatio,InOutRatioNumber,Value,YearReturn,MonthReturn,WeekReturn,FinanceBalanceDif,ChipsField2" advise="1">
        <values cols="10">
          <value t="str">
            <val>-123.47</val>
          </value>
          <value>
            <val>21.6</val>
          </value>
          <value>
            <val>2.61</val>
          </value>
          <value t="str">
            <val>40.96%</val>
          </value>
          <value t="str">
            <val>432萬</val>
          </value>
          <value t="str">
            <val>+18.00</val>
          </value>
          <value t="str">
            <val>+9.06</val>
          </value>
          <value t="str">
            <val>+2.25</val>
          </value>
          <value>
            <val>16</val>
          </value>
          <value>
            <val>0</val>
          </value>
        </values>
      </ddeItem>
      <ddeItem name="52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2022/07/14</val>
          </value>
          <value t="str">
            <val>2.20</val>
          </value>
          <value>
            <val>7.72</val>
          </value>
          <value t="str">
            <val>3.27</val>
          </value>
          <value t="str">
            <val>0.80</val>
          </value>
          <value t="str">
            <val>萬達光電</val>
          </value>
          <value t="str">
            <val>上櫃光電</val>
          </value>
          <value t="str">
            <val>台灣觸控面板廠，主要聚焦於軍、工控等市場</val>
          </value>
        </values>
      </ddeItem>
      <ddeItem name="5220.TW-CName,InvestorConferenceDate,DateofMeetingofShareHolders,TradingDate" advise="1">
        <values cols="4">
          <value t="str">
            <val>萬達光電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5220.TW-ID,Name,MarketValue,Capital,NetIncomeGrowthRate,OperIncomeGrowthRate,FinancialStatementsTime,TFXRatio,MonthlyNetSalesYoY,RevenueMonth" advise="1">
        <values cols="10">
          <value t="str">
            <val>5220</val>
          </value>
          <value t="str">
            <val>萬達光電</val>
          </value>
          <value t="str">
            <val>11.3</val>
          </value>
          <value t="str">
            <val>3.97</val>
          </value>
          <value t="str">
            <val>-15.98</val>
          </value>
          <value t="str">
            <val>-30.79</val>
          </value>
          <value t="str">
            <val>2022/03</val>
          </value>
          <value t="str">
            <val>-24.29</val>
          </value>
          <value t="str">
            <val>-26.25</val>
          </value>
          <value t="str">
            <val>2022/06</val>
          </value>
        </values>
      </ddeItem>
      <ddeItem name="5220.TW-OperatingProfitRatio,Price,PriceChangeRatio,InOutRatioNumber,Value,YearReturn,MonthReturn,WeekReturn,FinanceBalanceDif,ChipsField2" advise="1">
        <values cols="10">
          <value t="str">
            <val>11.46</val>
          </value>
          <value>
            <val>28.5</val>
          </value>
          <value>
            <val>0.35</val>
          </value>
          <value t="str">
            <val>80.00%</val>
          </value>
          <value t="str">
            <val>45.5萬</val>
          </value>
          <value t="str">
            <val>-17.22</val>
          </value>
          <value t="str">
            <val>-1.46</val>
          </value>
          <value t="str">
            <val>0.00</val>
          </value>
          <value>
            <val>-2</val>
          </value>
          <value>
            <val>0</val>
          </value>
        </values>
      </ddeItem>
      <ddeItem name="52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2022/08/11</val>
          </value>
          <value t="str">
            <val>2.70</val>
          </value>
          <value>
            <val>5.72</val>
          </value>
          <value t="str">
            <val>4.90</val>
          </value>
          <value t="str">
            <val>1.35</val>
          </value>
          <value t="str">
            <val>安力-KY</val>
          </value>
          <value t="str">
            <val>上櫃電腦及週邊設備</val>
          </value>
          <value t="str">
            <val>行動裝置散熱及機構件廠商</val>
          </value>
        </values>
      </ddeItem>
      <ddeItem name="5223.TW-CName,InvestorConferenceDate,DateofMeetingofShareHolders,TradingDate" advise="1">
        <values cols="4">
          <value t="str">
            <val>安力-KY</val>
          </value>
          <value t="str">
            <val>2022/03/21</val>
          </value>
          <value t="str">
            <val>2022/05/26</val>
          </value>
          <value t="str">
            <val>2022/08/01</val>
          </value>
        </values>
      </ddeItem>
      <ddeItem name="5223.TW-ID,Name,MarketValue,Capital,NetIncomeGrowthRate,OperIncomeGrowthRate,FinancialStatementsTime,TFXRatio,MonthlyNetSalesYoY,RevenueMonth" advise="1">
        <values cols="10">
          <value t="str">
            <val>5223</val>
          </value>
          <value t="str">
            <val>安力-KY</val>
          </value>
          <value t="str">
            <val>21.0</val>
          </value>
          <value t="str">
            <val>4.45</val>
          </value>
          <value t="str">
            <val>-17.95</val>
          </value>
          <value t="str">
            <val>-14.14</val>
          </value>
          <value t="str">
            <val>2022/03</val>
          </value>
          <value t="str">
            <val>-9.83</val>
          </value>
          <value t="str">
            <val>55.29</val>
          </value>
          <value t="str">
            <val>2022/06</val>
          </value>
        </values>
      </ddeItem>
      <ddeItem name="5223.TW-OperatingProfitRatio,Price,PriceChangeRatio,InOutRatioNumber,Value,YearReturn,MonthReturn,WeekReturn,FinanceBalanceDif,ChipsField2" advise="1">
        <values cols="10">
          <value t="str">
            <val>14.03</val>
          </value>
          <value>
            <val>47.2</val>
          </value>
          <value>
            <val>-0.42</val>
          </value>
          <value t="str">
            <val>35.29%</val>
          </value>
          <value t="str">
            <val>84.7萬</val>
          </value>
          <value t="str">
            <val>-14.37</val>
          </value>
          <value t="str">
            <val>+4.54</val>
          </value>
          <value t="str">
            <val>-0.63</val>
          </value>
          <value>
            <val>-43</val>
          </value>
          <value>
            <val>0</val>
          </value>
        </values>
      </ddeItem>
      <ddeItem name="52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-15</val>
          </value>
          <value t="str">
            <val>--</val>
          </value>
          <value t="str">
            <val>0.00</val>
          </value>
          <value>
            <val>0</val>
          </value>
          <value t="str">
            <val>-7.11</val>
          </value>
          <value t="str">
            <val>-1.69</val>
          </value>
          <value t="str">
            <val>立凱-KY</val>
          </value>
          <value t="str">
            <val>上櫃電子零組件</val>
          </value>
          <value t="str">
            <val>台灣磷酸鐵鋰電池正極材料廠商</val>
          </value>
        </values>
      </ddeItem>
      <ddeItem name="5227.TW-CName,InvestorConferenceDate,DateofMeetingofShareHolders,TradingDate" advise="1">
        <values cols="4">
          <value t="str">
            <val>立凱-KY</val>
          </value>
          <value t="str">
            <val>2022/06/07</val>
          </value>
          <value t="str">
            <val>2022/06/30</val>
          </value>
          <value t="str">
            <val>2022/08/01</val>
          </value>
        </values>
      </ddeItem>
      <ddeItem name="5227.TW-ID,Name,MarketValue,Capital,NetIncomeGrowthRate,OperIncomeGrowthRate,FinancialStatementsTime,TFXRatio,MonthlyNetSalesYoY,RevenueMonth" advise="1">
        <values cols="10">
          <value t="str">
            <val>5227</val>
          </value>
          <value t="str">
            <val>立凱-KY</val>
          </value>
          <value t="str">
            <val>36.6</val>
          </value>
          <value t="str">
            <val>7.00</val>
          </value>
          <value t="str">
            <val>15.02</val>
          </value>
          <value t="str">
            <val>-45.58</val>
          </value>
          <value t="str">
            <val>2022/03</val>
          </value>
          <value t="str">
            <val>6.00</val>
          </value>
          <value t="str">
            <val>292.36</val>
          </value>
          <value t="str">
            <val>2022/06</val>
          </value>
        </values>
      </ddeItem>
      <ddeItem name="5227.TW-OperatingProfitRatio,Price,PriceChangeRatio,InOutRatioNumber,Value,YearReturn,MonthReturn,WeekReturn,FinanceBalanceDif,ChipsField2" advise="1">
        <values cols="10">
          <value t="str">
            <val>-93.55</val>
          </value>
          <value>
            <val>52.3</val>
          </value>
          <value>
            <val>-0.76</val>
          </value>
          <value t="str">
            <val>33.46%</val>
          </value>
          <value t="str">
            <val>1361萬</val>
          </value>
          <value t="str">
            <val>+39.07</val>
          </value>
          <value t="str">
            <val>-20.15</val>
          </value>
          <value t="str">
            <val>-2.79</val>
          </value>
          <value>
            <val>0</val>
          </value>
          <value>
            <val>0</val>
          </value>
        </values>
      </ddeItem>
      <ddeItem name="52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0.50</val>
          </value>
          <value>
            <val>2.2799999999999998</val>
          </value>
          <value t="str">
            <val>1.95</val>
          </value>
          <value t="str">
            <val>0.61</val>
          </value>
          <value t="str">
            <val>鈺鎧</val>
          </value>
          <value t="str">
            <val>上櫃電子零組件</val>
          </value>
          <value t="str">
            <val>積層式晶片電感專業廠商</val>
          </value>
        </values>
      </ddeItem>
      <ddeItem name="5228.TW-CName,InvestorConferenceDate,DateofMeetingofShareHolders,TradingDate" advise="1">
        <values cols="4">
          <value t="str">
            <val>鈺鎧</val>
          </value>
          <value t="str">
            <val>2022/04/12</val>
          </value>
          <value t="str">
            <val>2022/06/24</val>
          </value>
          <value t="str">
            <val>2022/08/01</val>
          </value>
        </values>
      </ddeItem>
      <ddeItem name="5228.TW-ID,Name,MarketValue,Capital,NetIncomeGrowthRate,OperIncomeGrowthRate,FinancialStatementsTime,TFXRatio,MonthlyNetSalesYoY,RevenueMonth" advise="1">
        <values cols="10">
          <value t="str">
            <val>5228</val>
          </value>
          <value t="str">
            <val>鈺鎧</val>
          </value>
          <value t="str">
            <val>8.3</val>
          </value>
          <value t="str">
            <val>3.81</val>
          </value>
          <value t="str">
            <val>63.08</val>
          </value>
          <value t="str">
            <val>49.38</val>
          </value>
          <value t="str">
            <val>2022/03</val>
          </value>
          <value t="str">
            <val>9.23</val>
          </value>
          <value t="str">
            <val>-0.63</val>
          </value>
          <value t="str">
            <val>2022/06</val>
          </value>
        </values>
      </ddeItem>
      <ddeItem name="5228.TW-OperatingProfitRatio,Price,PriceChangeRatio,InOutRatioNumber,Value,YearReturn,MonthReturn,WeekReturn,FinanceBalanceDif,ChipsField2" advise="1">
        <values cols="10">
          <value t="str">
            <val>11.11</val>
          </value>
          <value>
            <val>21.9</val>
          </value>
          <value>
            <val>1.86</val>
          </value>
          <value t="str">
            <val>78.95%</val>
          </value>
          <value t="str">
            <val>82.0萬</val>
          </value>
          <value t="str">
            <val>--</val>
          </value>
          <value t="str">
            <val>+3.06</val>
          </value>
          <value t="str">
            <val>+1.15</val>
          </value>
          <value>
            <val>0</val>
          </value>
          <value>
            <val>0</val>
          </value>
        </values>
      </ddeItem>
      <ddeItem name="52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2022/06/23</val>
          </value>
          <value t="str">
            <val>0.80</val>
          </value>
          <value>
            <val>3.48</val>
          </value>
          <value t="str">
            <val>1.39</val>
          </value>
          <value t="str">
            <val>0.27</val>
          </value>
          <value t="str">
            <val>雷笛克光學</val>
          </value>
          <value t="str">
            <val>上櫃光電</val>
          </value>
          <value t="str">
            <val>全球最大LED二次光學透鏡廠</val>
          </value>
        </values>
      </ddeItem>
      <ddeItem name="5230.TW-CName,InvestorConferenceDate,DateofMeetingofShareHolders,TradingDate" advise="1">
        <values cols="4">
          <value t="str">
            <val>雷笛克光學</val>
          </value>
          <value t="str">
            <val>2021/11/30</val>
          </value>
          <value t="str">
            <val>2022/06/08</val>
          </value>
          <value t="str">
            <val>2022/08/01</val>
          </value>
        </values>
      </ddeItem>
      <ddeItem name="5230.TW-ID,Name,MarketValue,Capital,NetIncomeGrowthRate,OperIncomeGrowthRate,FinancialStatementsTime,TFXRatio,MonthlyNetSalesYoY,RevenueMonth" advise="1">
        <values cols="10">
          <value t="str">
            <val>5230</val>
          </value>
          <value t="str">
            <val>雷笛克光學</val>
          </value>
          <value t="str">
            <val>10.8</val>
          </value>
          <value t="str">
            <val>4.70</val>
          </value>
          <value t="str">
            <val>85.82</val>
          </value>
          <value t="str">
            <val>24.20</val>
          </value>
          <value t="str">
            <val>2022/03</val>
          </value>
          <value t="str">
            <val>-0.60</val>
          </value>
          <value t="str">
            <val>0.00</val>
          </value>
          <value t="str">
            <val>2022/06</val>
          </value>
        </values>
      </ddeItem>
      <ddeItem name="5230.TW-OperatingProfitRatio,Price,PriceChangeRatio,InOutRatioNumber,Value,YearReturn,MonthReturn,WeekReturn,FinanceBalanceDif,ChipsField2" advise="1">
        <values cols="10">
          <value t="str">
            <val>3.87</val>
          </value>
          <value>
            <val>23</val>
          </value>
          <value>
            <val>0</val>
          </value>
          <value t="str">
            <val>16.67%</val>
          </value>
          <value t="str">
            <val>68.6萬</val>
          </value>
          <value t="str">
            <val>-21.15</val>
          </value>
          <value t="str">
            <val>+6.98</val>
          </value>
          <value t="str">
            <val>-1.08</val>
          </value>
          <value>
            <val>1</val>
          </value>
          <value>
            <val>0</val>
          </value>
        </values>
      </ddeItem>
      <ddeItem name="5236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-45</val>
          </value>
          <value t="str">
            <val>2022/06/30</val>
          </value>
          <value t="str">
            <val>10.00</val>
          </value>
          <value>
            <val>12.74</val>
          </value>
          <value t="str">
            <val>12.00</val>
          </value>
          <value t="str">
            <val>2.81</val>
          </value>
          <value t="str">
            <val>凌陽創新</val>
          </value>
          <value t="str">
            <val>上櫃半導體</val>
          </value>
          <value t="str">
            <val>凌陽旗下MCU與網路攝影機晶片廠</val>
          </value>
        </values>
      </ddeItem>
      <ddeItem name="5236.TW-CName,InvestorConferenceDate,DateofMeetingofShareHolders,TradingDate" advise="1">
        <values cols="4">
          <value t="str">
            <val>凌陽創新</val>
          </value>
          <value t="str">
            <val>2022/04/28</val>
          </value>
          <value t="str">
            <val>2022/06/14</val>
          </value>
          <value t="str">
            <val>2022/08/01</val>
          </value>
        </values>
      </ddeItem>
      <ddeItem name="5236.TW-ID,Name,MarketValue,Capital,NetIncomeGrowthRate,OperIncomeGrowthRate,FinancialStatementsTime,TFXRatio,MonthlyNetSalesYoY,RevenueMonth" advise="1">
        <values cols="10">
          <value t="str">
            <val>5236</val>
          </value>
          <value t="str">
            <val>凌陽創新</val>
          </value>
          <value t="str">
            <val>45.9</val>
          </value>
          <value t="str">
            <val>5.85</val>
          </value>
          <value t="str">
            <val>11.15</val>
          </value>
          <value t="str">
            <val>9.31</val>
          </value>
          <value t="str">
            <val>2022/03</val>
          </value>
          <value t="str">
            <val>-17.64</val>
          </value>
          <value t="str">
            <val>-38.55</val>
          </value>
          <value t="str">
            <val>2022/06</val>
          </value>
        </values>
      </ddeItem>
      <ddeItem name="5236.TW-OperatingProfitRatio,Price,PriceChangeRatio,InOutRatioNumber,Value,YearReturn,MonthReturn,WeekReturn,FinanceBalanceDif,ChipsField2" advise="1">
        <values cols="10">
          <value t="str">
            <val>36.82</val>
          </value>
          <value>
            <val>78.5</val>
          </value>
          <value>
            <val>-1.63</val>
          </value>
          <value t="str">
            <val>42.86%</val>
          </value>
          <value t="str">
            <val>1365萬</val>
          </value>
          <value t="str">
            <val>-58.80</val>
          </value>
          <value t="str">
            <val>-7.65</val>
          </value>
          <value t="str">
            <val>-7.86</val>
          </value>
          <value>
            <val>11</val>
          </value>
          <value>
            <val>0</val>
          </value>
        </values>
      </ddeItem>
      <ddeItem name="5245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47</val>
          </value>
          <value t="str">
            <val>2022/07/13</val>
          </value>
          <value t="str">
            <val>4.48</val>
          </value>
          <value>
            <val>6.97</val>
          </value>
          <value t="str">
            <val>4.67</val>
          </value>
          <value t="str">
            <val>1.05</val>
          </value>
          <value t="str">
            <val>智晶</val>
          </value>
          <value t="str">
            <val>上櫃光電</val>
          </value>
          <value t="str">
            <val>PMOLED出貨量居全球第二大</val>
          </value>
        </values>
      </ddeItem>
      <ddeItem name="5245.TW-CName,InvestorConferenceDate,DateofMeetingofShareHolders,TradingDate" advise="1">
        <values cols="4">
          <value t="str">
            <val>智晶</val>
          </value>
          <value t="str">
            <val>2022/03/29</val>
          </value>
          <value t="str">
            <val>2022/06/27</val>
          </value>
          <value t="str">
            <val>2022/08/01</val>
          </value>
        </values>
      </ddeItem>
      <ddeItem name="5245.TW-ID,Name,MarketValue,Capital,NetIncomeGrowthRate,OperIncomeGrowthRate,FinancialStatementsTime,TFXRatio,MonthlyNetSalesYoY,RevenueMonth" advise="1">
        <values cols="10">
          <value t="str">
            <val>5245</val>
          </value>
          <value t="str">
            <val>智晶</val>
          </value>
          <value t="str">
            <val>28.9</val>
          </value>
          <value t="str">
            <val>4.50</val>
          </value>
          <value t="str">
            <val>23.11</val>
          </value>
          <value t="str">
            <val>13.12</val>
          </value>
          <value t="str">
            <val>2022/03</val>
          </value>
          <value t="str">
            <val>-1.41</val>
          </value>
          <value t="str">
            <val>15.56</val>
          </value>
          <value t="str">
            <val>2022/06</val>
          </value>
        </values>
      </ddeItem>
      <ddeItem name="5245.TW-OperatingProfitRatio,Price,PriceChangeRatio,InOutRatioNumber,Value,YearReturn,MonthReturn,WeekReturn,FinanceBalanceDif,ChipsField2" advise="1">
        <values cols="10">
          <value t="str">
            <val>14.48</val>
          </value>
          <value>
            <val>64.3</val>
          </value>
          <value>
            <val>-2.87</val>
          </value>
          <value t="str">
            <val>17.88%</val>
          </value>
          <value t="str">
            <val>2663萬</val>
          </value>
          <value t="str">
            <val>+63.57</val>
          </value>
          <value t="str">
            <val>+18.52</val>
          </value>
          <value t="str">
            <val>-2.58</val>
          </value>
          <value>
            <val>21</val>
          </value>
          <value>
            <val>0</val>
          </value>
        </values>
      </ddeItem>
      <ddeItem name="525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--</val>
          </value>
          <value t="str">
            <val>0.00</val>
          </value>
          <value>
            <val>0</val>
          </value>
          <value t="str">
            <val>-2.36</val>
          </value>
          <value t="str">
            <val>-0.54</val>
          </value>
          <value t="str">
            <val>天鉞電</val>
          </value>
          <value t="str">
            <val>上櫃光電</val>
          </value>
          <value t="str">
            <val>以DIY類無線居家安控產品為主之數位家庭整合系統商</val>
          </value>
        </values>
      </ddeItem>
      <ddeItem name="5251.TW-CName,InvestorConferenceDate,DateofMeetingofShareHolders,TradingDate" advise="1">
        <values cols="4">
          <value t="str">
            <val>天鉞電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5251.TW-ID,Name,MarketValue,Capital,NetIncomeGrowthRate,OperIncomeGrowthRate,FinancialStatementsTime,TFXRatio,MonthlyNetSalesYoY,RevenueMonth" advise="1">
        <values cols="10">
          <value t="str">
            <val>5251</val>
          </value>
          <value t="str">
            <val>天鉞電</val>
          </value>
          <value t="str">
            <val>6.4</val>
          </value>
          <value t="str">
            <val>3.57</val>
          </value>
          <value t="str">
            <val>-8.99</val>
          </value>
          <value t="str">
            <val>-18.10</val>
          </value>
          <value t="str">
            <val>2022/03</val>
          </value>
          <value t="str">
            <val>8.56</val>
          </value>
          <value t="str">
            <val>91.58</val>
          </value>
          <value t="str">
            <val>2022/06</val>
          </value>
        </values>
      </ddeItem>
      <ddeItem name="5251.TW-OperatingProfitRatio,Price,PriceChangeRatio,InOutRatioNumber,Value,YearReturn,MonthReturn,WeekReturn,FinanceBalanceDif,ChipsField2" advise="1">
        <values cols="10">
          <value t="str">
            <val>-54.79</val>
          </value>
          <value>
            <val>18.05</val>
          </value>
          <value>
            <val>0.84</val>
          </value>
          <value t="str">
            <val>54.69%</val>
          </value>
          <value t="str">
            <val>2134萬</val>
          </value>
          <value t="str">
            <val>+29.86</val>
          </value>
          <value t="str">
            <val>+14.24</val>
          </value>
          <value t="str">
            <val>+3.74</val>
          </value>
          <value>
            <val>-18</val>
          </value>
          <value>
            <val>0</val>
          </value>
        </values>
      </ddeItem>
      <ddeItem name="5263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37</val>
          </value>
          <value t="str">
            <val>--</val>
          </value>
          <value t="str">
            <val>0.00</val>
          </value>
          <value>
            <val>0</val>
          </value>
          <value t="str">
            <val>-1.96</val>
          </value>
          <value t="str">
            <val>-0.20</val>
          </value>
          <value t="str">
            <val>智崴</val>
          </value>
          <value t="str">
            <val>上櫃文化創意</val>
          </value>
          <value t="str">
            <val>台灣最大體感遊戲設備商</val>
          </value>
        </values>
      </ddeItem>
      <ddeItem name="5263.TW-CName,InvestorConferenceDate,DateofMeetingofShareHolders,TradingDate" advise="1">
        <values cols="4">
          <value t="str">
            <val>智崴</val>
          </value>
          <value t="str">
            <val>2022/01/04</val>
          </value>
          <value t="str">
            <val>2022/05/27</val>
          </value>
          <value t="str">
            <val>2022/08/01</val>
          </value>
        </values>
      </ddeItem>
      <ddeItem name="5263.TW-ID,Name,MarketValue,Capital,NetIncomeGrowthRate,OperIncomeGrowthRate,FinancialStatementsTime,TFXRatio,MonthlyNetSalesYoY,RevenueMonth" advise="1">
        <values cols="10">
          <value t="str">
            <val>5263</val>
          </value>
          <value t="str">
            <val>智崴</val>
          </value>
          <value t="str">
            <val>75.6</val>
          </value>
          <value t="str">
            <val>6.10</val>
          </value>
          <value t="str">
            <val>59.77</val>
          </value>
          <value t="str">
            <val>-88.43</val>
          </value>
          <value t="str">
            <val>2022/03</val>
          </value>
          <value t="str">
            <val>14.79</val>
          </value>
          <value t="str">
            <val>0.87</val>
          </value>
          <value t="str">
            <val>2022/06</val>
          </value>
        </values>
      </ddeItem>
      <ddeItem name="5263.TW-OperatingProfitRatio,Price,PriceChangeRatio,InOutRatioNumber,Value,YearReturn,MonthReturn,WeekReturn,FinanceBalanceDif,ChipsField2" advise="1">
        <values cols="10">
          <value t="str">
            <val>-26.37</val>
          </value>
          <value>
            <val>124</val>
          </value>
          <value>
            <val>2.06</val>
          </value>
          <value t="str">
            <val>62.63%</val>
          </value>
          <value t="str">
            <val>3474萬</val>
          </value>
          <value t="str">
            <val>-5.70</val>
          </value>
          <value t="str">
            <val>+16.98</val>
          </value>
          <value t="str">
            <val>+4.20</val>
          </value>
          <value>
            <val>-8</val>
          </value>
          <value>
            <val>0</val>
          </value>
        </values>
      </ddeItem>
      <ddeItem name="52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</val>
          </value>
          <value t="str">
            <val>2022/06/21</val>
          </value>
          <value t="str">
            <val>0.86</val>
          </value>
          <value>
            <val>2.5499999999999998</val>
          </value>
          <value t="str">
            <val>1.61</val>
          </value>
          <value t="str">
            <val>0.50</val>
          </value>
          <value t="str">
            <val>笙科</val>
          </value>
          <value t="str">
            <val>上櫃半導體</val>
          </value>
          <value t="str">
            <val>台灣專注於無線通訊射頻(RF)晶片廠</val>
          </value>
        </values>
      </ddeItem>
      <ddeItem name="5272.TW-CName,InvestorConferenceDate,DateofMeetingofShareHolders,TradingDate" advise="1">
        <values cols="4">
          <value t="str">
            <val>笙科</val>
          </value>
          <value t="str">
            <val>--</val>
          </value>
          <value t="str">
            <val>2022/06/06</val>
          </value>
          <value t="str">
            <val>2022/08/01</val>
          </value>
        </values>
      </ddeItem>
      <ddeItem name="5272.TW-ID,Name,MarketValue,Capital,NetIncomeGrowthRate,OperIncomeGrowthRate,FinancialStatementsTime,TFXRatio,MonthlyNetSalesYoY,RevenueMonth" advise="1">
        <values cols="10">
          <value t="str">
            <val>5272</val>
          </value>
          <value t="str">
            <val>笙科</val>
          </value>
          <value t="str">
            <val>18.9</val>
          </value>
          <value t="str">
            <val>5.60</val>
          </value>
          <value t="str">
            <val>206.59</val>
          </value>
          <value t="str">
            <val>127.65</val>
          </value>
          <value t="str">
            <val>2022/06</val>
          </value>
          <value t="str">
            <val>-4.55</val>
          </value>
          <value t="str">
            <val>10.25</val>
          </value>
          <value t="str">
            <val>2022/06</val>
          </value>
        </values>
      </ddeItem>
      <ddeItem name="5272.TW-OperatingProfitRatio,Price,PriceChangeRatio,InOutRatioNumber,Value,YearReturn,MonthReturn,WeekReturn,FinanceBalanceDif,ChipsField2" advise="1">
        <values cols="10">
          <value t="str">
            <val>12.06</val>
          </value>
          <value>
            <val>33.700000000000003</val>
          </value>
          <value>
            <val>-0.15</val>
          </value>
          <value t="str">
            <val>46.06%</val>
          </value>
          <value t="str">
            <val>1593萬</val>
          </value>
          <value t="str">
            <val>-8.05</val>
          </value>
          <value t="str">
            <val>+0.30</val>
          </value>
          <value t="str">
            <val>-3.85</val>
          </value>
          <value>
            <val>-63</val>
          </value>
          <value>
            <val>0</val>
          </value>
        </values>
      </ddeItem>
      <ddeItem name="5274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31</val>
          </value>
          <value t="str">
            <val>2022/06/28</val>
          </value>
          <value t="str">
            <val>36.00</val>
          </value>
          <value>
            <val>1.97</val>
          </value>
          <value t="str">
            <val>44.75</val>
          </value>
          <value t="str">
            <val>13.64</val>
          </value>
          <value t="str">
            <val>信驊</val>
          </value>
          <value t="str">
            <val>上櫃半導體</val>
          </value>
          <value t="str">
            <val>宏正轉投資之全球伺服器管理晶片龍頭</val>
          </value>
        </values>
      </ddeItem>
      <ddeItem name="5274.TW-CName,InvestorConferenceDate,DateofMeetingofShareHolders,TradingDate" advise="1">
        <values cols="4">
          <value t="str">
            <val>信驊</val>
          </value>
          <value t="str">
            <val>2021/10/20</val>
          </value>
          <value t="str">
            <val>2022/05/31</val>
          </value>
          <value t="str">
            <val>2022/08/01</val>
          </value>
        </values>
      </ddeItem>
      <ddeItem name="5274.TW-ID,Name,MarketValue,Capital,NetIncomeGrowthRate,OperIncomeGrowthRate,FinancialStatementsTime,TFXRatio,MonthlyNetSalesYoY,RevenueMonth" advise="1">
        <values cols="10">
          <value t="str">
            <val>5274</val>
          </value>
          <value t="str">
            <val>信驊</val>
          </value>
          <value t="str">
            <val>689.7</val>
          </value>
          <value t="str">
            <val>3.78</val>
          </value>
          <value t="str">
            <val>89.63</val>
          </value>
          <value t="str">
            <val>78.21</val>
          </value>
          <value t="str">
            <val>2022/03</val>
          </value>
          <value t="str">
            <val>8.54</val>
          </value>
          <value t="str">
            <val>53.67</val>
          </value>
          <value t="str">
            <val>2022/06</val>
          </value>
        </values>
      </ddeItem>
      <ddeItem name="5274.TW-OperatingProfitRatio,Price,PriceChangeRatio,InOutRatioNumber,Value,YearReturn,MonthReturn,WeekReturn,FinanceBalanceDif,ChipsField2" advise="1">
        <values cols="10">
          <value t="str">
            <val>47.37</val>
          </value>
          <value>
            <val>1825</val>
          </value>
          <value>
            <val>-5.19</val>
          </value>
          <value t="str">
            <val>37.89%</val>
          </value>
          <value t="str">
            <val>7.35億</val>
          </value>
          <value t="str">
            <val>-9.24</val>
          </value>
          <value t="str">
            <val>+5.80</val>
          </value>
          <value t="str">
            <val>+1.11</val>
          </value>
          <value>
            <val>-28</val>
          </value>
          <value>
            <val>53</val>
          </value>
        </values>
      </ddeItem>
      <ddeItem name="52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2022/07/29</val>
          </value>
          <value t="str">
            <val>0.11</val>
          </value>
          <value>
            <val>0.73</val>
          </value>
          <value t="str">
            <val>0.29</val>
          </value>
          <value t="str">
            <val>-0.11</val>
          </value>
          <value t="str">
            <val>達輝-KY</val>
          </value>
          <value t="str">
            <val>上櫃其他</val>
          </value>
          <value t="str">
            <val>奐鑫集團旗下生產嬰幼兒安全座椅及機車零組件廠</val>
          </value>
        </values>
      </ddeItem>
      <ddeItem name="5276.TW-CName,InvestorConferenceDate,DateofMeetingofShareHolders,TradingDate" advise="1">
        <values cols="4">
          <value t="str">
            <val>達輝-KY</val>
          </value>
          <value t="str">
            <val>2022/06/24</val>
          </value>
          <value t="str">
            <val>2022/06/21</val>
          </value>
          <value t="str">
            <val>2022/08/01</val>
          </value>
        </values>
      </ddeItem>
      <ddeItem name="5276.TW-ID,Name,MarketValue,Capital,NetIncomeGrowthRate,OperIncomeGrowthRate,FinancialStatementsTime,TFXRatio,MonthlyNetSalesYoY,RevenueMonth" advise="1">
        <values cols="10">
          <value t="str">
            <val>5276</val>
          </value>
          <value t="str">
            <val>達輝-KY</val>
          </value>
          <value t="str">
            <val>6.0</val>
          </value>
          <value t="str">
            <val>3.95</val>
          </value>
          <value t="str">
            <val>-163.06</val>
          </value>
          <value t="str">
            <val>-102.41</val>
          </value>
          <value t="str">
            <val>2022/03</val>
          </value>
          <value t="str">
            <val>-0.77</val>
          </value>
          <value t="str">
            <val>111.30</val>
          </value>
          <value t="str">
            <val>2022/06</val>
          </value>
        </values>
      </ddeItem>
      <ddeItem name="5276.TW-OperatingProfitRatio,Price,PriceChangeRatio,InOutRatioNumber,Value,YearReturn,MonthReturn,WeekReturn,FinanceBalanceDif,ChipsField2" advise="1">
        <values cols="10">
          <value t="str">
            <val>-0.20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-3.11</val>
          </value>
          <value t="str">
            <val>+1.42</val>
          </value>
          <value t="str">
            <val>-2.17</val>
          </value>
          <value>
            <val>0</val>
          </value>
          <value>
            <val>0</val>
          </value>
        </values>
      </ddeItem>
      <ddeItem name="527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2022/08/10</val>
          </value>
          <value t="str">
            <val>9.37</val>
          </value>
          <value>
            <val>7.56</val>
          </value>
          <value t="str">
            <val>16.70</val>
          </value>
          <value t="str">
            <val>3.31</val>
          </value>
          <value t="str">
            <val>尚凡</val>
          </value>
          <value t="str">
            <val>上櫃電子商務</val>
          </value>
          <value t="str">
            <val>台灣知名交友社群媒體服務商</val>
          </value>
        </values>
      </ddeItem>
      <ddeItem name="5278.TW-CName,InvestorConferenceDate,DateofMeetingofShareHolders,TradingDate" advise="1">
        <values cols="4">
          <value t="str">
            <val>尚凡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5278.TW-ID,Name,MarketValue,Capital,NetIncomeGrowthRate,OperIncomeGrowthRate,FinancialStatementsTime,TFXRatio,MonthlyNetSalesYoY,RevenueMonth" advise="1">
        <values cols="10">
          <value t="str">
            <val>5278</val>
          </value>
          <value t="str">
            <val>尚凡</val>
          </value>
          <value t="str">
            <val>40.7</val>
          </value>
          <value t="str">
            <val>1.52</val>
          </value>
          <value t="str">
            <val>4.97</val>
          </value>
          <value t="str">
            <val>-9.96</val>
          </value>
          <value t="str">
            <val>2022/03</val>
          </value>
          <value t="str">
            <val>-0.94</val>
          </value>
          <value t="str">
            <val>10.96</val>
          </value>
          <value t="str">
            <val>2022/06</val>
          </value>
        </values>
      </ddeItem>
      <ddeItem name="5278.TW-OperatingProfitRatio,Price,PriceChangeRatio,InOutRatioNumber,Value,YearReturn,MonthReturn,WeekReturn,FinanceBalanceDif,ChipsField2" advise="1">
        <values cols="10">
          <value t="str">
            <val>12.45</val>
          </value>
          <value>
            <val>267</val>
          </value>
          <value>
            <val>2.5</val>
          </value>
          <value t="str">
            <val>74.42%</val>
          </value>
          <value t="str">
            <val>1138萬</val>
          </value>
          <value t="str">
            <val>+69.83</val>
          </value>
          <value t="str">
            <val>+12.90</val>
          </value>
          <value t="str">
            <val>+4.71</val>
          </value>
          <value>
            <val>0</val>
          </value>
          <value>
            <val>0</val>
          </value>
        </values>
      </ddeItem>
      <ddeItem name="52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-0.92</val>
          </value>
          <value t="str">
            <val>-0.91</val>
          </value>
          <value t="str">
            <val>大峽谷-KY</val>
          </value>
          <value t="str">
            <val>上櫃光電</val>
          </value>
          <value t="str">
            <val>大陸LED建築景觀照明系統商</val>
          </value>
        </values>
      </ddeItem>
      <ddeItem name="5281.TW-CName,InvestorConferenceDate,DateofMeetingofShareHolders,TradingDate" advise="1">
        <values cols="4">
          <value t="str">
            <val>大峽谷-KY</val>
          </value>
          <value t="str">
            <val>2021/12/29</val>
          </value>
          <value t="str">
            <val>2022/06/27</val>
          </value>
          <value t="str">
            <val>2022/08/01</val>
          </value>
        </values>
      </ddeItem>
      <ddeItem name="5281.TW-ID,Name,MarketValue,Capital,NetIncomeGrowthRate,OperIncomeGrowthRate,FinancialStatementsTime,TFXRatio,MonthlyNetSalesYoY,RevenueMonth" advise="1">
        <values cols="10">
          <value t="str">
            <val>5281</val>
          </value>
          <value t="str">
            <val>大峽谷-KY</val>
          </value>
          <value t="str">
            <val>6.5</val>
          </value>
          <value t="str">
            <val>3.70</val>
          </value>
          <value t="str">
            <val>-46.24</val>
          </value>
          <value t="str">
            <val>-61.45</val>
          </value>
          <value t="str">
            <val>2022/03</val>
          </value>
          <value t="str">
            <val>-4.63</val>
          </value>
          <value t="str">
            <val>-58.52</val>
          </value>
          <value t="str">
            <val>2022/06</val>
          </value>
        </values>
      </ddeItem>
      <ddeItem name="5281.TW-OperatingProfitRatio,Price,PriceChangeRatio,InOutRatioNumber,Value,YearReturn,MonthReturn,WeekReturn,FinanceBalanceDif,ChipsField2" advise="1">
        <values cols="10">
          <value t="str">
            <val>-27.97</val>
          </value>
          <value>
            <val>17.45</val>
          </value>
          <value>
            <val>0.57999999999999996</val>
          </value>
          <value t="str">
            <val>50.00%</val>
          </value>
          <value t="str">
            <val>10.6萬</val>
          </value>
          <value t="str">
            <val>-23.56</val>
          </value>
          <value t="str">
            <val>-6.18</val>
          </value>
          <value t="str">
            <val>+0.58</val>
          </value>
          <value>
            <val>-3</val>
          </value>
          <value>
            <val>0</val>
          </value>
        </values>
      </ddeItem>
      <ddeItem name="52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2022/04/14</val>
          </value>
          <value t="str">
            <val>11.30</val>
          </value>
          <value>
            <val>5.62</val>
          </value>
          <value t="str">
            <val>13.28</val>
          </value>
          <value t="str">
            <val>3.00</val>
          </value>
          <value t="str">
            <val>數字</val>
          </value>
          <value t="str">
            <val>上櫃電子商務</val>
          </value>
          <value t="str">
            <val>電商平台包含寶物、房屋、汽車交易及人力資源</val>
          </value>
        </values>
      </ddeItem>
      <ddeItem name="5287.TW-CName,InvestorConferenceDate,DateofMeetingofShareHolders,TradingDate" advise="1">
        <values cols="4">
          <value t="str">
            <val>數字</val>
          </value>
          <value t="str">
            <val>2022/06/29</val>
          </value>
          <value t="str">
            <val>2022/06/15</val>
          </value>
          <value t="str">
            <val>2022/08/01</val>
          </value>
        </values>
      </ddeItem>
      <ddeItem name="5287.TW-ID,Name,MarketValue,Capital,NetIncomeGrowthRate,OperIncomeGrowthRate,FinancialStatementsTime,TFXRatio,MonthlyNetSalesYoY,RevenueMonth" advise="1">
        <values cols="10">
          <value t="str">
            <val>5287</val>
          </value>
          <value t="str">
            <val>數字</val>
          </value>
          <value t="str">
            <val>102.1</val>
          </value>
          <value t="str">
            <val>5.08</val>
          </value>
          <value t="str">
            <val>3.69</val>
          </value>
          <value t="str">
            <val>7.29</val>
          </value>
          <value t="str">
            <val>2022/03</val>
          </value>
          <value t="str">
            <val>-6.95</val>
          </value>
          <value t="str">
            <val>28.18</val>
          </value>
          <value t="str">
            <val>2022/06</val>
          </value>
        </values>
      </ddeItem>
      <ddeItem name="5287.TW-OperatingProfitRatio,Price,PriceChangeRatio,InOutRatioNumber,Value,YearReturn,MonthReturn,WeekReturn,FinanceBalanceDif,ChipsField2" advise="1">
        <values cols="10">
          <value t="str">
            <val>40.06</val>
          </value>
          <value>
            <val>201</val>
          </value>
          <value>
            <val>1.26</val>
          </value>
          <value t="str">
            <val>20.00%</val>
          </value>
          <value t="str">
            <val>121萬</val>
          </value>
          <value t="str">
            <val>+6.67</val>
          </value>
          <value t="str">
            <val>+4.15</val>
          </value>
          <value t="str">
            <val>+2.29</val>
          </value>
          <value>
            <val>0</val>
          </value>
          <value>
            <val>0</val>
          </value>
        </values>
      </ddeItem>
      <ddeItem name="52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64</val>
          </value>
          <value t="str">
            <val>2022/07/29</val>
          </value>
          <value t="str">
            <val>11.82</val>
          </value>
          <value>
            <val>6.89</val>
          </value>
          <value t="str">
            <val>20.41</val>
          </value>
          <value t="str">
            <val>4.64</val>
          </value>
          <value t="str">
            <val>宜鼎</val>
          </value>
          <value t="str">
            <val>上櫃電腦及週邊設備</val>
          </value>
          <value t="str">
            <val>台灣專攻工業用嵌入式儲存裝置供應商</val>
          </value>
        </values>
      </ddeItem>
      <ddeItem name="5289.TW-CName,InvestorConferenceDate,DateofMeetingofShareHolders,TradingDate" advise="1">
        <values cols="4">
          <value t="str">
            <val>宜鼎</val>
          </value>
          <value t="str">
            <val>2022/04/11</val>
          </value>
          <value t="str">
            <val>2022/05/31</val>
          </value>
          <value t="str">
            <val>2022/08/01</val>
          </value>
        </values>
      </ddeItem>
      <ddeItem name="5289.TW-ID,Name,MarketValue,Capital,NetIncomeGrowthRate,OperIncomeGrowthRate,FinancialStatementsTime,TFXRatio,MonthlyNetSalesYoY,RevenueMonth" advise="1">
        <values cols="10">
          <value t="str">
            <val>5289</val>
          </value>
          <value t="str">
            <val>宜鼎</val>
          </value>
          <value t="str">
            <val>148.2</val>
          </value>
          <value t="str">
            <val>8.64</val>
          </value>
          <value t="str">
            <val>49.23</val>
          </value>
          <value t="str">
            <val>32.75</val>
          </value>
          <value t="str">
            <val>2022/03</val>
          </value>
          <value t="str">
            <val>-3.53</val>
          </value>
          <value t="str">
            <val>-12.90</val>
          </value>
          <value t="str">
            <val>2022/06</val>
          </value>
        </values>
      </ddeItem>
      <ddeItem name="5289.TW-OperatingProfitRatio,Price,PriceChangeRatio,InOutRatioNumber,Value,YearReturn,MonthReturn,WeekReturn,FinanceBalanceDif,ChipsField2" advise="1">
        <values cols="10">
          <value t="str">
            <val>16.32</val>
          </value>
          <value>
            <val>171.5</val>
          </value>
          <value>
            <val>1.78</val>
          </value>
          <value t="str">
            <val>66.15%</val>
          </value>
          <value t="str">
            <val>3366萬</val>
          </value>
          <value t="str">
            <val>-19.07</val>
          </value>
          <value t="str">
            <val>+17.70</val>
          </value>
          <value t="str">
            <val>+5.83</val>
          </value>
          <value>
            <val>-16</val>
          </value>
          <value>
            <val>0</val>
          </value>
        </values>
      </ddeItem>
      <ddeItem name="52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2022/07/21</val>
          </value>
          <value t="str">
            <val>2.01</val>
          </value>
          <value>
            <val>5.51</val>
          </value>
          <value t="str">
            <val>4.54</val>
          </value>
          <value t="str">
            <val>1.15</val>
          </value>
          <value t="str">
            <val>邑昇</val>
          </value>
          <value t="str">
            <val>上櫃電子零組件</val>
          </value>
          <value t="str">
            <val>台灣印刷電路板與自行車燈具業者</val>
          </value>
        </values>
      </ddeItem>
      <ddeItem name="5291.TW-CName,InvestorConferenceDate,DateofMeetingofShareHolders,TradingDate" advise="1">
        <values cols="4">
          <value t="str">
            <val>邑昇</val>
          </value>
          <value t="str">
            <val>2021/05/04</val>
          </value>
          <value t="str">
            <val>2022/06/20</val>
          </value>
          <value t="str">
            <val>2022/08/01</val>
          </value>
        </values>
      </ddeItem>
      <ddeItem name="5291.TW-ID,Name,MarketValue,Capital,NetIncomeGrowthRate,OperIncomeGrowthRate,FinancialStatementsTime,TFXRatio,MonthlyNetSalesYoY,RevenueMonth" advise="1">
        <values cols="10">
          <value t="str">
            <val>5291</val>
          </value>
          <value t="str">
            <val>邑昇</val>
          </value>
          <value t="str">
            <val>14.9</val>
          </value>
          <value t="str">
            <val>4.09</val>
          </value>
          <value t="str">
            <val>47.89</val>
          </value>
          <value t="str">
            <val>14.27</val>
          </value>
          <value t="str">
            <val>2022/03</val>
          </value>
          <value t="str">
            <val>13.92</val>
          </value>
          <value t="str">
            <val>-3.80</val>
          </value>
          <value t="str">
            <val>2022/06</val>
          </value>
        </values>
      </ddeItem>
      <ddeItem name="5291.TW-OperatingProfitRatio,Price,PriceChangeRatio,InOutRatioNumber,Value,YearReturn,MonthReturn,WeekReturn,FinanceBalanceDif,ChipsField2" advise="1">
        <values cols="10">
          <value t="str">
            <val>12.43</val>
          </value>
          <value>
            <val>36.450000000000003</val>
          </value>
          <value>
            <val>0.14000000000000001</val>
          </value>
          <value t="str">
            <val>35.14%</val>
          </value>
          <value t="str">
            <val>135萬</val>
          </value>
          <value t="str">
            <val>-17.31</val>
          </value>
          <value t="str">
            <val>+9.96</val>
          </value>
          <value t="str">
            <val>+1.25</val>
          </value>
          <value>
            <val>-14</val>
          </value>
          <value>
            <val>0</val>
          </value>
        </values>
      </ddeItem>
      <ddeItem name="5299.TW-ChipsField3,ChipsField1,ChipsField25,CashAndStockDividend,CashDividendYieldRate,ProfitFourSeason,ProfitSingle,CName,ExchangeIndustry,CompanyPos" advise="1">
        <values cols="10">
          <value>
            <val>35</val>
          </value>
          <value>
            <val>136</val>
          </value>
          <value t="str">
            <val>2022/08/01</val>
          </value>
          <value t="str">
            <val>11.59</val>
          </value>
          <value>
            <val>8.65</val>
          </value>
          <value t="str">
            <val>20.30</val>
          </value>
          <value t="str">
            <val>4.97</val>
          </value>
          <value t="str">
            <val>杰力</val>
          </value>
          <value t="str">
            <val>上櫃半導體</val>
          </value>
          <value t="str">
            <val>華碩轉投資的功率元件設計公司</val>
          </value>
        </values>
      </ddeItem>
      <ddeItem name="5299.TW-CName,InvestorConferenceDate,DateofMeetingofShareHolders,TradingDate" advise="1">
        <values cols="4">
          <value t="str">
            <val>杰力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5299.TW-ID,Name,MarketValue,Capital,NetIncomeGrowthRate,OperIncomeGrowthRate,FinancialStatementsTime,TFXRatio,MonthlyNetSalesYoY,RevenueMonth" advise="1">
        <values cols="10">
          <value t="str">
            <val>5299</val>
          </value>
          <value t="str">
            <val>杰力</val>
          </value>
          <value t="str">
            <val>48.0</val>
          </value>
          <value t="str">
            <val>3.59</val>
          </value>
          <value t="str">
            <val>34.43</val>
          </value>
          <value t="str">
            <val>20.21</val>
          </value>
          <value t="str">
            <val>2022/06</val>
          </value>
          <value t="str">
            <val>-9.19</val>
          </value>
          <value t="str">
            <val>-5.62</val>
          </value>
          <value t="str">
            <val>2022/06</val>
          </value>
        </values>
      </ddeItem>
      <ddeItem name="5299.TW-OperatingProfitRatio,Price,PriceChangeRatio,InOutRatioNumber,Value,YearReturn,MonthReturn,WeekReturn,FinanceBalanceDif,ChipsField2" advise="1">
        <values cols="10">
          <value t="str">
            <val>29.06</val>
          </value>
          <value>
            <val>134</val>
          </value>
          <value>
            <val>-1.83</val>
          </value>
          <value t="str">
            <val>27.79%</val>
          </value>
          <value t="str">
            <val>9732萬</val>
          </value>
          <value t="str">
            <val>-38.27</val>
          </value>
          <value t="str">
            <val>+7.29</val>
          </value>
          <value t="str">
            <val>-0.76</val>
          </value>
          <value>
            <val>-9</val>
          </value>
          <value>
            <val>0</val>
          </value>
        </values>
      </ddeItem>
      <ddeItem name="53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0.00</val>
          </value>
          <value>
            <val>0</val>
          </value>
          <value t="str">
            <val>-1.74</val>
          </value>
          <value t="str">
            <val>-0.12</val>
          </value>
          <value t="str">
            <val>寶得利</val>
          </value>
          <value t="str">
            <val>上櫃觀光</val>
          </value>
          <value t="str">
            <val>珠寶精品設計與銷售，並經營旅行社</val>
          </value>
        </values>
      </ddeItem>
      <ddeItem name="5301.TW-CName,InvestorConferenceDate,DateofMeetingofShareHolders,TradingDate" advise="1">
        <values cols="4">
          <value t="str">
            <val>寶得利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5301.TW-ID,Name,MarketValue,Capital,NetIncomeGrowthRate,OperIncomeGrowthRate,FinancialStatementsTime,TFXRatio,MonthlyNetSalesYoY,RevenueMonth" advise="1">
        <values cols="10">
          <value t="str">
            <val>5301</val>
          </value>
          <value t="str">
            <val>寶得利</val>
          </value>
          <value t="str">
            <val>12.2</val>
          </value>
          <value t="str">
            <val>10.46</val>
          </value>
          <value t="str">
            <val>72.29</val>
          </value>
          <value t="str">
            <val>54.64</val>
          </value>
          <value t="str">
            <val>2022/03</val>
          </value>
          <value t="str">
            <val>43.02</val>
          </value>
          <value t="str">
            <val>373.44</val>
          </value>
          <value t="str">
            <val>2022/06</val>
          </value>
        </values>
      </ddeItem>
      <ddeItem name="5301.TW-OperatingProfitRatio,Price,PriceChangeRatio,InOutRatioNumber,Value,YearReturn,MonthReturn,WeekReturn,FinanceBalanceDif,ChipsField2" advise="1">
        <values cols="10">
          <value t="str">
            <val>-125.87</val>
          </value>
          <value>
            <val>11.7</val>
          </value>
          <value>
            <val>-1.27</val>
          </value>
          <value t="str">
            <val>7.14%</val>
          </value>
          <value t="str">
            <val>75.6萬</val>
          </value>
          <value t="str">
            <val>+17.00</val>
          </value>
          <value t="str">
            <val>+4.00</val>
          </value>
          <value t="str">
            <val>0.00</val>
          </value>
          <value>
            <val>0</val>
          </value>
          <value>
            <val>0</val>
          </value>
        </values>
      </ddeItem>
      <ddeItem name="53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0.00</val>
          </value>
          <value>
            <val>0</val>
          </value>
          <value t="str">
            <val>-0.29</val>
          </value>
          <value t="str">
            <val>-0.07</val>
          </value>
          <value t="str">
            <val>太欣</val>
          </value>
          <value t="str">
            <val>上櫃半導體</val>
          </value>
          <value t="str">
            <val>台灣第一家IC設計廠商，現專注影像擷取錄影之單晶片開發</val>
          </value>
        </values>
      </ddeItem>
      <ddeItem name="5302.TW-CName,InvestorConferenceDate,DateofMeetingofShareHolders,TradingDate" advise="1">
        <values cols="4">
          <value t="str">
            <val>太欣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5302.TW-ID,Name,MarketValue,Capital,NetIncomeGrowthRate,OperIncomeGrowthRate,FinancialStatementsTime,TFXRatio,MonthlyNetSalesYoY,RevenueMonth" advise="1">
        <values cols="10">
          <value t="str">
            <val>5302</val>
          </value>
          <value t="str">
            <val>太欣</val>
          </value>
          <value t="str">
            <val>15.4</val>
          </value>
          <value t="str">
            <val>15.99</val>
          </value>
          <value t="str">
            <val>-47.00</val>
          </value>
          <value t="str">
            <val>-41.48</val>
          </value>
          <value t="str">
            <val>2022/03</val>
          </value>
          <value t="str">
            <val>9.48</val>
          </value>
          <value t="str">
            <val>-66.60</val>
          </value>
          <value t="str">
            <val>2022/06</val>
          </value>
        </values>
      </ddeItem>
      <ddeItem name="5302.TW-OperatingProfitRatio,Price,PriceChangeRatio,InOutRatioNumber,Value,YearReturn,MonthReturn,WeekReturn,FinanceBalanceDif,ChipsField2" advise="1">
        <values cols="10">
          <value t="str">
            <val>-728.37</val>
          </value>
          <value>
            <val>9.6199999999999992</val>
          </value>
          <value>
            <val>-1.74</val>
          </value>
          <value t="str">
            <val>54.92%</val>
          </value>
          <value t="str">
            <val>187萬</val>
          </value>
          <value t="str">
            <val>-37.53</val>
          </value>
          <value t="str">
            <val>+9.07</val>
          </value>
          <value t="str">
            <val>-0.93</val>
          </value>
          <value>
            <val>0</val>
          </value>
          <value>
            <val>0</val>
          </value>
        </values>
      </ddeItem>
      <ddeItem name="53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-70</val>
          </value>
          <value t="str">
            <val>--</val>
          </value>
          <value t="str">
            <val>0.00</val>
          </value>
          <value>
            <val>0</val>
          </value>
          <value t="str">
            <val>1.03</val>
          </value>
          <value t="str">
            <val>0.48</val>
          </value>
          <value t="str">
            <val>系統電</val>
          </value>
          <value t="str">
            <val>上櫃電子零組件</val>
          </value>
          <value t="str">
            <val>電腦週邊及車用電子廠</val>
          </value>
        </values>
      </ddeItem>
      <ddeItem name="5309.TW-CName,InvestorConferenceDate,DateofMeetingofShareHolders,TradingDate" advise="1">
        <values cols="4">
          <value t="str">
            <val>系統電</val>
          </value>
          <value t="str">
            <val>2022/05/31</val>
          </value>
          <value t="str">
            <val>2022/04/29</val>
          </value>
          <value t="str">
            <val>2022/08/01</val>
          </value>
        </values>
      </ddeItem>
      <ddeItem name="5309.TW-ID,Name,MarketValue,Capital,NetIncomeGrowthRate,OperIncomeGrowthRate,FinancialStatementsTime,TFXRatio,MonthlyNetSalesYoY,RevenueMonth" advise="1">
        <values cols="10">
          <value t="str">
            <val>5309</val>
          </value>
          <value t="str">
            <val>系統電</val>
          </value>
          <value t="str">
            <val>61.9</val>
          </value>
          <value t="str">
            <val>15.63</val>
          </value>
          <value t="str">
            <val>656.04</val>
          </value>
          <value t="str">
            <val>8751.39</val>
          </value>
          <value t="str">
            <val>2022/03</val>
          </value>
          <value t="str">
            <val>6.47</val>
          </value>
          <value t="str">
            <val>37.67</val>
          </value>
          <value t="str">
            <val>2022/06</val>
          </value>
        </values>
      </ddeItem>
      <ddeItem name="5309.TW-OperatingProfitRatio,Price,PriceChangeRatio,InOutRatioNumber,Value,YearReturn,MonthReturn,WeekReturn,FinanceBalanceDif,ChipsField2" advise="1">
        <values cols="10">
          <value t="str">
            <val>8.78</val>
          </value>
          <value>
            <val>39.75</val>
          </value>
          <value>
            <val>1.53</val>
          </value>
          <value t="str">
            <val>49.67%</val>
          </value>
          <value t="str">
            <val>1.59億</val>
          </value>
          <value t="str">
            <val>+8.90</val>
          </value>
          <value t="str">
            <val>+2.45</val>
          </value>
          <value t="str">
            <val>+4.61</val>
          </value>
          <value>
            <val>0</val>
          </value>
          <value>
            <val>0</val>
          </value>
        </values>
      </ddeItem>
      <ddeItem name="53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-0.78</val>
          </value>
          <value t="str">
            <val>-0.25</val>
          </value>
          <value t="str">
            <val>天剛</val>
          </value>
          <value t="str">
            <val>上櫃資訊服務</val>
          </value>
          <value t="str">
            <val>金融系統整合廠</val>
          </value>
        </values>
      </ddeItem>
      <ddeItem name="5310.TW-CName,InvestorConferenceDate,DateofMeetingofShareHolders,TradingDate" advise="1">
        <values cols="4">
          <value t="str">
            <val>天剛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5310.TW-ID,Name,MarketValue,Capital,NetIncomeGrowthRate,OperIncomeGrowthRate,FinancialStatementsTime,TFXRatio,MonthlyNetSalesYoY,RevenueMonth" advise="1">
        <values cols="10">
          <value t="str">
            <val>5310</val>
          </value>
          <value t="str">
            <val>天剛</val>
          </value>
          <value t="str">
            <val>7.7</val>
          </value>
          <value t="str">
            <val>2.89</val>
          </value>
          <value t="str">
            <val>-46.40</val>
          </value>
          <value t="str">
            <val>-65.53</val>
          </value>
          <value t="str">
            <val>2022/03</val>
          </value>
          <value t="str">
            <val>-46.12</val>
          </value>
          <value t="str">
            <val>-82.85</val>
          </value>
          <value t="str">
            <val>2022/06</val>
          </value>
        </values>
      </ddeItem>
      <ddeItem name="5310.TW-OperatingProfitRatio,Price,PriceChangeRatio,InOutRatioNumber,Value,YearReturn,MonthReturn,WeekReturn,FinanceBalanceDif,ChipsField2" advise="1">
        <values cols="10">
          <value t="str">
            <val>-109.25</val>
          </value>
          <value>
            <val>26.75</val>
          </value>
          <value>
            <val>1.33</val>
          </value>
          <value t="str">
            <val>50.00%</val>
          </value>
          <value t="str">
            <val>42.1萬</val>
          </value>
          <value t="str">
            <val>-9.16</val>
          </value>
          <value t="str">
            <val>+0.94</val>
          </value>
          <value t="str">
            <val>+0.75</val>
          </value>
          <value>
            <val>0</val>
          </value>
          <value>
            <val>0</val>
          </value>
        </values>
      </ddeItem>
      <ddeItem name="53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-46</val>
          </value>
          <value t="str">
            <val>2022/08/02</val>
          </value>
          <value t="str">
            <val>4.30</val>
          </value>
          <value>
            <val>6.77</val>
          </value>
          <value t="str">
            <val>4.61</val>
          </value>
          <value t="str">
            <val>1.06</val>
          </value>
          <value t="str">
            <val>寶島科</val>
          </value>
          <value t="str">
            <val>上櫃生技醫療</val>
          </value>
          <value t="str">
            <val>台灣最大眼鏡通路商</val>
          </value>
        </values>
      </ddeItem>
      <ddeItem name="5312.TW-CName,InvestorConferenceDate,DateofMeetingofShareHolders,TradingDate" advise="1">
        <values cols="4">
          <value t="str">
            <val>寶島科</val>
          </value>
          <value t="str">
            <val>2021/12/16</val>
          </value>
          <value t="str">
            <val>2022/06/27</val>
          </value>
          <value t="str">
            <val>2022/08/01</val>
          </value>
        </values>
      </ddeItem>
      <ddeItem name="5312.TW-ID,Name,MarketValue,Capital,NetIncomeGrowthRate,OperIncomeGrowthRate,FinancialStatementsTime,TFXRatio,MonthlyNetSalesYoY,RevenueMonth" advise="1">
        <values cols="10">
          <value t="str">
            <val>5312</val>
          </value>
          <value t="str">
            <val>寶島科</val>
          </value>
          <value t="str">
            <val>38.1</val>
          </value>
          <value t="str">
            <val>6.01</val>
          </value>
          <value t="str">
            <val>-16.10</val>
          </value>
          <value t="str">
            <val>18.19</val>
          </value>
          <value t="str">
            <val>2022/03</val>
          </value>
          <value t="str">
            <val>2.75</val>
          </value>
          <value t="str">
            <val>90.68</val>
          </value>
          <value t="str">
            <val>2022/06</val>
          </value>
        </values>
      </ddeItem>
      <ddeItem name="5312.TW-OperatingProfitRatio,Price,PriceChangeRatio,InOutRatioNumber,Value,YearReturn,MonthReturn,WeekReturn,FinanceBalanceDif,ChipsField2" advise="1">
        <values cols="10">
          <value t="str">
            <val>5.36</val>
          </value>
          <value>
            <val>63.5</val>
          </value>
          <value>
            <val>0.32</val>
          </value>
          <value t="str">
            <val>29.27%</val>
          </value>
          <value t="str">
            <val>1048萬</val>
          </value>
          <value t="str">
            <val>+7.42</val>
          </value>
          <value t="str">
            <val>+1.93</val>
          </value>
          <value t="str">
            <val>+0.63</val>
          </value>
          <value>
            <val>1</val>
          </value>
          <value>
            <val>0</val>
          </value>
        </values>
      </ddeItem>
      <ddeItem name="53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-0.47</val>
          </value>
          <value t="str">
            <val>-0.09</val>
          </value>
          <value t="str">
            <val>世紀</val>
          </value>
          <value t="str">
            <val>上櫃半導體</val>
          </value>
          <value t="str">
            <val>裕隆旗下的MCU及多媒體通訊IC設計廠商</val>
          </value>
        </values>
      </ddeItem>
      <ddeItem name="5314.TW-CName,InvestorConferenceDate,DateofMeetingofShareHolders,TradingDate" advise="1">
        <values cols="4">
          <value t="str">
            <val>世紀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5314.TW-ID,Name,MarketValue,Capital,NetIncomeGrowthRate,OperIncomeGrowthRate,FinancialStatementsTime,TFXRatio,MonthlyNetSalesYoY,RevenueMonth" advise="1">
        <values cols="10">
          <value t="str">
            <val>5314</val>
          </value>
          <value t="str">
            <val>世紀</val>
          </value>
          <value t="str">
            <val>2.5</val>
          </value>
          <value t="str">
            <val>6.00</val>
          </value>
          <value t="str">
            <val>26.28</val>
          </value>
          <value t="str">
            <val>27.26</val>
          </value>
          <value t="str">
            <val>2022/03</val>
          </value>
          <value t="str">
            <val>-97.69</val>
          </value>
          <value t="str">
            <val>-99.06</val>
          </value>
          <value t="str">
            <val>2022/06</val>
          </value>
        </values>
      </ddeItem>
      <ddeItem name="5314.TW-OperatingProfitRatio,Price,PriceChangeRatio,InOutRatioNumber,Value,YearReturn,MonthReturn,WeekReturn,FinanceBalanceDif,ChipsField2" advise="1">
        <values cols="10">
          <value t="str">
            <val>-458.63</val>
          </value>
          <value>
            <val>4.0999999999999996</val>
          </value>
          <value>
            <val>-1.2</val>
          </value>
          <value t="str">
            <val>75.00%</val>
          </value>
          <value t="str">
            <val>34.8萬</val>
          </value>
          <value t="str">
            <val>-36.92</val>
          </value>
          <value t="str">
            <val>-6.82</val>
          </value>
          <value t="str">
            <val>-1.20</val>
          </value>
          <value>
            <val>0</val>
          </value>
          <value>
            <val>0</val>
          </value>
        </values>
      </ddeItem>
      <ddeItem name="53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25</val>
          </value>
          <value t="str">
            <val>2022/07/01</val>
          </value>
          <value t="str">
            <val>1.30</val>
          </value>
          <value>
            <val>8.1</val>
          </value>
          <value t="str">
            <val>1.80</val>
          </value>
          <value t="str">
            <val>0.52</val>
          </value>
          <value t="str">
            <val>光聯</val>
          </value>
          <value t="str">
            <val>上櫃光電</val>
          </value>
          <value t="str">
            <val>各尺寸液晶顯示器模組整合加工與銷售</val>
          </value>
        </values>
      </ddeItem>
      <ddeItem name="5315.TW-CName,InvestorConferenceDate,DateofMeetingofShareHolders,TradingDate" advise="1">
        <values cols="4">
          <value t="str">
            <val>光聯</val>
          </value>
          <value t="str">
            <val>--</val>
          </value>
          <value t="str">
            <val>2022/05/23</val>
          </value>
          <value t="str">
            <val>2022/08/01</val>
          </value>
        </values>
      </ddeItem>
      <ddeItem name="5315.TW-ID,Name,MarketValue,Capital,NetIncomeGrowthRate,OperIncomeGrowthRate,FinancialStatementsTime,TFXRatio,MonthlyNetSalesYoY,RevenueMonth" advise="1">
        <values cols="10">
          <value t="str">
            <val>5315</val>
          </value>
          <value t="str">
            <val>光聯</val>
          </value>
          <value t="str">
            <val>17.1</val>
          </value>
          <value t="str">
            <val>10.64</val>
          </value>
          <value t="str">
            <val>14.82</val>
          </value>
          <value t="str">
            <val>9.03</val>
          </value>
          <value t="str">
            <val>2022/03</val>
          </value>
          <value t="str">
            <val>1.23</val>
          </value>
          <value t="str">
            <val>-8.13</val>
          </value>
          <value t="str">
            <val>2022/06</val>
          </value>
        </values>
      </ddeItem>
      <ddeItem name="5315.TW-OperatingProfitRatio,Price,PriceChangeRatio,InOutRatioNumber,Value,YearReturn,MonthReturn,WeekReturn,FinanceBalanceDif,ChipsField2" advise="1">
        <values cols="10">
          <value t="str">
            <val>10.08</val>
          </value>
          <value>
            <val>16.05</val>
          </value>
          <value>
            <val>0.94</val>
          </value>
          <value t="str">
            <val>47.66%</val>
          </value>
          <value t="str">
            <val>171萬</val>
          </value>
          <value t="str">
            <val>-9.97</val>
          </value>
          <value t="str">
            <val>+5.25</val>
          </value>
          <value t="str">
            <val>+1.90</val>
          </value>
          <value>
            <val>-78</val>
          </value>
          <value>
            <val>0</val>
          </value>
        </values>
      </ddeItem>
      <ddeItem name="53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85</val>
          </value>
          <value t="str">
            <val>--</val>
          </value>
          <value t="str">
            <val>2.00</val>
          </value>
          <value>
            <val>2.4700000000000002</val>
          </value>
          <value t="str">
            <val>3.75</val>
          </value>
          <value t="str">
            <val>1.19</val>
          </value>
          <value t="str">
            <val>美而快</val>
          </value>
          <value t="str">
            <val>上櫃電子零組件,上櫃電子商務</val>
          </value>
          <value t="str">
            <val>台灣印刷電路板與服飾電商業者</val>
          </value>
        </values>
      </ddeItem>
      <ddeItem name="5321.TW-CName,InvestorConferenceDate,DateofMeetingofShareHolders,TradingDate" advise="1">
        <values cols="4">
          <value t="str">
            <val>美而快</val>
          </value>
          <value t="str">
            <val>2022/04/22</val>
          </value>
          <value t="str">
            <val>2022/06/15</val>
          </value>
          <value t="str">
            <val>2022/08/01</val>
          </value>
        </values>
      </ddeItem>
      <ddeItem name="5321.TW-ID,Name,MarketValue,Capital,NetIncomeGrowthRate,OperIncomeGrowthRate,FinancialStatementsTime,TFXRatio,MonthlyNetSalesYoY,RevenueMonth" advise="1">
        <values cols="10">
          <value t="str">
            <val>5321</val>
          </value>
          <value t="str">
            <val>美而快</val>
          </value>
          <value t="str">
            <val>28.4</val>
          </value>
          <value t="str">
            <val>3.50</val>
          </value>
          <value t="str">
            <val>64.40</val>
          </value>
          <value t="str">
            <val>75.19</val>
          </value>
          <value t="str">
            <val>2022/03</val>
          </value>
          <value t="str">
            <val>-28.30</val>
          </value>
          <value t="str">
            <val>1.40</val>
          </value>
          <value t="str">
            <val>2022/06</val>
          </value>
        </values>
      </ddeItem>
      <ddeItem name="5321.TW-OperatingProfitRatio,Price,PriceChangeRatio,InOutRatioNumber,Value,YearReturn,MonthReturn,WeekReturn,FinanceBalanceDif,ChipsField2" advise="1">
        <values cols="10">
          <value t="str">
            <val>9.09</val>
          </value>
          <value>
            <val>81.099999999999994</val>
          </value>
          <value>
            <val>-1.7</val>
          </value>
          <value t="str">
            <val>22.43%</val>
          </value>
          <value t="str">
            <val>980萬</val>
          </value>
          <value t="str">
            <val>+51.31</val>
          </value>
          <value t="str">
            <val>-6.57</val>
          </value>
          <value t="str">
            <val>-1.70</val>
          </value>
          <value>
            <val>-5</val>
          </value>
          <value>
            <val>0</val>
          </value>
        </values>
      </ddeItem>
      <ddeItem name="53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-0.82</val>
          </value>
          <value t="str">
            <val>-0.29</val>
          </value>
          <value t="str">
            <val>士開</val>
          </value>
          <value t="str">
            <val>上櫃建材營造</val>
          </value>
          <value t="str">
            <val>仰德集團旗下之建設、飯店業者</val>
          </value>
        </values>
      </ddeItem>
      <ddeItem name="5324.TW-CName,InvestorConferenceDate,DateofMeetingofShareHolders,TradingDate" advise="1">
        <values cols="4">
          <value t="str">
            <val>士開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5324.TW-ID,Name,MarketValue,Capital,NetIncomeGrowthRate,OperIncomeGrowthRate,FinancialStatementsTime,TFXRatio,MonthlyNetSalesYoY,RevenueMonth" advise="1">
        <values cols="10">
          <value t="str">
            <val>5324</val>
          </value>
          <value t="str">
            <val>士開</val>
          </value>
          <value t="str">
            <val>20.4</val>
          </value>
          <value t="str">
            <val>22.64</val>
          </value>
          <value t="str">
            <val>-50.90</val>
          </value>
          <value t="str">
            <val>-5.50</val>
          </value>
          <value t="str">
            <val>2022/03</val>
          </value>
          <value t="str">
            <val>79.61</val>
          </value>
          <value t="str">
            <val>509.36</val>
          </value>
          <value t="str">
            <val>2022/06</val>
          </value>
        </values>
      </ddeItem>
      <ddeItem name="5324.TW-OperatingProfitRatio,Price,PriceChangeRatio,InOutRatioNumber,Value,YearReturn,MonthReturn,WeekReturn,FinanceBalanceDif,ChipsField2" advise="1">
        <values cols="10">
          <value t="str">
            <val>-59.13</val>
          </value>
          <value>
            <val>9</val>
          </value>
          <value>
            <val>0.22</val>
          </value>
          <value t="str">
            <val>78.05%</val>
          </value>
          <value t="str">
            <val>36.7萬</val>
          </value>
          <value t="str">
            <val>-9.55</val>
          </value>
          <value t="str">
            <val>+0.11</val>
          </value>
          <value t="str">
            <val>+1.12</val>
          </value>
          <value>
            <val>0</val>
          </value>
          <value>
            <val>0</val>
          </value>
        </values>
      </ddeItem>
      <ddeItem name="53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28</val>
          </value>
          <value t="str">
            <val>--</val>
          </value>
          <value t="str">
            <val>0.15</val>
          </value>
          <value>
            <val>1.5</val>
          </value>
          <value t="str">
            <val>0.15</val>
          </value>
          <value t="str">
            <val>0.05</val>
          </value>
          <value t="str">
            <val>華容</val>
          </value>
          <value t="str">
            <val>上櫃電子零組件</val>
          </value>
          <value t="str">
            <val>台灣塑膠膜電容器供應商</val>
          </value>
        </values>
      </ddeItem>
      <ddeItem name="5328.TW-CName,InvestorConferenceDate,DateofMeetingofShareHolders,TradingDate" advise="1">
        <values cols="4">
          <value t="str">
            <val>華容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5328.TW-ID,Name,MarketValue,Capital,NetIncomeGrowthRate,OperIncomeGrowthRate,FinancialStatementsTime,TFXRatio,MonthlyNetSalesYoY,RevenueMonth" advise="1">
        <values cols="10">
          <value t="str">
            <val>5328</val>
          </value>
          <value t="str">
            <val>華容</val>
          </value>
          <value t="str">
            <val>17.3</val>
          </value>
          <value t="str">
            <val>17.27</val>
          </value>
          <value t="str">
            <val>-47.74</val>
          </value>
          <value t="str">
            <val>-98.01</val>
          </value>
          <value t="str">
            <val>2022/03</val>
          </value>
          <value t="str">
            <val>-18.02</val>
          </value>
          <value t="str">
            <val>-17.37</val>
          </value>
          <value t="str">
            <val>2022/06</val>
          </value>
        </values>
      </ddeItem>
      <ddeItem name="5328.TW-OperatingProfitRatio,Price,PriceChangeRatio,InOutRatioNumber,Value,YearReturn,MonthReturn,WeekReturn,FinanceBalanceDif,ChipsField2" advise="1">
        <values cols="10">
          <value t="str">
            <val>0.08</val>
          </value>
          <value>
            <val>10</val>
          </value>
          <value>
            <val>-0.99</val>
          </value>
          <value t="str">
            <val>24.65%</val>
          </value>
          <value t="str">
            <val>142萬</val>
          </value>
          <value t="str">
            <val>-39.58</val>
          </value>
          <value t="str">
            <val>+4.17</val>
          </value>
          <value t="str">
            <val>-1.96</val>
          </value>
          <value>
            <val>-36</val>
          </value>
          <value>
            <val>0</val>
          </value>
        </values>
      </ddeItem>
      <ddeItem name="53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0.31</val>
          </value>
          <value t="str">
            <val>0.12</val>
          </value>
          <value t="str">
            <val>建榮</val>
          </value>
          <value t="str">
            <val>上櫃電子零組件</val>
          </value>
          <value t="str">
            <val>台灣電子領域玻纖布製造廠並跨足工業用領域</val>
          </value>
        </values>
      </ddeItem>
      <ddeItem name="5340.TW-CName,InvestorConferenceDate,DateofMeetingofShareHolders,TradingDate" advise="1">
        <values cols="4">
          <value t="str">
            <val>建榮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5340.TW-ID,Name,MarketValue,Capital,NetIncomeGrowthRate,OperIncomeGrowthRate,FinancialStatementsTime,TFXRatio,MonthlyNetSalesYoY,RevenueMonth" advise="1">
        <values cols="10">
          <value t="str">
            <val>5340</val>
          </value>
          <value t="str">
            <val>建榮</val>
          </value>
          <value t="str">
            <val>58.2</val>
          </value>
          <value t="str">
            <val>19.49</val>
          </value>
          <value t="str">
            <val>44.53</val>
          </value>
          <value t="str">
            <val>-13.39</val>
          </value>
          <value t="str">
            <val>2022/03</val>
          </value>
          <value t="str">
            <val>-13.43</val>
          </value>
          <value t="str">
            <val>-5.60</val>
          </value>
          <value t="str">
            <val>2022/06</val>
          </value>
        </values>
      </ddeItem>
      <ddeItem name="5340.TW-OperatingProfitRatio,Price,PriceChangeRatio,InOutRatioNumber,Value,YearReturn,MonthReturn,WeekReturn,FinanceBalanceDif,ChipsField2" advise="1">
        <values cols="10">
          <value t="str">
            <val>6.10</val>
          </value>
          <value>
            <val>29.85</val>
          </value>
          <value>
            <val>0</val>
          </value>
          <value t="str">
            <val>5.26%</val>
          </value>
          <value t="str">
            <val>56.1萬</val>
          </value>
          <value t="str">
            <val>-33.81</val>
          </value>
          <value t="str">
            <val>+1.02</val>
          </value>
          <value t="str">
            <val>-0.17</val>
          </value>
          <value>
            <val>0</val>
          </value>
          <value>
            <val>0</val>
          </value>
        </values>
      </ddeItem>
      <ddeItem name="53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--</val>
          </value>
          <value t="str">
            <val>0.00</val>
          </value>
          <value>
            <val>0</val>
          </value>
          <value t="str">
            <val>0.44</val>
          </value>
          <value t="str">
            <val>0.09</val>
          </value>
          <value t="str">
            <val>立衛</val>
          </value>
          <value t="str">
            <val>上櫃半導體</val>
          </value>
          <value t="str">
            <val>威盛轉投資之邏輯IC及CPU測試廠商</val>
          </value>
        </values>
      </ddeItem>
      <ddeItem name="5344.TW-CName,InvestorConferenceDate,DateofMeetingofShareHolders,TradingDate" advise="1">
        <values cols="4">
          <value t="str">
            <val>立衛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5344.TW-ID,Name,MarketValue,Capital,NetIncomeGrowthRate,OperIncomeGrowthRate,FinancialStatementsTime,TFXRatio,MonthlyNetSalesYoY,RevenueMonth" advise="1">
        <values cols="10">
          <value t="str">
            <val>5344</val>
          </value>
          <value t="str">
            <val>立衛</val>
          </value>
          <value t="str">
            <val>19.6</val>
          </value>
          <value t="str">
            <val>7.94</val>
          </value>
          <value t="str">
            <val>-73.56</val>
          </value>
          <value t="str">
            <val>-96.90</val>
          </value>
          <value t="str">
            <val>2022/06</val>
          </value>
          <value t="str">
            <val>6.17</val>
          </value>
          <value t="str">
            <val>-16.12</val>
          </value>
          <value t="str">
            <val>2022/06</val>
          </value>
        </values>
      </ddeItem>
      <ddeItem name="5344.TW-OperatingProfitRatio,Price,PriceChangeRatio,InOutRatioNumber,Value,YearReturn,MonthReturn,WeekReturn,FinanceBalanceDif,ChipsField2" advise="1">
        <values cols="10">
          <value t="str">
            <val>0.66</val>
          </value>
          <value>
            <val>24.7</val>
          </value>
          <value>
            <val>-0.6</val>
          </value>
          <value t="str">
            <val>41.70%</val>
          </value>
          <value t="str">
            <val>1181萬</val>
          </value>
          <value t="str">
            <val>+5.78</val>
          </value>
          <value t="str">
            <val>+33.51</val>
          </value>
          <value t="str">
            <val>-1.59</val>
          </value>
          <value>
            <val>0</val>
          </value>
          <value>
            <val>0</val>
          </value>
        </values>
      </ddeItem>
      <ddeItem name="534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-0.74</val>
          </value>
          <value t="str">
            <val>-0.47</val>
          </value>
          <value t="str">
            <val>天揚</val>
          </value>
          <value t="str">
            <val>上櫃其他</val>
          </value>
          <value t="str">
            <val>從事各式電源開關、遙控器及鑰匙/門鎖控制系統設計</val>
          </value>
        </values>
      </ddeItem>
      <ddeItem name="5345.TW-CName,InvestorConferenceDate,DateofMeetingofShareHolders,TradingDate" advise="1">
        <values cols="4">
          <value t="str">
            <val>天揚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5345.TW-ID,Name,MarketValue,Capital,NetIncomeGrowthRate,OperIncomeGrowthRate,FinancialStatementsTime,TFXRatio,MonthlyNetSalesYoY,RevenueMonth" advise="1">
        <values cols="10">
          <value t="str">
            <val>5345</val>
          </value>
          <value t="str">
            <val>天揚</val>
          </value>
          <value t="str">
            <val>2.7</val>
          </value>
          <value t="str">
            <val>4.75</val>
          </value>
          <value t="str">
            <val>-450.34</val>
          </value>
          <value t="str">
            <val>14.32</val>
          </value>
          <value t="str">
            <val>2022/03</val>
          </value>
          <value t="str">
            <val>-22.21</val>
          </value>
          <value t="str">
            <val>-13.79</val>
          </value>
          <value t="str">
            <val>2022/06</val>
          </value>
        </values>
      </ddeItem>
      <ddeItem name="5345.TW-OperatingProfitRatio,Price,PriceChangeRatio,InOutRatioNumber,Value,YearReturn,MonthReturn,WeekReturn,FinanceBalanceDif,ChipsField2" advise="1">
        <values cols="10">
          <value t="str">
            <val>-787.42</val>
          </value>
          <value>
            <val>5.72</val>
          </value>
          <value>
            <val>3.81</val>
          </value>
          <value t="str">
            <val>50.00%</val>
          </value>
          <value t="str">
            <val>4.49萬</val>
          </value>
          <value t="str">
            <val>-6.38</val>
          </value>
          <value t="str">
            <val>+0.88</val>
          </value>
          <value t="str">
            <val>-1.38</val>
          </value>
          <value>
            <val>0</val>
          </value>
          <value>
            <val>0</val>
          </value>
        </values>
      </ddeItem>
      <ddeItem name="5347.TW-ChipsField3,ChipsField1,ChipsField25,CashAndStockDividend,CashDividendYieldRate,ProfitFourSeason,ProfitSingle,CName,ExchangeIndustry,CompanyPos" advise="1">
        <values cols="10">
          <value>
            <val>-69</val>
          </value>
          <value>
            <val>-88</val>
          </value>
          <value t="str">
            <val>2022/07/04</val>
          </value>
          <value t="str">
            <val>4.50</val>
          </value>
          <value>
            <val>6.36</val>
          </value>
          <value t="str">
            <val>8.36</val>
          </value>
          <value t="str">
            <val>2.50</val>
          </value>
          <value t="str">
            <val>世界</val>
          </value>
          <value t="str">
            <val>上櫃半導體</val>
          </value>
          <value t="str">
            <val>台積電轉投資之晶圓代工廠</val>
          </value>
        </values>
      </ddeItem>
      <ddeItem name="5347.TW-CName,InvestorConferenceDate,DateofMeetingofShareHolders,TradingDate" advise="1">
        <values cols="4">
          <value t="str">
            <val>世界</val>
          </value>
          <value t="str">
            <val>2022/08/02</val>
          </value>
          <value t="str">
            <val>2022/06/14</val>
          </value>
          <value t="str">
            <val>2022/08/01</val>
          </value>
        </values>
      </ddeItem>
      <ddeItem name="5347.TW-ID,Name,MarketValue,Capital,NetIncomeGrowthRate,OperIncomeGrowthRate,FinancialStatementsTime,TFXRatio,MonthlyNetSalesYoY,RevenueMonth" advise="1">
        <values cols="10">
          <value t="str">
            <val>5347</val>
          </value>
          <value t="str">
            <val>世界</val>
          </value>
          <value t="str">
            <val>1158.8</val>
          </value>
          <value t="str">
            <val>163.90</val>
          </value>
          <value t="str">
            <val>84.85</val>
          </value>
          <value t="str">
            <val>103.51</val>
          </value>
          <value t="str">
            <val>2022/03</val>
          </value>
          <value t="str">
            <val>3.29</val>
          </value>
          <value t="str">
            <val>53.70</val>
          </value>
          <value t="str">
            <val>2022/06</val>
          </value>
        </values>
      </ddeItem>
      <ddeItem name="5347.TW-OperatingProfitRatio,Price,PriceChangeRatio,InOutRatioNumber,Value,YearReturn,MonthReturn,WeekReturn,FinanceBalanceDif,ChipsField2" advise="1">
        <values cols="10">
          <value t="str">
            <val>36.97</val>
          </value>
          <value>
            <val>70.7</val>
          </value>
          <value>
            <val>-1.81</val>
          </value>
          <value t="str">
            <val>37.67%</val>
          </value>
          <value t="str">
            <val>4.55億</val>
          </value>
          <value t="str">
            <val>-33.06</val>
          </value>
          <value t="str">
            <val>+2.76</val>
          </value>
          <value t="str">
            <val>-2.88</val>
          </value>
          <value>
            <val>156</val>
          </value>
          <value>
            <val>53</val>
          </value>
        </values>
      </ddeItem>
      <ddeItem name="534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-0.31</val>
          </value>
          <value t="str">
            <val>-0.01</val>
          </value>
          <value t="str">
            <val>系通</val>
          </value>
          <value t="str">
            <val>上櫃通信網路</val>
          </value>
          <value t="str">
            <val>主要生產GPS與無線寬頻產品</val>
          </value>
        </values>
      </ddeItem>
      <ddeItem name="5348.TW-CName,InvestorConferenceDate,DateofMeetingofShareHolders,TradingDate" advise="1">
        <values cols="4">
          <value t="str">
            <val>系通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5348.TW-ID,Name,MarketValue,Capital,NetIncomeGrowthRate,OperIncomeGrowthRate,FinancialStatementsTime,TFXRatio,MonthlyNetSalesYoY,RevenueMonth" advise="1">
        <values cols="10">
          <value t="str">
            <val>5348</val>
          </value>
          <value t="str">
            <val>系通</val>
          </value>
          <value t="str">
            <val>3.3</val>
          </value>
          <value t="str">
            <val>2.90</val>
          </value>
          <value t="str">
            <val>94.21</val>
          </value>
          <value t="str">
            <val>80.06</val>
          </value>
          <value t="str">
            <val>2022/03</val>
          </value>
          <value t="str">
            <val>-40.02</val>
          </value>
          <value t="str">
            <val>35.89</val>
          </value>
          <value t="str">
            <val>2022/06</val>
          </value>
        </values>
      </ddeItem>
      <ddeItem name="5348.TW-OperatingProfitRatio,Price,PriceChangeRatio,InOutRatioNumber,Value,YearReturn,MonthReturn,WeekReturn,FinanceBalanceDif,ChipsField2" advise="1">
        <values cols="10">
          <value t="str">
            <val>-4.33</val>
          </value>
          <value>
            <val>11.4</val>
          </value>
          <value>
            <val>3.64</val>
          </value>
          <value t="str">
            <val>40.91%</val>
          </value>
          <value t="str">
            <val>25.9萬</val>
          </value>
          <value t="str">
            <val>+45.41</val>
          </value>
          <value t="str">
            <val>+20.00</val>
          </value>
          <value t="str">
            <val>+14.11</val>
          </value>
          <value>
            <val>0</val>
          </value>
          <value>
            <val>0</val>
          </value>
        </values>
      </ddeItem>
      <ddeItem name="5351.TW-ChipsField3,ChipsField1,ChipsField25,CashAndStockDividend,CashDividendYieldRate,ProfitFourSeason,ProfitSingle,CName,ExchangeIndustry,CompanyPos" advise="1">
        <values cols="10">
          <value>
            <val>10</val>
          </value>
          <value>
            <val>456</val>
          </value>
          <value t="str">
            <val>--</val>
          </value>
          <value t="str">
            <val>1.30</val>
          </value>
          <value>
            <val>2.5099999999999998</val>
          </value>
          <value t="str">
            <val>4.52</val>
          </value>
          <value t="str">
            <val>0.81</val>
          </value>
          <value t="str">
            <val>鈺創</val>
          </value>
          <value t="str">
            <val>上櫃半導體</val>
          </value>
          <value t="str">
            <val>台灣利基型記憶體IC設計廠商</val>
          </value>
        </values>
      </ddeItem>
      <ddeItem name="5351.TW-CName,InvestorConferenceDate,DateofMeetingofShareHolders,TradingDate" advise="1">
        <values cols="4">
          <value t="str">
            <val>鈺創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5351.TW-ID,Name,MarketValue,Capital,NetIncomeGrowthRate,OperIncomeGrowthRate,FinancialStatementsTime,TFXRatio,MonthlyNetSalesYoY,RevenueMonth" advise="1">
        <values cols="10">
          <value t="str">
            <val>5351</val>
          </value>
          <value t="str">
            <val>鈺創</val>
          </value>
          <value t="str">
            <val>140.0</val>
          </value>
          <value t="str">
            <val>27.04</val>
          </value>
          <value t="str">
            <val>314.68</val>
          </value>
          <value t="str">
            <val>297.83</val>
          </value>
          <value t="str">
            <val>2022/03</val>
          </value>
          <value t="str">
            <val>-3.57</val>
          </value>
          <value t="str">
            <val>-1.77</val>
          </value>
          <value t="str">
            <val>2022/06</val>
          </value>
        </values>
      </ddeItem>
      <ddeItem name="5351.TW-OperatingProfitRatio,Price,PriceChangeRatio,InOutRatioNumber,Value,YearReturn,MonthReturn,WeekReturn,FinanceBalanceDif,ChipsField2" advise="1">
        <values cols="10">
          <value t="str">
            <val>11.78</val>
          </value>
          <value>
            <val>51.8</val>
          </value>
          <value>
            <val>0.97</val>
          </value>
          <value t="str">
            <val>50.14%</val>
          </value>
          <value t="str">
            <val>1.84億</val>
          </value>
          <value t="str">
            <val>+5.07</val>
          </value>
          <value t="str">
            <val>+4.65</val>
          </value>
          <value t="str">
            <val>-2.45</val>
          </value>
          <value>
            <val>59</val>
          </value>
          <value>
            <val>0</val>
          </value>
        </values>
      </ddeItem>
      <ddeItem name="535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1156</val>
          </value>
          <value t="str">
            <val>2022/07/01</val>
          </value>
          <value t="str">
            <val>0.90</val>
          </value>
          <value>
            <val>2.89</val>
          </value>
          <value t="str">
            <val>1.07</val>
          </value>
          <value t="str">
            <val>0.28</val>
          </value>
          <value t="str">
            <val>台林</val>
          </value>
          <value t="str">
            <val>上櫃通信網路</val>
          </value>
          <value t="str">
            <val>有線、無線寬頻網路、工業電腦製造商</val>
          </value>
        </values>
      </ddeItem>
      <ddeItem name="5353.TW-CName,InvestorConferenceDate,DateofMeetingofShareHolders,TradingDate" advise="1">
        <values cols="4">
          <value t="str">
            <val>台林</val>
          </value>
          <value t="str">
            <val>2022/07/14</val>
          </value>
          <value t="str">
            <val>2022/06/09</val>
          </value>
          <value t="str">
            <val>2022/08/01</val>
          </value>
        </values>
      </ddeItem>
      <ddeItem name="5353.TW-ID,Name,MarketValue,Capital,NetIncomeGrowthRate,OperIncomeGrowthRate,FinancialStatementsTime,TFXRatio,MonthlyNetSalesYoY,RevenueMonth" advise="1">
        <values cols="10">
          <value t="str">
            <val>5353</val>
          </value>
          <value t="str">
            <val>台林</val>
          </value>
          <value t="str">
            <val>23.3</val>
          </value>
          <value t="str">
            <val>7.50</val>
          </value>
          <value t="str">
            <val>26.08</val>
          </value>
          <value t="str">
            <val>186.36</val>
          </value>
          <value t="str">
            <val>2022/03</val>
          </value>
          <value t="str">
            <val>4.31</val>
          </value>
          <value t="str">
            <val>26.96</val>
          </value>
          <value t="str">
            <val>2022/06</val>
          </value>
        </values>
      </ddeItem>
      <ddeItem name="5353.TW-OperatingProfitRatio,Price,PriceChangeRatio,InOutRatioNumber,Value,YearReturn,MonthReturn,WeekReturn,FinanceBalanceDif,ChipsField2" advise="1">
        <values cols="10">
          <value t="str">
            <val>6.55</val>
          </value>
          <value>
            <val>31.1</val>
          </value>
          <value>
            <val>-2.35</val>
          </value>
          <value t="str">
            <val>26.12%</val>
          </value>
          <value t="str">
            <val>1.78億</val>
          </value>
          <value t="str">
            <val>+95.08</val>
          </value>
          <value t="str">
            <val>+45.67</val>
          </value>
          <value t="str">
            <val>+11.67</val>
          </value>
          <value>
            <val>-760</val>
          </value>
          <value>
            <val>0</val>
          </value>
        </values>
      </ddeItem>
      <ddeItem name="53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0.00</val>
          </value>
          <value>
            <val>0</val>
          </value>
          <value t="str">
            <val>-0.66</val>
          </value>
          <value t="str">
            <val>-0.19</val>
          </value>
          <value t="str">
            <val>佳總</val>
          </value>
          <value t="str">
            <val>上櫃電子零組件</val>
          </value>
          <value t="str">
            <val>台灣LED散熱鋁基板廠</val>
          </value>
        </values>
      </ddeItem>
      <ddeItem name="5355.TW-CName,InvestorConferenceDate,DateofMeetingofShareHolders,TradingDate" advise="1">
        <values cols="4">
          <value t="str">
            <val>佳總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5355.TW-ID,Name,MarketValue,Capital,NetIncomeGrowthRate,OperIncomeGrowthRate,FinancialStatementsTime,TFXRatio,MonthlyNetSalesYoY,RevenueMonth" advise="1">
        <values cols="10">
          <value t="str">
            <val>5355</val>
          </value>
          <value t="str">
            <val>佳總</val>
          </value>
          <value t="str">
            <val>9.5</val>
          </value>
          <value t="str">
            <val>16.61</val>
          </value>
          <value t="str">
            <val>7.11</val>
          </value>
          <value t="str">
            <val>-27.39</val>
          </value>
          <value t="str">
            <val>2022/03</val>
          </value>
          <value t="str">
            <val>-15.32</val>
          </value>
          <value t="str">
            <val>-38.50</val>
          </value>
          <value t="str">
            <val>2022/06</val>
          </value>
        </values>
      </ddeItem>
      <ddeItem name="5355.TW-OperatingProfitRatio,Price,PriceChangeRatio,InOutRatioNumber,Value,YearReturn,MonthReturn,WeekReturn,FinanceBalanceDif,ChipsField2" advise="1">
        <values cols="10">
          <value t="str">
            <val>-31.57</val>
          </value>
          <value>
            <val>5.73</val>
          </value>
          <value>
            <val>-0.35</val>
          </value>
          <value t="str">
            <val>16.90%</val>
          </value>
          <value t="str">
            <val>40.7萬</val>
          </value>
          <value t="str">
            <val>-29.35</val>
          </value>
          <value t="str">
            <val>-2.22</val>
          </value>
          <value t="str">
            <val>-1.88</val>
          </value>
          <value>
            <val>0</val>
          </value>
          <value>
            <val>0</val>
          </value>
        </values>
      </ddeItem>
      <ddeItem name="53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2022/07/14</val>
          </value>
          <value t="str">
            <val>1.30</val>
          </value>
          <value>
            <val>5.74</val>
          </value>
          <value t="str">
            <val>-0.66</val>
          </value>
          <value t="str">
            <val>-0.30</val>
          </value>
          <value t="str">
            <val>協益</val>
          </value>
          <value t="str">
            <val>上櫃電腦及週邊設備</val>
          </value>
          <value t="str">
            <val>經營電子零組件與周邊業之廠商</val>
          </value>
        </values>
      </ddeItem>
      <ddeItem name="5356.TW-CName,InvestorConferenceDate,DateofMeetingofShareHolders,TradingDate" advise="1">
        <values cols="4">
          <value t="str">
            <val>協益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5356.TW-ID,Name,MarketValue,Capital,NetIncomeGrowthRate,OperIncomeGrowthRate,FinancialStatementsTime,TFXRatio,MonthlyNetSalesYoY,RevenueMonth" advise="1">
        <values cols="10">
          <value t="str">
            <val>5356</val>
          </value>
          <value t="str">
            <val>協益</val>
          </value>
          <value t="str">
            <val>23.3</val>
          </value>
          <value t="str">
            <val>10.30</val>
          </value>
          <value t="str">
            <val>-800.06</val>
          </value>
          <value t="str">
            <val>-202.49</val>
          </value>
          <value t="str">
            <val>2022/03</val>
          </value>
          <value t="str">
            <val>22.13</val>
          </value>
          <value t="str">
            <val>6.41</val>
          </value>
          <value t="str">
            <val>2022/06</val>
          </value>
        </values>
      </ddeItem>
      <ddeItem name="5356.TW-OperatingProfitRatio,Price,PriceChangeRatio,InOutRatioNumber,Value,YearReturn,MonthReturn,WeekReturn,FinanceBalanceDif,ChipsField2" advise="1">
        <values cols="10">
          <value t="str">
            <val>-7.15</val>
          </value>
          <value>
            <val>22.65</val>
          </value>
          <value>
            <val>0.22</val>
          </value>
          <value t="str">
            <val>70.27%</val>
          </value>
          <value t="str">
            <val>85.9萬</val>
          </value>
          <value t="str">
            <val>-12.40</val>
          </value>
          <value t="str">
            <val>+2.36</val>
          </value>
          <value t="str">
            <val>+1.12</val>
          </value>
          <value>
            <val>8</val>
          </value>
          <value>
            <val>0</val>
          </value>
        </values>
      </ddeItem>
      <ddeItem name="53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-2.40</val>
          </value>
          <value t="str">
            <val>-0.18</val>
          </value>
          <value t="str">
            <val>力麗店</val>
          </value>
          <value t="str">
            <val>上櫃觀光</val>
          </value>
          <value t="str">
            <val>轉型為以力麗哲園為品牌之飯店經營業者</val>
          </value>
        </values>
      </ddeItem>
      <ddeItem name="5364.TW-CName,InvestorConferenceDate,DateofMeetingofShareHolders,TradingDate" advise="1">
        <values cols="4">
          <value t="str">
            <val>力麗店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5364.TW-ID,Name,MarketValue,Capital,NetIncomeGrowthRate,OperIncomeGrowthRate,FinancialStatementsTime,TFXRatio,MonthlyNetSalesYoY,RevenueMonth" advise="1">
        <values cols="10">
          <value t="str">
            <val>5364</val>
          </value>
          <value t="str">
            <val>力麗店</val>
          </value>
          <value t="str">
            <val>5.5</val>
          </value>
          <value t="str">
            <val>2.88</val>
          </value>
          <value t="str">
            <val>-159.41</val>
          </value>
          <value t="str">
            <val>51.63</val>
          </value>
          <value t="str">
            <val>2022/03</val>
          </value>
          <value t="str">
            <val>47.74</val>
          </value>
          <value t="str">
            <val>6406.53</val>
          </value>
          <value t="str">
            <val>2022/06</val>
          </value>
        </values>
      </ddeItem>
      <ddeItem name="5364.TW-OperatingProfitRatio,Price,PriceChangeRatio,InOutRatioNumber,Value,YearReturn,MonthReturn,WeekReturn,FinanceBalanceDif,ChipsField2" advise="1">
        <values cols="10">
          <value t="str">
            <val>-1.56</val>
          </value>
          <value>
            <val>18.899999999999999</val>
          </value>
          <value>
            <val>2.16</val>
          </value>
          <value t="str">
            <val>72.73%</val>
          </value>
          <value t="str">
            <val>20.6萬</val>
          </value>
          <value t="str">
            <val>-9.13</val>
          </value>
          <value t="str">
            <val>+2.16</val>
          </value>
          <value t="str">
            <val>-2.07</val>
          </value>
          <value>
            <val>0</val>
          </value>
          <value>
            <val>0</val>
          </value>
        </values>
      </ddeItem>
      <ddeItem name="5371.TW-ChipsField3,ChipsField1,ChipsField25,CashAndStockDividend,CashDividendYieldRate,ProfitFourSeason,ProfitSingle,CName,ExchangeIndustry,CompanyPos" advise="1">
        <values cols="10">
          <value>
            <val>179</val>
          </value>
          <value>
            <val>1231</val>
          </value>
          <value t="str">
            <val>2022/07/27</val>
          </value>
          <value t="str">
            <val>4.00</val>
          </value>
          <value>
            <val>7.38</val>
          </value>
          <value t="str">
            <val>6.08</val>
          </value>
          <value t="str">
            <val>2.07</val>
          </value>
          <value t="str">
            <val>中光電</val>
          </value>
          <value t="str">
            <val>上櫃光電</val>
          </value>
          <value t="str">
            <val>台灣第二大背光模組廠，及全球最大DLP投影機製造商</val>
          </value>
        </values>
      </ddeItem>
      <ddeItem name="5371.TW-CName,InvestorConferenceDate,DateofMeetingofShareHolders,TradingDate" advise="1">
        <values cols="4">
          <value t="str">
            <val>中光電</val>
          </value>
          <value t="str">
            <val>2022/07/26</val>
          </value>
          <value t="str">
            <val>2022/06/10</val>
          </value>
          <value t="str">
            <val>2022/08/01</val>
          </value>
        </values>
      </ddeItem>
      <ddeItem name="5371.TW-ID,Name,MarketValue,Capital,NetIncomeGrowthRate,OperIncomeGrowthRate,FinancialStatementsTime,TFXRatio,MonthlyNetSalesYoY,RevenueMonth" advise="1">
        <values cols="10">
          <value t="str">
            <val>5371</val>
          </value>
          <value t="str">
            <val>中光電</val>
          </value>
          <value t="str">
            <val>211.9</val>
          </value>
          <value t="str">
            <val>39.10</val>
          </value>
          <value t="str">
            <val>45.55</val>
          </value>
          <value t="str">
            <val>117.30</val>
          </value>
          <value t="str">
            <val>2022/06</val>
          </value>
          <value t="str">
            <val>20.60</val>
          </value>
          <value t="str">
            <val>25.30</val>
          </value>
          <value t="str">
            <val>2022/06</val>
          </value>
        </values>
      </ddeItem>
      <ddeItem name="5371.TW-OperatingProfitRatio,Price,PriceChangeRatio,InOutRatioNumber,Value,YearReturn,MonthReturn,WeekReturn,FinanceBalanceDif,ChipsField2" advise="1">
        <values cols="10">
          <value t="str">
            <val>3.92</val>
          </value>
          <value>
            <val>54.2</val>
          </value>
          <value>
            <val>0.74</val>
          </value>
          <value t="str">
            <val>43.00%</val>
          </value>
          <value t="str">
            <val>1.24億</val>
          </value>
          <value t="str">
            <val>+5.86</val>
          </value>
          <value t="str">
            <val>+23.97</val>
          </value>
          <value t="str">
            <val>+5.67</val>
          </value>
          <value>
            <val>-97</val>
          </value>
          <value>
            <val>0</val>
          </value>
        </values>
      </ddeItem>
      <ddeItem name="53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0.08</val>
          </value>
          <value t="str">
            <val>0.01</val>
          </value>
          <value t="str">
            <val>合正</val>
          </value>
          <value t="str">
            <val>上櫃電子零組件</val>
          </value>
          <value t="str">
            <val>主要經營鑽孔用潤滑鋁蓋板與鑽孔用下墊板業務</val>
          </value>
        </values>
      </ddeItem>
      <ddeItem name="5381.TW-CName,InvestorConferenceDate,DateofMeetingofShareHolders,TradingDate" advise="1">
        <values cols="4">
          <value t="str">
            <val>合正</val>
          </value>
          <value t="str">
            <val>--</val>
          </value>
          <value t="str">
            <val>2022/06/06</val>
          </value>
          <value t="str">
            <val>2022/08/01</val>
          </value>
        </values>
      </ddeItem>
      <ddeItem name="5381.TW-ID,Name,MarketValue,Capital,NetIncomeGrowthRate,OperIncomeGrowthRate,FinancialStatementsTime,TFXRatio,MonthlyNetSalesYoY,RevenueMonth" advise="1">
        <values cols="10">
          <value t="str">
            <val>5381</val>
          </value>
          <value t="str">
            <val>合正</val>
          </value>
          <value t="str">
            <val>10.5</val>
          </value>
          <value t="str">
            <val>18.02</val>
          </value>
          <value t="str">
            <val>258.03</val>
          </value>
          <value t="str">
            <val>-418.55</val>
          </value>
          <value t="str">
            <val>2022/03</val>
          </value>
          <value t="str">
            <val>-9.73</val>
          </value>
          <value t="str">
            <val>-21.92</val>
          </value>
          <value t="str">
            <val>2022/06</val>
          </value>
        </values>
      </ddeItem>
      <ddeItem name="5381.TW-OperatingProfitRatio,Price,PriceChangeRatio,InOutRatioNumber,Value,YearReturn,MonthReturn,WeekReturn,FinanceBalanceDif,ChipsField2" advise="1">
        <values cols="10">
          <value t="str">
            <val>-2.06</val>
          </value>
          <value>
            <val>5.85</val>
          </value>
          <value>
            <val>-0.85</val>
          </value>
          <value t="str">
            <val>22.73%</val>
          </value>
          <value t="str">
            <val>12.7萬</val>
          </value>
          <value t="str">
            <val>+6.17</val>
          </value>
          <value t="str">
            <val>+0.86</val>
          </value>
          <value t="str">
            <val>+0.86</val>
          </value>
          <value>
            <val>0</val>
          </value>
          <value>
            <val>0</val>
          </value>
        </values>
      </ddeItem>
      <ddeItem name="53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--</val>
          </value>
          <value t="str">
            <val>0.00</val>
          </value>
          <value>
            <val>0</val>
          </value>
          <value t="str">
            <val>0.55</val>
          </value>
          <value t="str">
            <val>0.16</val>
          </value>
          <value t="str">
            <val>金利</val>
          </value>
          <value t="str">
            <val>上櫃其他電子</val>
          </value>
          <value t="str">
            <val>建德旗下模具沖壓製造商</val>
          </value>
        </values>
      </ddeItem>
      <ddeItem name="5383.TW-CName,InvestorConferenceDate,DateofMeetingofShareHolders,TradingDate" advise="1">
        <values cols="4">
          <value t="str">
            <val>金利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5383.TW-ID,Name,MarketValue,Capital,NetIncomeGrowthRate,OperIncomeGrowthRate,FinancialStatementsTime,TFXRatio,MonthlyNetSalesYoY,RevenueMonth" advise="1">
        <values cols="10">
          <value t="str">
            <val>5383</val>
          </value>
          <value t="str">
            <val>金利</val>
          </value>
          <value t="str">
            <val>23.2</val>
          </value>
          <value t="str">
            <val>7.94</val>
          </value>
          <value t="str">
            <val>1467.33</val>
          </value>
          <value t="str">
            <val>1091.21</val>
          </value>
          <value t="str">
            <val>2022/03</val>
          </value>
          <value t="str">
            <val>-1.25</val>
          </value>
          <value t="str">
            <val>26.23</val>
          </value>
          <value t="str">
            <val>2022/06</val>
          </value>
        </values>
      </ddeItem>
      <ddeItem name="5383.TW-OperatingProfitRatio,Price,PriceChangeRatio,InOutRatioNumber,Value,YearReturn,MonthReturn,WeekReturn,FinanceBalanceDif,ChipsField2" advise="1">
        <values cols="10">
          <value t="str">
            <val>6.66</val>
          </value>
          <value>
            <val>29.2</val>
          </value>
          <value>
            <val>-1.02</val>
          </value>
          <value t="str">
            <val>9.09%</val>
          </value>
          <value t="str">
            <val>64.4萬</val>
          </value>
          <value t="str">
            <val>+19.92</val>
          </value>
          <value t="str">
            <val>+4.29</val>
          </value>
          <value t="str">
            <val>-3.47</val>
          </value>
          <value>
            <val>0</val>
          </value>
          <value>
            <val>0</val>
          </value>
        </values>
      </ddeItem>
      <ddeItem name="538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42</val>
          </value>
          <value t="str">
            <val>2022/07/13</val>
          </value>
          <value t="str">
            <val>1.20</val>
          </value>
          <value>
            <val>3.2</val>
          </value>
          <value t="str">
            <val>2.32</val>
          </value>
          <value t="str">
            <val>0.54</val>
          </value>
          <value t="str">
            <val>青雲</val>
          </value>
          <value t="str">
            <val>上櫃電腦及週邊設備</val>
          </value>
          <value t="str">
            <val>高階伺服器記憶體模組及板卡提供商</val>
          </value>
        </values>
      </ddeItem>
      <ddeItem name="5386.TW-CName,InvestorConferenceDate,DateofMeetingofShareHolders,TradingDate" advise="1">
        <values cols="4">
          <value t="str">
            <val>青雲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5386.TW-ID,Name,MarketValue,Capital,NetIncomeGrowthRate,OperIncomeGrowthRate,FinancialStatementsTime,TFXRatio,MonthlyNetSalesYoY,RevenueMonth" advise="1">
        <values cols="10">
          <value t="str">
            <val>5386</val>
          </value>
          <value t="str">
            <val>青雲</val>
          </value>
          <value t="str">
            <val>10.0</val>
          </value>
          <value t="str">
            <val>2.68</val>
          </value>
          <value t="str">
            <val>-11.27</val>
          </value>
          <value t="str">
            <val>41.77</val>
          </value>
          <value t="str">
            <val>2022/03</val>
          </value>
          <value t="str">
            <val>-41.16</val>
          </value>
          <value t="str">
            <val>-3.06</val>
          </value>
          <value t="str">
            <val>2022/06</val>
          </value>
        </values>
      </ddeItem>
      <ddeItem name="5386.TW-OperatingProfitRatio,Price,PriceChangeRatio,InOutRatioNumber,Value,YearReturn,MonthReturn,WeekReturn,FinanceBalanceDif,ChipsField2" advise="1">
        <values cols="10">
          <value t="str">
            <val>2.31</val>
          </value>
          <value>
            <val>37.5</val>
          </value>
          <value>
            <val>-6.02</val>
          </value>
          <value t="str">
            <val>28.12%</val>
          </value>
          <value t="str">
            <val>2881萬</val>
          </value>
          <value t="str">
            <val>-6.80</val>
          </value>
          <value t="str">
            <val>+33.59</val>
          </value>
          <value t="str">
            <val>+0.40</val>
          </value>
          <value>
            <val>1</val>
          </value>
          <value>
            <val>0</val>
          </value>
        </values>
      </ddeItem>
      <ddeItem name="53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0.30</val>
          </value>
          <value>
            <val>1.45</val>
          </value>
          <value t="str">
            <val>0.09</val>
          </value>
          <value t="str">
            <val>0.05</val>
          </value>
          <value t="str">
            <val>能率</val>
          </value>
          <value t="str">
            <val>上櫃光電</val>
          </value>
          <value t="str">
            <val>佳能轉投資之3C電子產品金屬機殼大廠</val>
          </value>
        </values>
      </ddeItem>
      <ddeItem name="5392.TW-CName,InvestorConferenceDate,DateofMeetingofShareHolders,TradingDate" advise="1">
        <values cols="4">
          <value t="str">
            <val>能率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5392.TW-ID,Name,MarketValue,Capital,NetIncomeGrowthRate,OperIncomeGrowthRate,FinancialStatementsTime,TFXRatio,MonthlyNetSalesYoY,RevenueMonth" advise="1">
        <values cols="10">
          <value t="str">
            <val>5392</val>
          </value>
          <value t="str">
            <val>能率</val>
          </value>
          <value t="str">
            <val>35.2</val>
          </value>
          <value t="str">
            <val>17.00</val>
          </value>
          <value t="str">
            <val>-50.90</val>
          </value>
          <value t="str">
            <val>-31.33</val>
          </value>
          <value t="str">
            <val>2022/03</val>
          </value>
          <value t="str">
            <val>14.20</val>
          </value>
          <value t="str">
            <val>-8.02</val>
          </value>
          <value t="str">
            <val>2022/06</val>
          </value>
        </values>
      </ddeItem>
      <ddeItem name="5392.TW-OperatingProfitRatio,Price,PriceChangeRatio,InOutRatioNumber,Value,YearReturn,MonthReturn,WeekReturn,FinanceBalanceDif,ChipsField2" advise="1">
        <values cols="10">
          <value t="str">
            <val>1.16</val>
          </value>
          <value>
            <val>20.7</val>
          </value>
          <value>
            <val>-0.96</val>
          </value>
          <value t="str">
            <val>30.00%</val>
          </value>
          <value t="str">
            <val>104萬</val>
          </value>
          <value t="str">
            <val>-21.18</val>
          </value>
          <value t="str">
            <val>+7.25</val>
          </value>
          <value t="str">
            <val>-1.43</val>
          </value>
          <value>
            <val>-1</val>
          </value>
          <value>
            <val>0</val>
          </value>
        </values>
      </ddeItem>
      <ddeItem name="539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2022/07/08</val>
          </value>
          <value t="str">
            <val>0.14</val>
          </value>
          <value>
            <val>0.84</val>
          </value>
          <value t="str">
            <val>0.08</val>
          </value>
          <value t="str">
            <val>-0.09</val>
          </value>
          <value t="str">
            <val>慕康生醫</val>
          </value>
          <value t="str">
            <val>上櫃其他</val>
          </value>
          <value t="str">
            <val>轉型佈局醫療生技發展，推出保健食品及醫材代理</val>
          </value>
        </values>
      </ddeItem>
      <ddeItem name="5398.TW-CName,InvestorConferenceDate,DateofMeetingofShareHolders,TradingDate" advise="1">
        <values cols="4">
          <value t="str">
            <val>慕康生醫</val>
          </value>
          <value t="str">
            <val>--</val>
          </value>
          <value t="str">
            <val>2022/05/09</val>
          </value>
          <value t="str">
            <val>2022/08/01</val>
          </value>
        </values>
      </ddeItem>
      <ddeItem name="5398.TW-ID,Name,MarketValue,Capital,NetIncomeGrowthRate,OperIncomeGrowthRate,FinancialStatementsTime,TFXRatio,MonthlyNetSalesYoY,RevenueMonth" advise="1">
        <values cols="10">
          <value t="str">
            <val>5398</val>
          </value>
          <value t="str">
            <val>慕康生醫</val>
          </value>
          <value t="str">
            <val>8.4</val>
          </value>
          <value t="str">
            <val>5.00</val>
          </value>
          <value t="str">
            <val>-160.92</val>
          </value>
          <value t="str">
            <val>-155.18</val>
          </value>
          <value t="str">
            <val>2022/03</val>
          </value>
          <value t="str">
            <val>-25.98</val>
          </value>
          <value t="str">
            <val>-72.72</val>
          </value>
          <value t="str">
            <val>2022/06</val>
          </value>
        </values>
      </ddeItem>
      <ddeItem name="5398.TW-OperatingProfitRatio,Price,PriceChangeRatio,InOutRatioNumber,Value,YearReturn,MonthReturn,WeekReturn,FinanceBalanceDif,ChipsField2" advise="1">
        <values cols="10">
          <value t="str">
            <val>-6.52</val>
          </value>
          <value>
            <val>16.75</val>
          </value>
          <value>
            <val>-1.18</val>
          </value>
          <value t="str">
            <val>31.25%</val>
          </value>
          <value t="str">
            <val>27.0萬</val>
          </value>
          <value t="str">
            <val>-18.62</val>
          </value>
          <value t="str">
            <val>-3.86</val>
          </value>
          <value t="str">
            <val>-2.62</val>
          </value>
          <value>
            <val>-4</val>
          </value>
          <value>
            <val>0</val>
          </value>
        </values>
      </ddeItem>
      <ddeItem name="54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17</val>
          </value>
          <value t="str">
            <val>--</val>
          </value>
          <value t="str">
            <val>4.50</val>
          </value>
          <value>
            <val>6.51</val>
          </value>
          <value t="str">
            <val>6.48</val>
          </value>
          <value t="str">
            <val>1.40</val>
          </value>
          <value t="str">
            <val>中菲</val>
          </value>
          <value t="str">
            <val>上櫃資訊服務</val>
          </value>
          <value t="str">
            <val>金融與物流業系統整合、軟體服務之廠商</val>
          </value>
        </values>
      </ddeItem>
      <ddeItem name="5403.TW-CName,InvestorConferenceDate,DateofMeetingofShareHolders,TradingDate" advise="1">
        <values cols="4">
          <value t="str">
            <val>中菲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5403.TW-ID,Name,MarketValue,Capital,NetIncomeGrowthRate,OperIncomeGrowthRate,FinancialStatementsTime,TFXRatio,MonthlyNetSalesYoY,RevenueMonth" advise="1">
        <values cols="10">
          <value t="str">
            <val>5403</val>
          </value>
          <value t="str">
            <val>中菲</val>
          </value>
          <value t="str">
            <val>49.0</val>
          </value>
          <value t="str">
            <val>7.09</val>
          </value>
          <value t="str">
            <val>44.06</val>
          </value>
          <value t="str">
            <val>38.18</val>
          </value>
          <value t="str">
            <val>2022/03</val>
          </value>
          <value t="str">
            <val>16.69</val>
          </value>
          <value t="str">
            <val>-11.61</val>
          </value>
          <value t="str">
            <val>2022/06</val>
          </value>
        </values>
      </ddeItem>
      <ddeItem name="5403.TW-OperatingProfitRatio,Price,PriceChangeRatio,InOutRatioNumber,Value,YearReturn,MonthReturn,WeekReturn,FinanceBalanceDif,ChipsField2" advise="1">
        <values cols="10">
          <value t="str">
            <val>11.84</val>
          </value>
          <value>
            <val>69.099999999999994</val>
          </value>
          <value>
            <val>-0.14000000000000001</val>
          </value>
          <value t="str">
            <val>41.79%</val>
          </value>
          <value t="str">
            <val>491萬</val>
          </value>
          <value t="str">
            <val>+9.78</val>
          </value>
          <value t="str">
            <val>-0.72</val>
          </value>
          <value t="str">
            <val>+0.58</val>
          </value>
          <value>
            <val>0</val>
          </value>
          <value>
            <val>0</val>
          </value>
        </values>
      </ddeItem>
      <ddeItem name="54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2022/08/04</val>
          </value>
          <value t="str">
            <val>1.85</val>
          </value>
          <value>
            <val>7.25</val>
          </value>
          <value t="str">
            <val>2.08</val>
          </value>
          <value t="str">
            <val>0.45</val>
          </value>
          <value t="str">
            <val>國眾</val>
          </value>
          <value t="str">
            <val>上櫃資訊服務</val>
          </value>
          <value t="str">
            <val>大眾控轉投資系統整合廠</val>
          </value>
        </values>
      </ddeItem>
      <ddeItem name="5410.TW-CName,InvestorConferenceDate,DateofMeetingofShareHolders,TradingDate" advise="1">
        <values cols="4">
          <value t="str">
            <val>國眾</val>
          </value>
          <value t="str">
            <val>--</val>
          </value>
          <value t="str">
            <val>2022/06/02</val>
          </value>
          <value t="str">
            <val>2022/08/01</val>
          </value>
        </values>
      </ddeItem>
      <ddeItem name="5410.TW-ID,Name,MarketValue,Capital,NetIncomeGrowthRate,OperIncomeGrowthRate,FinancialStatementsTime,TFXRatio,MonthlyNetSalesYoY,RevenueMonth" advise="1">
        <values cols="10">
          <value t="str">
            <val>5410</val>
          </value>
          <value t="str">
            <val>國眾</val>
          </value>
          <value t="str">
            <val>22.5</val>
          </value>
          <value t="str">
            <val>8.81</val>
          </value>
          <value t="str">
            <val>-11.11</val>
          </value>
          <value t="str">
            <val>-22.04</val>
          </value>
          <value t="str">
            <val>2022/03</val>
          </value>
          <value t="str">
            <val>17.48</val>
          </value>
          <value t="str">
            <val>-30.51</val>
          </value>
          <value t="str">
            <val>2022/06</val>
          </value>
        </values>
      </ddeItem>
      <ddeItem name="5410.TW-OperatingProfitRatio,Price,PriceChangeRatio,InOutRatioNumber,Value,YearReturn,MonthReturn,WeekReturn,FinanceBalanceDif,ChipsField2" advise="1">
        <values cols="10">
          <value t="str">
            <val>5.71</val>
          </value>
          <value>
            <val>25.5</val>
          </value>
          <value>
            <val>0.99</val>
          </value>
          <value t="str">
            <val>57.68%</val>
          </value>
          <value t="str">
            <val>678萬</val>
          </value>
          <value t="str">
            <val>+13.57</val>
          </value>
          <value t="str">
            <val>+5.15</val>
          </value>
          <value t="str">
            <val>+1.19</val>
          </value>
          <value>
            <val>2</val>
          </value>
          <value>
            <val>0</val>
          </value>
        </values>
      </ddeItem>
      <ddeItem name="5425.TW-ChipsField3,ChipsField1,ChipsField25,CashAndStockDividend,CashDividendYieldRate,ProfitFourSeason,ProfitSingle,CName,ExchangeIndustry,CompanyPos" advise="1">
        <values cols="10">
          <value>
            <val>569</val>
          </value>
          <value>
            <val>966</val>
          </value>
          <value t="str">
            <val>2022/07/28</val>
          </value>
          <value t="str">
            <val>2.50</val>
          </value>
          <value>
            <val>3.09</val>
          </value>
          <value t="str">
            <val>4.36</val>
          </value>
          <value t="str">
            <val>1.55</val>
          </value>
          <value t="str">
            <val>台半</val>
          </value>
          <value t="str">
            <val>上櫃半導體</val>
          </value>
          <value t="str">
            <val>台灣整流二極體大廠</val>
          </value>
        </values>
      </ddeItem>
      <ddeItem name="5425.TW-CName,InvestorConferenceDate,DateofMeetingofShareHolders,TradingDate" advise="1">
        <values cols="4">
          <value t="str">
            <val>台半</val>
          </value>
          <value t="str">
            <val>2022/05/20</val>
          </value>
          <value t="str">
            <val>2022/06/21</val>
          </value>
          <value t="str">
            <val>2022/08/01</val>
          </value>
        </values>
      </ddeItem>
      <ddeItem name="5425.TW-ID,Name,MarketValue,Capital,NetIncomeGrowthRate,OperIncomeGrowthRate,FinancialStatementsTime,TFXRatio,MonthlyNetSalesYoY,RevenueMonth" advise="1">
        <values cols="10">
          <value t="str">
            <val>5425</val>
          </value>
          <value t="str">
            <val>台半</val>
          </value>
          <value t="str">
            <val>212.9</val>
          </value>
          <value t="str">
            <val>26.35</val>
          </value>
          <value t="str">
            <val>65.60</val>
          </value>
          <value t="str">
            <val>58.95</val>
          </value>
          <value t="str">
            <val>2022/03</val>
          </value>
          <value t="str">
            <val>6.27</val>
          </value>
          <value t="str">
            <val>26.92</val>
          </value>
          <value t="str">
            <val>2022/06</val>
          </value>
        </values>
      </ddeItem>
      <ddeItem name="5425.TW-OperatingProfitRatio,Price,PriceChangeRatio,InOutRatioNumber,Value,YearReturn,MonthReturn,WeekReturn,FinanceBalanceDif,ChipsField2" advise="1">
        <values cols="10">
          <value t="str">
            <val>16.69</val>
          </value>
          <value>
            <val>80.8</val>
          </value>
          <value>
            <val>0.37</val>
          </value>
          <value t="str">
            <val>52.71%</val>
          </value>
          <value t="str">
            <val>4.28億</val>
          </value>
          <value t="str">
            <val>+5.92</val>
          </value>
          <value t="str">
            <val>+30.09</val>
          </value>
          <value t="str">
            <val>+2.70</val>
          </value>
          <value>
            <val>91</val>
          </value>
          <value>
            <val>501</val>
          </value>
        </values>
      </ddeItem>
      <ddeItem name="54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151</val>
          </value>
          <value t="str">
            <val>--</val>
          </value>
          <value t="str">
            <val>0.00</val>
          </value>
          <value>
            <val>0</val>
          </value>
          <value t="str">
            <val>-0.51</val>
          </value>
          <value t="str">
            <val>0.07</val>
          </value>
          <value t="str">
            <val>振發</val>
          </value>
          <value t="str">
            <val>上櫃電腦及週邊設備</val>
          </value>
          <value t="str">
            <val>視訊解碼器、PC外殼生產商</val>
          </value>
        </values>
      </ddeItem>
      <ddeItem name="5426.TW-CName,InvestorConferenceDate,DateofMeetingofShareHolders,TradingDate" advise="1">
        <values cols="4">
          <value t="str">
            <val>振發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5426.TW-ID,Name,MarketValue,Capital,NetIncomeGrowthRate,OperIncomeGrowthRate,FinancialStatementsTime,TFXRatio,MonthlyNetSalesYoY,RevenueMonth" advise="1">
        <values cols="10">
          <value t="str">
            <val>5426</val>
          </value>
          <value t="str">
            <val>振發</val>
          </value>
          <value t="str">
            <val>18.5</val>
          </value>
          <value t="str">
            <val>14.38</val>
          </value>
          <value t="str">
            <val>254.03</val>
          </value>
          <value t="str">
            <val>22.40</val>
          </value>
          <value t="str">
            <val>2022/03</val>
          </value>
          <value t="str">
            <val>17.22</val>
          </value>
          <value t="str">
            <val>46.28</val>
          </value>
          <value t="str">
            <val>2022/06</val>
          </value>
        </values>
      </ddeItem>
      <ddeItem name="5426.TW-OperatingProfitRatio,Price,PriceChangeRatio,InOutRatioNumber,Value,YearReturn,MonthReturn,WeekReturn,FinanceBalanceDif,ChipsField2" advise="1">
        <values cols="10">
          <value t="str">
            <val>-3.56</val>
          </value>
          <value>
            <val>12.85</val>
          </value>
          <value>
            <val>-2.65</val>
          </value>
          <value t="str">
            <val>21.37%</val>
          </value>
          <value t="str">
            <val>1112萬</val>
          </value>
          <value t="str">
            <val>+22.97</val>
          </value>
          <value t="str">
            <val>+20.66</val>
          </value>
          <value t="str">
            <val>+1.58</val>
          </value>
          <value>
            <val>7</val>
          </value>
          <value>
            <val>0</val>
          </value>
        </values>
      </ddeItem>
      <ddeItem name="54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0.69</val>
          </value>
          <value t="str">
            <val>0.42</val>
          </value>
          <value t="str">
            <val>新門</val>
          </value>
          <value t="str">
            <val>上櫃光電</val>
          </value>
          <value t="str">
            <val>所羅門子公司，中小尺寸液晶顯示器模組廠</val>
          </value>
        </values>
      </ddeItem>
      <ddeItem name="5432.TW-CName,InvestorConferenceDate,DateofMeetingofShareHolders,TradingDate" advise="1">
        <values cols="4">
          <value t="str">
            <val>新門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5432.TW-ID,Name,MarketValue,Capital,NetIncomeGrowthRate,OperIncomeGrowthRate,FinancialStatementsTime,TFXRatio,MonthlyNetSalesYoY,RevenueMonth" advise="1">
        <values cols="10">
          <value t="str">
            <val>5432</val>
          </value>
          <value t="str">
            <val>新門</val>
          </value>
          <value t="str">
            <val>7.2</val>
          </value>
          <value t="str">
            <val>2.07</val>
          </value>
          <value t="str">
            <val>647.39</val>
          </value>
          <value t="str">
            <val>539.37</val>
          </value>
          <value t="str">
            <val>2022/03</val>
          </value>
          <value t="str">
            <val>1.10</val>
          </value>
          <value t="str">
            <val>322.13</val>
          </value>
          <value t="str">
            <val>2022/06</val>
          </value>
        </values>
      </ddeItem>
      <ddeItem name="5432.TW-OperatingProfitRatio,Price,PriceChangeRatio,InOutRatioNumber,Value,YearReturn,MonthReturn,WeekReturn,FinanceBalanceDif,ChipsField2" advise="1">
        <values cols="10">
          <value t="str">
            <val>10.14</val>
          </value>
          <value>
            <val>34.950000000000003</val>
          </value>
          <value>
            <val>0</val>
          </value>
          <value t="str">
            <val>0.00%</val>
          </value>
          <value t="str">
            <val>3.50萬</val>
          </value>
          <value t="str">
            <val>+9.56</val>
          </value>
          <value t="str">
            <val>-4.38</val>
          </value>
          <value t="str">
            <val>+0.72</val>
          </value>
          <value>
            <val>-4</val>
          </value>
          <value>
            <val>0</val>
          </value>
        </values>
      </ddeItem>
      <ddeItem name="54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2022/07/11</val>
          </value>
          <value t="str">
            <val>0.41</val>
          </value>
          <value>
            <val>2.46</val>
          </value>
          <value t="str">
            <val>0.21</val>
          </value>
          <value t="str">
            <val>-0.32</val>
          </value>
          <value t="str">
            <val>東友</val>
          </value>
          <value t="str">
            <val>上櫃電腦及週邊設備</val>
          </value>
          <value t="str">
            <val>為Konica Minolta代工多功能事務機</val>
          </value>
        </values>
      </ddeItem>
      <ddeItem name="5438.TW-CName,InvestorConferenceDate,DateofMeetingofShareHolders,TradingDate" advise="1">
        <values cols="4">
          <value t="str">
            <val>東友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5438.TW-ID,Name,MarketValue,Capital,NetIncomeGrowthRate,OperIncomeGrowthRate,FinancialStatementsTime,TFXRatio,MonthlyNetSalesYoY,RevenueMonth" advise="1">
        <values cols="10">
          <value t="str">
            <val>5438</val>
          </value>
          <value t="str">
            <val>東友</val>
          </value>
          <value t="str">
            <val>18.7</val>
          </value>
          <value t="str">
            <val>11.25</val>
          </value>
          <value t="str">
            <val>-515.09</val>
          </value>
          <value t="str">
            <val>-630.82</val>
          </value>
          <value t="str">
            <val>2022/03</val>
          </value>
          <value t="str">
            <val>-16.11</val>
          </value>
          <value t="str">
            <val>-7.16</val>
          </value>
          <value t="str">
            <val>2022/06</val>
          </value>
        </values>
      </ddeItem>
      <ddeItem name="5438.TW-OperatingProfitRatio,Price,PriceChangeRatio,InOutRatioNumber,Value,YearReturn,MonthReturn,WeekReturn,FinanceBalanceDif,ChipsField2" advise="1">
        <values cols="10">
          <value t="str">
            <val>-8.79</val>
          </value>
          <value>
            <val>16.649999999999999</val>
          </value>
          <value>
            <val>0.3</val>
          </value>
          <value t="str">
            <val>23.58%</val>
          </value>
          <value t="str">
            <val>439萬</val>
          </value>
          <value t="str">
            <val>-15.08</val>
          </value>
          <value t="str">
            <val>+16.06</val>
          </value>
          <value t="str">
            <val>+3.42</val>
          </value>
          <value>
            <val>2</val>
          </value>
          <value>
            <val>0</val>
          </value>
        </values>
      </ddeItem>
      <ddeItem name="543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21</val>
          </value>
          <value t="str">
            <val>2022/07/19</val>
          </value>
          <value t="str">
            <val>3.60</val>
          </value>
          <value>
            <val>8.8000000000000007</val>
          </value>
          <value t="str">
            <val>4.66</val>
          </value>
          <value t="str">
            <val>1.12</val>
          </value>
          <value t="str">
            <val>高技</val>
          </value>
          <value t="str">
            <val>上櫃電子零組件</val>
          </value>
          <value t="str">
            <val>生產少量多樣高層數利基型PCB為主</val>
          </value>
        </values>
      </ddeItem>
      <ddeItem name="5439.TW-CName,InvestorConferenceDate,DateofMeetingofShareHolders,TradingDate" advise="1">
        <values cols="4">
          <value t="str">
            <val>高技</val>
          </value>
          <value t="str">
            <val>2021/11/29</val>
          </value>
          <value t="str">
            <val>2022/06/30</val>
          </value>
          <value t="str">
            <val>2022/08/01</val>
          </value>
        </values>
      </ddeItem>
      <ddeItem name="5439.TW-ID,Name,MarketValue,Capital,NetIncomeGrowthRate,OperIncomeGrowthRate,FinancialStatementsTime,TFXRatio,MonthlyNetSalesYoY,RevenueMonth" advise="1">
        <values cols="10">
          <value t="str">
            <val>5439</val>
          </value>
          <value t="str">
            <val>高技</val>
          </value>
          <value t="str">
            <val>38.0</val>
          </value>
          <value t="str">
            <val>9.30</val>
          </value>
          <value t="str">
            <val>7.47</val>
          </value>
          <value t="str">
            <val>-9.22</val>
          </value>
          <value t="str">
            <val>2022/03</val>
          </value>
          <value t="str">
            <val>4.05</val>
          </value>
          <value t="str">
            <val>-18.52</val>
          </value>
          <value t="str">
            <val>2022/06</val>
          </value>
        </values>
      </ddeItem>
      <ddeItem name="5439.TW-OperatingProfitRatio,Price,PriceChangeRatio,InOutRatioNumber,Value,YearReturn,MonthReturn,WeekReturn,FinanceBalanceDif,ChipsField2" advise="1">
        <values cols="10">
          <value t="str">
            <val>13.27</val>
          </value>
          <value>
            <val>40.9</val>
          </value>
          <value>
            <val>1.24</val>
          </value>
          <value t="str">
            <val>51.08%</val>
          </value>
          <value t="str">
            <val>756萬</val>
          </value>
          <value t="str">
            <val>-35.20</val>
          </value>
          <value t="str">
            <val>+8.05</val>
          </value>
          <value t="str">
            <val>0.00</val>
          </value>
          <value>
            <val>9</val>
          </value>
          <value>
            <val>-22</val>
          </value>
        </values>
      </ddeItem>
      <ddeItem name="54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2022/07/26</val>
          </value>
          <value t="str">
            <val>1.50</val>
          </value>
          <value>
            <val>5.98</val>
          </value>
          <value t="str">
            <val>1.84</val>
          </value>
          <value t="str">
            <val>0.68</val>
          </value>
          <value t="str">
            <val>均豪</val>
          </value>
          <value t="str">
            <val>上櫃光電</val>
          </value>
          <value t="str">
            <val>台灣TFT製程及封裝設備供應商</val>
          </value>
        </values>
      </ddeItem>
      <ddeItem name="5443.TW-CName,InvestorConferenceDate,DateofMeetingofShareHolders,TradingDate" advise="1">
        <values cols="4">
          <value t="str">
            <val>均豪</val>
          </value>
          <value t="str">
            <val>2021/11/23</val>
          </value>
          <value t="str">
            <val>2022/06/08</val>
          </value>
          <value t="str">
            <val>2022/08/01</val>
          </value>
        </values>
      </ddeItem>
      <ddeItem name="5443.TW-ID,Name,MarketValue,Capital,NetIncomeGrowthRate,OperIncomeGrowthRate,FinancialStatementsTime,TFXRatio,MonthlyNetSalesYoY,RevenueMonth" advise="1">
        <values cols="10">
          <value t="str">
            <val>5443</val>
          </value>
          <value t="str">
            <val>均豪</val>
          </value>
          <value t="str">
            <val>41.4</val>
          </value>
          <value t="str">
            <val>16.51</val>
          </value>
          <value t="str">
            <val>117.05</val>
          </value>
          <value t="str">
            <val>90.30</val>
          </value>
          <value t="str">
            <val>2022/03</val>
          </value>
          <value t="str">
            <val>22.38</val>
          </value>
          <value t="str">
            <val>11.55</val>
          </value>
          <value t="str">
            <val>2022/06</val>
          </value>
        </values>
      </ddeItem>
      <ddeItem name="5443.TW-OperatingProfitRatio,Price,PriceChangeRatio,InOutRatioNumber,Value,YearReturn,MonthReturn,WeekReturn,FinanceBalanceDif,ChipsField2" advise="1">
        <values cols="10">
          <value t="str">
            <val>12.31</val>
          </value>
          <value>
            <val>25.1</val>
          </value>
          <value>
            <val>0</val>
          </value>
          <value t="str">
            <val>54.55%</val>
          </value>
          <value t="str">
            <val>252萬</val>
          </value>
          <value t="str">
            <val>-32.36</val>
          </value>
          <value t="str">
            <val>+12.16</val>
          </value>
          <value t="str">
            <val>-1.18</val>
          </value>
          <value>
            <val>-50</val>
          </value>
          <value>
            <val>0</val>
          </value>
        </values>
      </ddeItem>
      <ddeItem name="54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2022/08/04</val>
          </value>
          <value t="str">
            <val>0.60</val>
          </value>
          <value>
            <val>3.35</val>
          </value>
          <value t="str">
            <val>1.54</val>
          </value>
          <value t="str">
            <val>0.51</val>
          </value>
          <value t="str">
            <val>南良</val>
          </value>
          <value t="str">
            <val>上櫃其他</val>
          </value>
          <value t="str">
            <val>主要經營特殊紡織品、高彈性發泡材料及電源供應器</val>
          </value>
        </values>
      </ddeItem>
      <ddeItem name="5450.TW-CName,InvestorConferenceDate,DateofMeetingofShareHolders,TradingDate" advise="1">
        <values cols="4">
          <value t="str">
            <val>南良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5450.TW-ID,Name,MarketValue,Capital,NetIncomeGrowthRate,OperIncomeGrowthRate,FinancialStatementsTime,TFXRatio,MonthlyNetSalesYoY,RevenueMonth" advise="1">
        <values cols="10">
          <value t="str">
            <val>5450</val>
          </value>
          <value t="str">
            <val>南良</val>
          </value>
          <value t="str">
            <val>21.9</val>
          </value>
          <value t="str">
            <val>12.24</val>
          </value>
          <value t="str">
            <val>153.59</val>
          </value>
          <value t="str">
            <val>79.05</val>
          </value>
          <value t="str">
            <val>2022/03</val>
          </value>
          <value t="str">
            <val>-10.69</val>
          </value>
          <value t="str">
            <val>-2.10</val>
          </value>
          <value t="str">
            <val>2022/06</val>
          </value>
        </values>
      </ddeItem>
      <ddeItem name="5450.TW-OperatingProfitRatio,Price,PriceChangeRatio,InOutRatioNumber,Value,YearReturn,MonthReturn,WeekReturn,FinanceBalanceDif,ChipsField2" advise="1">
        <values cols="10">
          <value t="str">
            <val>6.64</val>
          </value>
          <value>
            <val>17.899999999999999</val>
          </value>
          <value>
            <val>1.42</val>
          </value>
          <value t="str">
            <val>58.52%</val>
          </value>
          <value t="str">
            <val>244萬</val>
          </value>
          <value t="str">
            <val>0.00</val>
          </value>
          <value t="str">
            <val>+5.60</val>
          </value>
          <value t="str">
            <val>+2.29</val>
          </value>
          <value>
            <val>9</val>
          </value>
          <value>
            <val>0</val>
          </value>
        </values>
      </ddeItem>
      <ddeItem name="545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-17</val>
          </value>
          <value t="str">
            <val>--</val>
          </value>
          <value t="str">
            <val>0.80</val>
          </value>
          <value>
            <val>5.3</val>
          </value>
          <value t="str">
            <val>1.30</val>
          </value>
          <value t="str">
            <val>0.28</val>
          </value>
          <value t="str">
            <val>佶優</val>
          </value>
          <value t="str">
            <val>上櫃其他電子</val>
          </value>
          <value t="str">
            <val>台灣塑化及電子材料通路商</val>
          </value>
        </values>
      </ddeItem>
      <ddeItem name="5452.TW-CName,InvestorConferenceDate,DateofMeetingofShareHolders,TradingDate" advise="1">
        <values cols="4">
          <value t="str">
            <val>佶優</val>
          </value>
          <value t="str">
            <val>--</val>
          </value>
          <value t="str">
            <val>2022/06/20</val>
          </value>
          <value t="str">
            <val>2022/08/01</val>
          </value>
        </values>
      </ddeItem>
      <ddeItem name="5452.TW-ID,Name,MarketValue,Capital,NetIncomeGrowthRate,OperIncomeGrowthRate,FinancialStatementsTime,TFXRatio,MonthlyNetSalesYoY,RevenueMonth" advise="1">
        <values cols="10">
          <value t="str">
            <val>5452</val>
          </value>
          <value t="str">
            <val>佶優</val>
          </value>
          <value t="str">
            <val>22.5</val>
          </value>
          <value t="str">
            <val>14.88</val>
          </value>
          <value t="str">
            <val>-50.47</val>
          </value>
          <value t="str">
            <val>-55.35</val>
          </value>
          <value t="str">
            <val>2022/03</val>
          </value>
          <value t="str">
            <val>-13.01</val>
          </value>
          <value t="str">
            <val>-8.27</val>
          </value>
          <value t="str">
            <val>2022/06</val>
          </value>
        </values>
      </ddeItem>
      <ddeItem name="5452.TW-OperatingProfitRatio,Price,PriceChangeRatio,InOutRatioNumber,Value,YearReturn,MonthReturn,WeekReturn,FinanceBalanceDif,ChipsField2" advise="1">
        <values cols="10">
          <value t="str">
            <val>3.48</val>
          </value>
          <value>
            <val>15.1</val>
          </value>
          <value>
            <val>-0.33</val>
          </value>
          <value t="str">
            <val>20.21%</val>
          </value>
          <value t="str">
            <val>149萬</val>
          </value>
          <value t="str">
            <val>-34.82</val>
          </value>
          <value t="str">
            <val>+15.27</val>
          </value>
          <value t="str">
            <val>-1.95</val>
          </value>
          <value>
            <val>-1</val>
          </value>
          <value>
            <val>0</val>
          </value>
        </values>
      </ddeItem>
      <ddeItem name="54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0.54</val>
          </value>
          <value t="str">
            <val>0.56</val>
          </value>
          <value t="str">
            <val>昇益</val>
          </value>
          <value t="str">
            <val>上櫃建材營造</val>
          </value>
          <value t="str">
            <val>轉型為從事不動產開發興建及不動產租賃業務</val>
          </value>
        </values>
      </ddeItem>
      <ddeItem name="5455.TW-CName,InvestorConferenceDate,DateofMeetingofShareHolders,TradingDate" advise="1">
        <values cols="4">
          <value t="str">
            <val>昇益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5455.TW-ID,Name,MarketValue,Capital,NetIncomeGrowthRate,OperIncomeGrowthRate,FinancialStatementsTime,TFXRatio,MonthlyNetSalesYoY,RevenueMonth" advise="1">
        <values cols="10">
          <value t="str">
            <val>5455</val>
          </value>
          <value t="str">
            <val>昇益</val>
          </value>
          <value t="str">
            <val>17.7</val>
          </value>
          <value t="str">
            <val>6.55</val>
          </value>
          <value t="str">
            <val>845.61</val>
          </value>
          <value t="str">
            <val>673.18</val>
          </value>
          <value t="str">
            <val>2022/03</val>
          </value>
          <value t="str">
            <val>354.53</val>
          </value>
          <value t="str">
            <val>12064.00</val>
          </value>
          <value t="str">
            <val>2022/06</val>
          </value>
        </values>
      </ddeItem>
      <ddeItem name="5455.TW-OperatingProfitRatio,Price,PriceChangeRatio,InOutRatioNumber,Value,YearReturn,MonthReturn,WeekReturn,FinanceBalanceDif,ChipsField2" advise="1">
        <values cols="10">
          <value t="str">
            <val>8.01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+15.88</val>
          </value>
          <value t="str">
            <val>-1.10</val>
          </value>
          <value t="str">
            <val>+1.69</val>
          </value>
          <value>
            <val>0</val>
          </value>
          <value>
            <val>0</val>
          </value>
        </values>
      </ddeItem>
      <ddeItem name="5457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14</val>
          </value>
          <value t="str">
            <val>2022/08/04</val>
          </value>
          <value t="str">
            <val>2.50</val>
          </value>
          <value>
            <val>4.7300000000000004</val>
          </value>
          <value t="str">
            <val>5.09</val>
          </value>
          <value t="str">
            <val>0.91</val>
          </value>
          <value t="str">
            <val>宣德</val>
          </value>
          <value t="str">
            <val>上櫃電子零組件</val>
          </value>
          <value t="str">
            <val>台灣第三大NB連接器廠</val>
          </value>
        </values>
      </ddeItem>
      <ddeItem name="5457.TW-CName,InvestorConferenceDate,DateofMeetingofShareHolders,TradingDate" advise="1">
        <values cols="4">
          <value t="str">
            <val>宣德</val>
          </value>
          <value t="str">
            <val>2021/05/18</val>
          </value>
          <value t="str">
            <val>2022/06/24</val>
          </value>
          <value t="str">
            <val>2022/08/01</val>
          </value>
        </values>
      </ddeItem>
      <ddeItem name="5457.TW-ID,Name,MarketValue,Capital,NetIncomeGrowthRate,OperIncomeGrowthRate,FinancialStatementsTime,TFXRatio,MonthlyNetSalesYoY,RevenueMonth" advise="1">
        <values cols="10">
          <value t="str">
            <val>5457</val>
          </value>
          <value t="str">
            <val>宣德</val>
          </value>
          <value t="str">
            <val>89.9</val>
          </value>
          <value t="str">
            <val>17.03</val>
          </value>
          <value t="str">
            <val>5.49</val>
          </value>
          <value t="str">
            <val>-11.67</val>
          </value>
          <value t="str">
            <val>2022/03</val>
          </value>
          <value t="str">
            <val>-3.94</val>
          </value>
          <value t="str">
            <val>41.94</val>
          </value>
          <value t="str">
            <val>2022/06</val>
          </value>
        </values>
      </ddeItem>
      <ddeItem name="5457.TW-OperatingProfitRatio,Price,PriceChangeRatio,InOutRatioNumber,Value,YearReturn,MonthReturn,WeekReturn,FinanceBalanceDif,ChipsField2" advise="1">
        <values cols="10">
          <value t="str">
            <val>7.62</val>
          </value>
          <value>
            <val>52.8</val>
          </value>
          <value>
            <val>-3.47</val>
          </value>
          <value t="str">
            <val>18.89%</val>
          </value>
          <value t="str">
            <val>1944萬</val>
          </value>
          <value t="str">
            <val>-30.28</val>
          </value>
          <value t="str">
            <val>+4.35</val>
          </value>
          <value t="str">
            <val>-4.69</val>
          </value>
          <value>
            <val>-33</val>
          </value>
          <value>
            <val>0</val>
          </value>
        </values>
      </ddeItem>
      <ddeItem name="54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0.00</val>
          </value>
          <value t="str">
            <val>-0.07</val>
          </value>
          <value t="str">
            <val>同協</val>
          </value>
          <value t="str">
            <val>上櫃電子零組件</val>
          </value>
          <value t="str">
            <val>專業的連續沖壓模具及零件大廠</val>
          </value>
        </values>
      </ddeItem>
      <ddeItem name="5460.TW-CName,InvestorConferenceDate,DateofMeetingofShareHolders,TradingDate" advise="1">
        <values cols="4">
          <value t="str">
            <val>同協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5460.TW-ID,Name,MarketValue,Capital,NetIncomeGrowthRate,OperIncomeGrowthRate,FinancialStatementsTime,TFXRatio,MonthlyNetSalesYoY,RevenueMonth" advise="1">
        <values cols="10">
          <value t="str">
            <val>5460</val>
          </value>
          <value t="str">
            <val>同協</val>
          </value>
          <value t="str">
            <val>7.0</val>
          </value>
          <value t="str">
            <val>5.88</val>
          </value>
          <value t="str">
            <val>-18.50</val>
          </value>
          <value t="str">
            <val>-69.98</val>
          </value>
          <value t="str">
            <val>2022/03</val>
          </value>
          <value t="str">
            <val>20.84</val>
          </value>
          <value t="str">
            <val>21.53</val>
          </value>
          <value t="str">
            <val>2022/06</val>
          </value>
        </values>
      </ddeItem>
      <ddeItem name="5460.TW-OperatingProfitRatio,Price,PriceChangeRatio,InOutRatioNumber,Value,YearReturn,MonthReturn,WeekReturn,FinanceBalanceDif,ChipsField2" advise="1">
        <values cols="10">
          <value t="str">
            <val>-6.90</val>
          </value>
          <value>
            <val>11.85</val>
          </value>
          <value>
            <val>0</val>
          </value>
          <value t="str">
            <val>48.00%</val>
          </value>
          <value t="str">
            <val>29.6萬</val>
          </value>
          <value t="str">
            <val>+4.11</val>
          </value>
          <value t="str">
            <val>-0.84</val>
          </value>
          <value t="str">
            <val>-0.42</val>
          </value>
          <value>
            <val>0</val>
          </value>
          <value>
            <val>0</val>
          </value>
        </values>
      </ddeItem>
      <ddeItem name="5464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84</val>
          </value>
          <value t="str">
            <val>--</val>
          </value>
          <value t="str">
            <val>2.00</val>
          </value>
          <value>
            <val>8.23</val>
          </value>
          <value t="str">
            <val>-0.18</val>
          </value>
          <value t="str">
            <val>1.04</val>
          </value>
          <value t="str">
            <val>霖宏</val>
          </value>
          <value t="str">
            <val>上櫃電子零組件</val>
          </value>
          <value t="str">
            <val>LCD TV,印表機等消費性PCB廠</val>
          </value>
        </values>
      </ddeItem>
      <ddeItem name="5464.TW-CName,InvestorConferenceDate,DateofMeetingofShareHolders,TradingDate" advise="1">
        <values cols="4">
          <value t="str">
            <val>霖宏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5464.TW-ID,Name,MarketValue,Capital,NetIncomeGrowthRate,OperIncomeGrowthRate,FinancialStatementsTime,TFXRatio,MonthlyNetSalesYoY,RevenueMonth" advise="1">
        <values cols="10">
          <value t="str">
            <val>5464</val>
          </value>
          <value t="str">
            <val>霖宏</val>
          </value>
          <value t="str">
            <val>17.3</val>
          </value>
          <value t="str">
            <val>7.11</val>
          </value>
          <value t="str">
            <val>-82.75</val>
          </value>
          <value t="str">
            <val>-96.35</val>
          </value>
          <value t="str">
            <val>2022/03</val>
          </value>
          <value t="str">
            <val>-17.57</val>
          </value>
          <value t="str">
            <val>-7.85</val>
          </value>
          <value t="str">
            <val>2022/06</val>
          </value>
        </values>
      </ddeItem>
      <ddeItem name="5464.TW-OperatingProfitRatio,Price,PriceChangeRatio,InOutRatioNumber,Value,YearReturn,MonthReturn,WeekReturn,FinanceBalanceDif,ChipsField2" advise="1">
        <values cols="10">
          <value t="str">
            <val>-9.27</val>
          </value>
          <value>
            <val>24.3</val>
          </value>
          <value>
            <val>-2.21</val>
          </value>
          <value t="str">
            <val>33.98%</val>
          </value>
          <value t="str">
            <val>1323萬</val>
          </value>
          <value t="str">
            <val>-24.18</val>
          </value>
          <value t="str">
            <val>+3.18</val>
          </value>
          <value t="str">
            <val>+0.21</val>
          </value>
          <value>
            <val>26</val>
          </value>
          <value>
            <val>0</val>
          </value>
        </values>
      </ddeItem>
      <ddeItem name="54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2022/07/14</val>
          </value>
          <value t="str">
            <val>1.15</val>
          </value>
          <value>
            <val>7.88</val>
          </value>
          <value t="str">
            <val>1.42</val>
          </value>
          <value t="str">
            <val>0.42</val>
          </value>
          <value t="str">
            <val>富驊</val>
          </value>
          <value t="str">
            <val>上櫃電腦及週邊設備</val>
          </value>
          <value t="str">
            <val>神達轉投資之電子產品金屬沖壓及塑膠射出機殼廠</val>
          </value>
        </values>
      </ddeItem>
      <ddeItem name="5465.TW-CName,InvestorConferenceDate,DateofMeetingofShareHolders,TradingDate" advise="1">
        <values cols="4">
          <value t="str">
            <val>富驊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5465.TW-ID,Name,MarketValue,Capital,NetIncomeGrowthRate,OperIncomeGrowthRate,FinancialStatementsTime,TFXRatio,MonthlyNetSalesYoY,RevenueMonth" advise="1">
        <values cols="10">
          <value t="str">
            <val>5465</val>
          </value>
          <value t="str">
            <val>富驊</val>
          </value>
          <value t="str">
            <val>21.6</val>
          </value>
          <value t="str">
            <val>14.77</val>
          </value>
          <value t="str">
            <val>66.50</val>
          </value>
          <value t="str">
            <val>119.07</val>
          </value>
          <value t="str">
            <val>2022/03</val>
          </value>
          <value t="str">
            <val>-18.30</val>
          </value>
          <value t="str">
            <val>-18.44</val>
          </value>
          <value t="str">
            <val>2022/06</val>
          </value>
        </values>
      </ddeItem>
      <ddeItem name="5465.TW-OperatingProfitRatio,Price,PriceChangeRatio,InOutRatioNumber,Value,YearReturn,MonthReturn,WeekReturn,FinanceBalanceDif,ChipsField2" advise="1">
        <values cols="10">
          <value t="str">
            <val>5.81</val>
          </value>
          <value>
            <val>14.6</val>
          </value>
          <value>
            <val>0.34</val>
          </value>
          <value t="str">
            <val>17.39%</val>
          </value>
          <value t="str">
            <val>35.0萬</val>
          </value>
          <value t="str">
            <val>-7.13</val>
          </value>
          <value t="str">
            <val>+1.04</val>
          </value>
          <value t="str">
            <val>0.00</val>
          </value>
          <value>
            <val>-2</val>
          </value>
          <value>
            <val>0</val>
          </value>
        </values>
      </ddeItem>
      <ddeItem name="54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--</val>
          </value>
          <value t="str">
            <val>0.00</val>
          </value>
          <value>
            <val>0</val>
          </value>
          <value t="str">
            <val>0.85</val>
          </value>
          <value t="str">
            <val>0.44</val>
          </value>
          <value t="str">
            <val>凱鈺</val>
          </value>
          <value t="str">
            <val>上櫃半導體</val>
          </value>
          <value t="str">
            <val>鈺創轉投資的LED驅動IC及光通訊IC廠</val>
          </value>
        </values>
      </ddeItem>
      <ddeItem name="5468.TW-CName,InvestorConferenceDate,DateofMeetingofShareHolders,TradingDate" advise="1">
        <values cols="4">
          <value t="str">
            <val>凱鈺</val>
          </value>
          <value t="str">
            <val>2021/11/18</val>
          </value>
          <value t="str">
            <val>2022/04/28</val>
          </value>
          <value t="str">
            <val>2022/08/01</val>
          </value>
        </values>
      </ddeItem>
      <ddeItem name="5468.TW-ID,Name,MarketValue,Capital,NetIncomeGrowthRate,OperIncomeGrowthRate,FinancialStatementsTime,TFXRatio,MonthlyNetSalesYoY,RevenueMonth" advise="1">
        <values cols="10">
          <value t="str">
            <val>5468</val>
          </value>
          <value t="str">
            <val>凱鈺</val>
          </value>
          <value t="str">
            <val>7.5</val>
          </value>
          <value t="str">
            <val>3.58</val>
          </value>
          <value t="str">
            <val>300.07</val>
          </value>
          <value t="str">
            <val>382.31</val>
          </value>
          <value t="str">
            <val>2022/03</val>
          </value>
          <value t="str">
            <val>-38.87</val>
          </value>
          <value t="str">
            <val>-7.33</val>
          </value>
          <value t="str">
            <val>2022/06</val>
          </value>
        </values>
      </ddeItem>
      <ddeItem name="5468.TW-OperatingProfitRatio,Price,PriceChangeRatio,InOutRatioNumber,Value,YearReturn,MonthReturn,WeekReturn,FinanceBalanceDif,ChipsField2" advise="1">
        <values cols="10">
          <value t="str">
            <val>23.49</val>
          </value>
          <value>
            <val>21.05</val>
          </value>
          <value>
            <val>0.48</val>
          </value>
          <value t="str">
            <val>42.72%</val>
          </value>
          <value t="str">
            <val>217萬</val>
          </value>
          <value t="str">
            <val>+21.68</val>
          </value>
          <value t="str">
            <val>-21.01</val>
          </value>
          <value t="str">
            <val>-1.41</val>
          </value>
          <value>
            <val>0</val>
          </value>
          <value>
            <val>0</val>
          </value>
        </values>
      </ddeItem>
      <ddeItem name="54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2022/07/04</val>
          </value>
          <value t="str">
            <val>5.00</val>
          </value>
          <value>
            <val>6.56</val>
          </value>
          <value t="str">
            <val>10.11</val>
          </value>
          <value t="str">
            <val>2.00</val>
          </value>
          <value t="str">
            <val>聰泰</val>
          </value>
          <value t="str">
            <val>上櫃電腦及週邊設備</val>
          </value>
          <value t="str">
            <val>數位監控、影音串流設備商</val>
          </value>
        </values>
      </ddeItem>
      <ddeItem name="5474.TW-CName,InvestorConferenceDate,DateofMeetingofShareHolders,TradingDate" advise="1">
        <values cols="4">
          <value t="str">
            <val>聰泰</val>
          </value>
          <value t="str">
            <val>2022/07/28</val>
          </value>
          <value t="str">
            <val>2022/06/14</val>
          </value>
          <value t="str">
            <val>2022/08/01</val>
          </value>
        </values>
      </ddeItem>
      <ddeItem name="5474.TW-ID,Name,MarketValue,Capital,NetIncomeGrowthRate,OperIncomeGrowthRate,FinancialStatementsTime,TFXRatio,MonthlyNetSalesYoY,RevenueMonth" advise="1">
        <values cols="10">
          <value t="str">
            <val>5474</val>
          </value>
          <value t="str">
            <val>聰泰</val>
          </value>
          <value t="str">
            <val>30.8</val>
          </value>
          <value t="str">
            <val>4.04</val>
          </value>
          <value t="str">
            <val>1.54</val>
          </value>
          <value t="str">
            <val>-10.27</val>
          </value>
          <value t="str">
            <val>2022/03</val>
          </value>
          <value t="str">
            <val>27.47</val>
          </value>
          <value t="str">
            <val>-20.15</val>
          </value>
          <value t="str">
            <val>2022/06</val>
          </value>
        </values>
      </ddeItem>
      <ddeItem name="5474.TW-OperatingProfitRatio,Price,PriceChangeRatio,InOutRatioNumber,Value,YearReturn,MonthReturn,WeekReturn,FinanceBalanceDif,ChipsField2" advise="1">
        <values cols="10">
          <value t="str">
            <val>22.07</val>
          </value>
          <value>
            <val>76.2</val>
          </value>
          <value>
            <val>-2.1800000000000002</val>
          </value>
          <value t="str">
            <val>21.43%</val>
          </value>
          <value t="str">
            <val>214萬</val>
          </value>
          <value t="str">
            <val>-38.61</val>
          </value>
          <value t="str">
            <val>+17.41</val>
          </value>
          <value t="str">
            <val>-4.39</val>
          </value>
          <value>
            <val>-1</val>
          </value>
          <value>
            <val>0</val>
          </value>
        </values>
      </ddeItem>
      <ddeItem name="547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--</val>
          </value>
          <value t="str">
            <val>0.00</val>
          </value>
          <value>
            <val>0</val>
          </value>
          <value t="str">
            <val>2.10</val>
          </value>
          <value t="str">
            <val>-0.84</val>
          </value>
          <value t="str">
            <val>德宏</val>
          </value>
          <value t="str">
            <val>上櫃電子零組件</val>
          </value>
          <value t="str">
            <val>台灣專業電子級玻纖布廠</val>
          </value>
        </values>
      </ddeItem>
      <ddeItem name="5475.TW-CName,InvestorConferenceDate,DateofMeetingofShareHolders,TradingDate" advise="1">
        <values cols="4">
          <value t="str">
            <val>德宏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5475.TW-ID,Name,MarketValue,Capital,NetIncomeGrowthRate,OperIncomeGrowthRate,FinancialStatementsTime,TFXRatio,MonthlyNetSalesYoY,RevenueMonth" advise="1">
        <values cols="10">
          <value t="str">
            <val>5475</val>
          </value>
          <value t="str">
            <val>德宏</val>
          </value>
          <value t="str">
            <val>15.4</val>
          </value>
          <value t="str">
            <val>12.71</val>
          </value>
          <value t="str">
            <val>-216.75</val>
          </value>
          <value t="str">
            <val>-190.96</val>
          </value>
          <value t="str">
            <val>2022/03</val>
          </value>
          <value t="str">
            <val>-10.70</val>
          </value>
          <value t="str">
            <val>-75.83</val>
          </value>
          <value t="str">
            <val>2022/06</val>
          </value>
        </values>
      </ddeItem>
      <ddeItem name="5475.TW-OperatingProfitRatio,Price,PriceChangeRatio,InOutRatioNumber,Value,YearReturn,MonthReturn,WeekReturn,FinanceBalanceDif,ChipsField2" advise="1">
        <values cols="10">
          <value t="str">
            <val>-42.50</val>
          </value>
          <value>
            <val>12.1</val>
          </value>
          <value>
            <val>-1.22</val>
          </value>
          <value t="str">
            <val>21.97%</val>
          </value>
          <value t="str">
            <val>281萬</val>
          </value>
          <value t="str">
            <val>-66.20</val>
          </value>
          <value t="str">
            <val>-15.38</val>
          </value>
          <value t="str">
            <val>-4.72</val>
          </value>
          <value>
            <val>0</val>
          </value>
          <value>
            <val>0</val>
          </value>
        </values>
      </ddeItem>
      <ddeItem name="547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2022/04/21</val>
          </value>
          <value t="str">
            <val>5.20</val>
          </value>
          <value>
            <val>7</val>
          </value>
          <value t="str">
            <val>6.85</val>
          </value>
          <value t="str">
            <val>1.58</val>
          </value>
          <value t="str">
            <val>智冠</val>
          </value>
          <value t="str">
            <val>上櫃文化創意</val>
          </value>
          <value t="str">
            <val>台灣最大遊戲公司，橫跨研發、營運和通路行銷等業務</val>
          </value>
        </values>
      </ddeItem>
      <ddeItem name="5478.TW-CName,InvestorConferenceDate,DateofMeetingofShareHolders,TradingDate" advise="1">
        <values cols="4">
          <value t="str">
            <val>智冠</val>
          </value>
          <value t="str">
            <val>2021/03/30</val>
          </value>
          <value t="str">
            <val>2022/06/21</val>
          </value>
          <value t="str">
            <val>2022/08/01</val>
          </value>
        </values>
      </ddeItem>
      <ddeItem name="5478.TW-ID,Name,MarketValue,Capital,NetIncomeGrowthRate,OperIncomeGrowthRate,FinancialStatementsTime,TFXRatio,MonthlyNetSalesYoY,RevenueMonth" advise="1">
        <values cols="10">
          <value t="str">
            <val>5478</val>
          </value>
          <value t="str">
            <val>智冠</val>
          </value>
          <value t="str">
            <val>94.7</val>
          </value>
          <value t="str">
            <val>12.75</val>
          </value>
          <value t="str">
            <val>2.12</val>
          </value>
          <value t="str">
            <val>-6.50</val>
          </value>
          <value t="str">
            <val>2022/03</val>
          </value>
          <value t="str">
            <val>-2.13</val>
          </value>
          <value t="str">
            <val>-33.52</val>
          </value>
          <value t="str">
            <val>2022/06</val>
          </value>
        </values>
      </ddeItem>
      <ddeItem name="5478.TW-OperatingProfitRatio,Price,PriceChangeRatio,InOutRatioNumber,Value,YearReturn,MonthReturn,WeekReturn,FinanceBalanceDif,ChipsField2" advise="1">
        <values cols="10">
          <value t="str">
            <val>15.49</val>
          </value>
          <value>
            <val>74.3</val>
          </value>
          <value>
            <val>0.54</val>
          </value>
          <value t="str">
            <val>51.16%</val>
          </value>
          <value t="str">
            <val>318萬</val>
          </value>
          <value t="str">
            <val>-19.14</val>
          </value>
          <value t="str">
            <val>-3.88</val>
          </value>
          <value t="str">
            <val>-0.93</val>
          </value>
          <value>
            <val>-2</val>
          </value>
          <value>
            <val>0</val>
          </value>
        </values>
      </ddeItem>
      <ddeItem name="548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0</val>
          </value>
          <value t="str">
            <val>2022/05/04</val>
          </value>
          <value t="str">
            <val>0.60</val>
          </value>
          <value>
            <val>5.0599999999999996</val>
          </value>
          <value t="str">
            <val>1.72</val>
          </value>
          <value t="str">
            <val>-0.16</val>
          </value>
          <value t="str">
            <val>新華</val>
          </value>
          <value t="str">
            <val>上櫃其他</val>
          </value>
          <value t="str">
            <val>主要經營「芝?街」連鎖美語補習班及國高中補習服務</val>
          </value>
        </values>
      </ddeItem>
      <ddeItem name="5481.TW-CName,InvestorConferenceDate,DateofMeetingofShareHolders,TradingDate" advise="1">
        <values cols="4">
          <value t="str">
            <val>新華</val>
          </value>
          <value t="str">
            <val>--</val>
          </value>
          <value t="str">
            <val>2022/03/29</val>
          </value>
          <value t="str">
            <val>2022/08/01</val>
          </value>
        </values>
      </ddeItem>
      <ddeItem name="5481.TW-ID,Name,MarketValue,Capital,NetIncomeGrowthRate,OperIncomeGrowthRate,FinancialStatementsTime,TFXRatio,MonthlyNetSalesYoY,RevenueMonth" advise="1">
        <values cols="10">
          <value t="str">
            <val>5481</val>
          </value>
          <value t="str">
            <val>新華</val>
          </value>
          <value t="str">
            <val>8.7</val>
          </value>
          <value t="str">
            <val>7.34</val>
          </value>
          <value t="str">
            <val>-70.14</val>
          </value>
          <value t="str">
            <val>-24.28</val>
          </value>
          <value t="str">
            <val>2022/03</val>
          </value>
          <value t="str">
            <val>-1.06</val>
          </value>
          <value t="str">
            <val>-5.59</val>
          </value>
          <value t="str">
            <val>2022/06</val>
          </value>
        </values>
      </ddeItem>
      <ddeItem name="5481.TW-OperatingProfitRatio,Price,PriceChangeRatio,InOutRatioNumber,Value,YearReturn,MonthReturn,WeekReturn,FinanceBalanceDif,ChipsField2" advise="1">
        <values cols="10">
          <value t="str">
            <val>-31.74</val>
          </value>
          <value>
            <val>11.85</val>
          </value>
          <value>
            <val>-0.42</val>
          </value>
          <value t="str">
            <val>32.35%</val>
          </value>
          <value t="str">
            <val>40.4萬</val>
          </value>
          <value t="str">
            <val>+2.00</val>
          </value>
          <value t="str">
            <val>+1.72</val>
          </value>
          <value t="str">
            <val>+1.72</val>
          </value>
          <value>
            <val>-3</val>
          </value>
          <value>
            <val>0</val>
          </value>
        </values>
      </ddeItem>
      <ddeItem name="5483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-178</val>
          </value>
          <value t="str">
            <val>2022/07/19</val>
          </value>
          <value t="str">
            <val>4.50</val>
          </value>
          <value>
            <val>5.65</val>
          </value>
          <value t="str">
            <val>11.28</val>
          </value>
          <value t="str">
            <val>2.16</val>
          </value>
          <value t="str">
            <val>中美晶</val>
          </value>
          <value t="str">
            <val>上櫃半導體</val>
          </value>
          <value t="str">
            <val>台灣第二大太陽能長晶廠</val>
          </value>
        </values>
      </ddeItem>
      <ddeItem name="5483.TW-CName,InvestorConferenceDate,DateofMeetingofShareHolders,TradingDate" advise="1">
        <values cols="4">
          <value t="str">
            <val>中美晶</val>
          </value>
          <value t="str">
            <val>2022/08/04</val>
          </value>
          <value t="str">
            <val>2022/06/23</val>
          </value>
          <value t="str">
            <val>2022/08/01</val>
          </value>
        </values>
      </ddeItem>
      <ddeItem name="5483.TW-ID,Name,MarketValue,Capital,NetIncomeGrowthRate,OperIncomeGrowthRate,FinancialStatementsTime,TFXRatio,MonthlyNetSalesYoY,RevenueMonth" advise="1">
        <values cols="10">
          <value t="str">
            <val>5483</val>
          </value>
          <value t="str">
            <val>中美晶</val>
          </value>
          <value t="str">
            <val>829.5</val>
          </value>
          <value t="str">
            <val>58.62</val>
          </value>
          <value t="str">
            <val>-22.40</val>
          </value>
          <value t="str">
            <val>56.67</val>
          </value>
          <value t="str">
            <val>2022/03</val>
          </value>
          <value t="str">
            <val>4.93</val>
          </value>
          <value t="str">
            <val>16.50</val>
          </value>
          <value t="str">
            <val>2022/06</val>
          </value>
        </values>
      </ddeItem>
      <ddeItem name="5483.TW-OperatingProfitRatio,Price,PriceChangeRatio,InOutRatioNumber,Value,YearReturn,MonthReturn,WeekReturn,FinanceBalanceDif,ChipsField2" advise="1">
        <values cols="10">
          <value t="str">
            <val>33.06</val>
          </value>
          <value>
            <val>141.5</val>
          </value>
          <value>
            <val>-0.7</val>
          </value>
          <value t="str">
            <val>26.66%</val>
          </value>
          <value t="str">
            <val>2.91億</val>
          </value>
          <value t="str">
            <val>-21.54</val>
          </value>
          <value t="str">
            <val>+5.07</val>
          </value>
          <value t="str">
            <val>-2.41</val>
          </value>
          <value>
            <val>96</val>
          </value>
          <value>
            <val>55</val>
          </value>
        </values>
      </ddeItem>
      <ddeItem name="54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2022/07/12</val>
          </value>
          <value t="str">
            <val>1.35</val>
          </value>
          <value>
            <val>4.95</val>
          </value>
          <value t="str">
            <val>1.83</val>
          </value>
          <value t="str">
            <val>0.24</val>
          </value>
          <value t="str">
            <val>通泰</val>
          </value>
          <value t="str">
            <val>上櫃半導體</val>
          </value>
          <value t="str">
            <val>老牌消費性IC設計廠商</val>
          </value>
        </values>
      </ddeItem>
      <ddeItem name="5487.TW-CName,InvestorConferenceDate,DateofMeetingofShareHolders,TradingDate" advise="1">
        <values cols="4">
          <value t="str">
            <val>通泰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5487.TW-ID,Name,MarketValue,Capital,NetIncomeGrowthRate,OperIncomeGrowthRate,FinancialStatementsTime,TFXRatio,MonthlyNetSalesYoY,RevenueMonth" advise="1">
        <values cols="10">
          <value t="str">
            <val>5487</val>
          </value>
          <value t="str">
            <val>通泰</val>
          </value>
          <value t="str">
            <val>6.6</val>
          </value>
          <value t="str">
            <val>2.41</val>
          </value>
          <value t="str">
            <val>-43.45</val>
          </value>
          <value t="str">
            <val>-55.42</val>
          </value>
          <value t="str">
            <val>2022/03</val>
          </value>
          <value t="str">
            <val>-14.00</val>
          </value>
          <value t="str">
            <val>-58.01</val>
          </value>
          <value t="str">
            <val>2022/06</val>
          </value>
        </values>
      </ddeItem>
      <ddeItem name="5487.TW-OperatingProfitRatio,Price,PriceChangeRatio,InOutRatioNumber,Value,YearReturn,MonthReturn,WeekReturn,FinanceBalanceDif,ChipsField2" advise="1">
        <values cols="10">
          <value t="str">
            <val>7.99</val>
          </value>
          <value>
            <val>27.3</val>
          </value>
          <value>
            <val>0.92</val>
          </value>
          <value t="str">
            <val>33.33%</val>
          </value>
          <value t="str">
            <val>8.09萬</val>
          </value>
          <value t="str">
            <val>-27.02</val>
          </value>
          <value t="str">
            <val>-3.06</val>
          </value>
          <value t="str">
            <val>-2.85</val>
          </value>
          <value>
            <val>0</val>
          </value>
          <value>
            <val>0</val>
          </value>
        </values>
      </ddeItem>
      <ddeItem name="54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0.06</val>
          </value>
          <value t="str">
            <val>-0.02</val>
          </value>
          <value t="str">
            <val>松普</val>
          </value>
          <value t="str">
            <val>上櫃電子零組件</val>
          </value>
          <value t="str">
            <val>以製造網路線為主的線材廠</val>
          </value>
        </values>
      </ddeItem>
      <ddeItem name="5488.TW-CName,InvestorConferenceDate,DateofMeetingofShareHolders,TradingDate" advise="1">
        <values cols="4">
          <value t="str">
            <val>松普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5488.TW-ID,Name,MarketValue,Capital,NetIncomeGrowthRate,OperIncomeGrowthRate,FinancialStatementsTime,TFXRatio,MonthlyNetSalesYoY,RevenueMonth" advise="1">
        <values cols="10">
          <value t="str">
            <val>5488</val>
          </value>
          <value t="str">
            <val>松普</val>
          </value>
          <value t="str">
            <val>8.1</val>
          </value>
          <value t="str">
            <val>9.16</val>
          </value>
          <value t="str">
            <val>-166.88</val>
          </value>
          <value t="str">
            <val>544.80</val>
          </value>
          <value t="str">
            <val>2022/03</val>
          </value>
          <value t="str">
            <val>-13.89</val>
          </value>
          <value t="str">
            <val>-14.25</val>
          </value>
          <value t="str">
            <val>2022/06</val>
          </value>
        </values>
      </ddeItem>
      <ddeItem name="5488.TW-OperatingProfitRatio,Price,PriceChangeRatio,InOutRatioNumber,Value,YearReturn,MonthReturn,WeekReturn,FinanceBalanceDif,ChipsField2" advise="1">
        <values cols="10">
          <value t="str">
            <val>1.38</val>
          </value>
          <value>
            <val>8.7899999999999991</val>
          </value>
          <value>
            <val>0</val>
          </value>
          <value t="str">
            <val>56.06%</val>
          </value>
          <value t="str">
            <val>58.0萬</val>
          </value>
          <value t="str">
            <val>+6.93</val>
          </value>
          <value t="str">
            <val>+2.81</val>
          </value>
          <value t="str">
            <val>-1.46</val>
          </value>
          <value>
            <val>0</val>
          </value>
          <value>
            <val>0</val>
          </value>
        </values>
      </ddeItem>
      <ddeItem name="54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1.00</val>
          </value>
          <value>
            <val>2.9</val>
          </value>
          <value t="str">
            <val>2.06</val>
          </value>
          <value t="str">
            <val>0.91</val>
          </value>
          <value t="str">
            <val>彩富</val>
          </value>
          <value t="str">
            <val>上櫃其他電子</val>
          </value>
          <value t="str">
            <val>台灣網路視訊安全監控系統專業代工廠</val>
          </value>
        </values>
      </ddeItem>
      <ddeItem name="5489.TW-CName,InvestorConferenceDate,DateofMeetingofShareHolders,TradingDate" advise="1">
        <values cols="4">
          <value t="str">
            <val>彩富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5489.TW-ID,Name,MarketValue,Capital,NetIncomeGrowthRate,OperIncomeGrowthRate,FinancialStatementsTime,TFXRatio,MonthlyNetSalesYoY,RevenueMonth" advise="1">
        <values cols="10">
          <value t="str">
            <val>5489</val>
          </value>
          <value t="str">
            <val>彩富</val>
          </value>
          <value t="str">
            <val>35.4</val>
          </value>
          <value t="str">
            <val>10.27</val>
          </value>
          <value t="str">
            <val>760.57</val>
          </value>
          <value t="str">
            <val>268.90</val>
          </value>
          <value t="str">
            <val>2022/03</val>
          </value>
          <value t="str">
            <val>-9.41</val>
          </value>
          <value t="str">
            <val>-24.06</val>
          </value>
          <value t="str">
            <val>2022/06</val>
          </value>
        </values>
      </ddeItem>
      <ddeItem name="5489.TW-OperatingProfitRatio,Price,PriceChangeRatio,InOutRatioNumber,Value,YearReturn,MonthReturn,WeekReturn,FinanceBalanceDif,ChipsField2" advise="1">
        <values cols="10">
          <value t="str">
            <val>11.01</val>
          </value>
          <value>
            <val>34.5</val>
          </value>
          <value>
            <val>0</val>
          </value>
          <value t="str">
            <val>16.67%</val>
          </value>
          <value t="str">
            <val>20.7萬</val>
          </value>
          <value t="str">
            <val>+6.05</val>
          </value>
          <value t="str">
            <val>+0.44</val>
          </value>
          <value t="str">
            <val>0.00</val>
          </value>
          <value>
            <val>0</val>
          </value>
          <value>
            <val>0</val>
          </value>
        </values>
      </ddeItem>
      <ddeItem name="54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</val>
          </value>
          <value t="str">
            <val>2022/07/04</val>
          </value>
          <value t="str">
            <val>1.25</val>
          </value>
          <value>
            <val>5</val>
          </value>
          <value t="str">
            <val>1.48</val>
          </value>
          <value t="str">
            <val>0.23</val>
          </value>
          <value t="str">
            <val>同亨</val>
          </value>
          <value t="str">
            <val>上櫃電腦及週邊設備</val>
          </value>
          <value t="str">
            <val>全球知名POS刷卡機DMS廠</val>
          </value>
        </values>
      </ddeItem>
      <ddeItem name="5490.TW-CName,InvestorConferenceDate,DateofMeetingofShareHolders,TradingDate" advise="1">
        <values cols="4">
          <value t="str">
            <val>同亨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5490.TW-ID,Name,MarketValue,Capital,NetIncomeGrowthRate,OperIncomeGrowthRate,FinancialStatementsTime,TFXRatio,MonthlyNetSalesYoY,RevenueMonth" advise="1">
        <values cols="10">
          <value t="str">
            <val>5490</val>
          </value>
          <value t="str">
            <val>同亨</val>
          </value>
          <value t="str">
            <val>24.1</val>
          </value>
          <value t="str">
            <val>9.62</val>
          </value>
          <value t="str">
            <val>41.76</val>
          </value>
          <value t="str">
            <val>29.15</val>
          </value>
          <value t="str">
            <val>2022/03</val>
          </value>
          <value t="str">
            <val>67.97</val>
          </value>
          <value t="str">
            <val>130.04</val>
          </value>
          <value t="str">
            <val>2022/06</val>
          </value>
        </values>
      </ddeItem>
      <ddeItem name="5490.TW-OperatingProfitRatio,Price,PriceChangeRatio,InOutRatioNumber,Value,YearReturn,MonthReturn,WeekReturn,FinanceBalanceDif,ChipsField2" advise="1">
        <values cols="10">
          <value t="str">
            <val>4.97</val>
          </value>
          <value>
            <val>25</val>
          </value>
          <value>
            <val>0.6</val>
          </value>
          <value t="str">
            <val>50.00%</val>
          </value>
          <value t="str">
            <val>215萬</val>
          </value>
          <value t="str">
            <val>-1.68</val>
          </value>
          <value t="str">
            <val>+8.93</val>
          </value>
          <value t="str">
            <val>+1.83</val>
          </value>
          <value>
            <val>-1</val>
          </value>
          <value>
            <val>0</val>
          </value>
        </values>
      </ddeItem>
      <ddeItem name="549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2022/06/23</val>
          </value>
          <value t="str">
            <val>3.10</val>
          </value>
          <value>
            <val>6.15</val>
          </value>
          <value t="str">
            <val>5.03</val>
          </value>
          <value t="str">
            <val>1.13</val>
          </value>
          <value t="str">
            <val>三聯</val>
          </value>
          <value t="str">
            <val>上櫃其他電子</val>
          </value>
          <value t="str">
            <val>感測、監測系統整合服務商</val>
          </value>
        </values>
      </ddeItem>
      <ddeItem name="5493.TW-CName,InvestorConferenceDate,DateofMeetingofShareHolders,TradingDate" advise="1">
        <values cols="4">
          <value t="str">
            <val>三聯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5493.TW-ID,Name,MarketValue,Capital,NetIncomeGrowthRate,OperIncomeGrowthRate,FinancialStatementsTime,TFXRatio,MonthlyNetSalesYoY,RevenueMonth" advise="1">
        <values cols="10">
          <value t="str">
            <val>5493</val>
          </value>
          <value t="str">
            <val>三聯</val>
          </value>
          <value t="str">
            <val>21.0</val>
          </value>
          <value t="str">
            <val>4.16</val>
          </value>
          <value t="str">
            <val>71.88</val>
          </value>
          <value t="str">
            <val>99.82</val>
          </value>
          <value t="str">
            <val>2022/03</val>
          </value>
          <value t="str">
            <val>12.45</val>
          </value>
          <value t="str">
            <val>28.76</val>
          </value>
          <value t="str">
            <val>2022/06</val>
          </value>
        </values>
      </ddeItem>
      <ddeItem name="5493.TW-OperatingProfitRatio,Price,PriceChangeRatio,InOutRatioNumber,Value,YearReturn,MonthReturn,WeekReturn,FinanceBalanceDif,ChipsField2" advise="1">
        <values cols="10">
          <value t="str">
            <val>13.29</val>
          </value>
          <value>
            <val>50.4</val>
          </value>
          <value>
            <val>0.2</val>
          </value>
          <value t="str">
            <val>54.55%</val>
          </value>
          <value t="str">
            <val>55.5萬</val>
          </value>
          <value t="str">
            <val>+31.12</val>
          </value>
          <value t="str">
            <val>+9.33</val>
          </value>
          <value t="str">
            <val>+0.40</val>
          </value>
          <value>
            <val>0</val>
          </value>
          <value>
            <val>0</val>
          </value>
        </values>
      </ddeItem>
      <ddeItem name="549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25</val>
          </value>
          <value t="str">
            <val>--</val>
          </value>
          <value t="str">
            <val>0.00</val>
          </value>
          <value>
            <val>0</val>
          </value>
          <value t="str">
            <val>0.04</val>
          </value>
          <value t="str">
            <val>-0.10</val>
          </value>
          <value t="str">
            <val>凱崴</val>
          </value>
          <value t="str">
            <val>上櫃電子零組件</val>
          </value>
          <value t="str">
            <val>台灣PCB鑽頭製造商</val>
          </value>
        </values>
      </ddeItem>
      <ddeItem name="5498.TW-CName,InvestorConferenceDate,DateofMeetingofShareHolders,TradingDate" advise="1">
        <values cols="4">
          <value t="str">
            <val>凱崴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5498.TW-ID,Name,MarketValue,Capital,NetIncomeGrowthRate,OperIncomeGrowthRate,FinancialStatementsTime,TFXRatio,MonthlyNetSalesYoY,RevenueMonth" advise="1">
        <values cols="10">
          <value t="str">
            <val>5498</val>
          </value>
          <value t="str">
            <val>凱崴</val>
          </value>
          <value t="str">
            <val>19.4</val>
          </value>
          <value t="str">
            <val>18.99</val>
          </value>
          <value t="str">
            <val>-349.67</val>
          </value>
          <value t="str">
            <val>-199.26</val>
          </value>
          <value t="str">
            <val>2022/03</val>
          </value>
          <value t="str">
            <val>10.32</val>
          </value>
          <value t="str">
            <val>-2.53</val>
          </value>
          <value t="str">
            <val>2022/06</val>
          </value>
        </values>
      </ddeItem>
      <ddeItem name="5498.TW-OperatingProfitRatio,Price,PriceChangeRatio,InOutRatioNumber,Value,YearReturn,MonthReturn,WeekReturn,FinanceBalanceDif,ChipsField2" advise="1">
        <values cols="10">
          <value t="str">
            <val>-3.20</val>
          </value>
          <value>
            <val>10.199999999999999</val>
          </value>
          <value>
            <val>1.49</val>
          </value>
          <value t="str">
            <val>56.90%</val>
          </value>
          <value t="str">
            <val>243萬</val>
          </value>
          <value t="str">
            <val>-44.65</val>
          </value>
          <value t="str">
            <val>+5.37</val>
          </value>
          <value t="str">
            <val>+1.49</val>
          </value>
          <value>
            <val>-129</val>
          </value>
          <value>
            <val>0</val>
          </value>
        </values>
      </ddeItem>
      <ddeItem name="55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49</val>
          </value>
          <value t="str">
            <val>2022/07/06</val>
          </value>
          <value t="str">
            <val>8.01</val>
          </value>
          <value>
            <val>12.65</val>
          </value>
          <value t="str">
            <val>9.57</val>
          </value>
          <value t="str">
            <val>1.89</val>
          </value>
          <value t="str">
            <val>永信建</val>
          </value>
          <value t="str">
            <val>上櫃建材營造</val>
          </value>
          <value t="str">
            <val>高雄建商，以成屋銷售為主</val>
          </value>
        </values>
      </ddeItem>
      <ddeItem name="5508.TW-CName,InvestorConferenceDate,DateofMeetingofShareHolders,TradingDate" advise="1">
        <values cols="4">
          <value t="str">
            <val>永信建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5508.TW-ID,Name,MarketValue,Capital,NetIncomeGrowthRate,OperIncomeGrowthRate,FinancialStatementsTime,TFXRatio,MonthlyNetSalesYoY,RevenueMonth" advise="1">
        <values cols="10">
          <value t="str">
            <val>5508</val>
          </value>
          <value t="str">
            <val>永信建</val>
          </value>
          <value t="str">
            <val>137.6</val>
          </value>
          <value t="str">
            <val>21.74</val>
          </value>
          <value t="str">
            <val>55.40</val>
          </value>
          <value t="str">
            <val>61.76</val>
          </value>
          <value t="str">
            <val>2022/03</val>
          </value>
          <value t="str">
            <val>-51.21</val>
          </value>
          <value t="str">
            <val>-86.19</val>
          </value>
          <value t="str">
            <val>2022/06</val>
          </value>
        </values>
      </ddeItem>
      <ddeItem name="5508.TW-OperatingProfitRatio,Price,PriceChangeRatio,InOutRatioNumber,Value,YearReturn,MonthReturn,WeekReturn,FinanceBalanceDif,ChipsField2" advise="1">
        <values cols="10">
          <value t="str">
            <val>42.63</val>
          </value>
          <value>
            <val>63.3</val>
          </value>
          <value>
            <val>4.63</val>
          </value>
          <value t="str">
            <val>72.36%</val>
          </value>
          <value t="str">
            <val>1273萬</val>
          </value>
          <value t="str">
            <val>+48.87</val>
          </value>
          <value t="str">
            <val>+7.68</val>
          </value>
          <value t="str">
            <val>+11.05</val>
          </value>
          <value>
            <val>-9</val>
          </value>
          <value>
            <val>0</val>
          </value>
        </values>
      </ddeItem>
      <ddeItem name="55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2022/07/07</val>
          </value>
          <value t="str">
            <val>2.00</val>
          </value>
          <value>
            <val>6.85</val>
          </value>
          <value t="str">
            <val>4.81</val>
          </value>
          <value t="str">
            <val>1.18</val>
          </value>
          <value t="str">
            <val>德昌</val>
          </value>
          <value t="str">
            <val>上櫃建材營造</val>
          </value>
          <value t="str">
            <val>商辦大樓、高科技廠房及公共工程等為營業項目之營造商</val>
          </value>
        </values>
      </ddeItem>
      <ddeItem name="5511.TW-CName,InvestorConferenceDate,DateofMeetingofShareHolders,TradingDate" advise="1">
        <values cols="4">
          <value t="str">
            <val>德昌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5511.TW-ID,Name,MarketValue,Capital,NetIncomeGrowthRate,OperIncomeGrowthRate,FinancialStatementsTime,TFXRatio,MonthlyNetSalesYoY,RevenueMonth" advise="1">
        <values cols="10">
          <value t="str">
            <val>5511</val>
          </value>
          <value t="str">
            <val>德昌</val>
          </value>
          <value t="str">
            <val>33.1</val>
          </value>
          <value t="str">
            <val>11.34</val>
          </value>
          <value t="str">
            <val>137.01</val>
          </value>
          <value t="str">
            <val>215.20</val>
          </value>
          <value t="str">
            <val>2022/03</val>
          </value>
          <value t="str">
            <val>12.37</val>
          </value>
          <value t="str">
            <val>44.83</val>
          </value>
          <value t="str">
            <val>2022/06</val>
          </value>
        </values>
      </ddeItem>
      <ddeItem name="5511.TW-OperatingProfitRatio,Price,PriceChangeRatio,InOutRatioNumber,Value,YearReturn,MonthReturn,WeekReturn,FinanceBalanceDif,ChipsField2" advise="1">
        <values cols="10">
          <value t="str">
            <val>8.21</val>
          </value>
          <value>
            <val>29.2</val>
          </value>
          <value>
            <val>0.17</val>
          </value>
          <value t="str">
            <val>16.00%</val>
          </value>
          <value t="str">
            <val>75.8萬</val>
          </value>
          <value t="str">
            <val>+9.01</val>
          </value>
          <value t="str">
            <val>+4.99</val>
          </value>
          <value t="str">
            <val>+0.34</val>
          </value>
          <value>
            <val>0</val>
          </value>
          <value>
            <val>0</val>
          </value>
        </values>
      </ddeItem>
      <ddeItem name="55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31</val>
          </value>
          <value t="str">
            <val>--</val>
          </value>
          <value t="str">
            <val>0.30</val>
          </value>
          <value>
            <val>3.4</val>
          </value>
          <value t="str">
            <val>0.45</val>
          </value>
          <value t="str">
            <val>0.06</val>
          </value>
          <value t="str">
            <val>力麒</val>
          </value>
          <value t="str">
            <val>上櫃建材營造</val>
          </value>
          <value t="str">
            <val>推案集中於台北市精華地段之建商</val>
          </value>
        </values>
      </ddeItem>
      <ddeItem name="5512.TW-CName,InvestorConferenceDate,DateofMeetingofShareHolders,TradingDate" advise="1">
        <values cols="4">
          <value t="str">
            <val>力麒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5512.TW-ID,Name,MarketValue,Capital,NetIncomeGrowthRate,OperIncomeGrowthRate,FinancialStatementsTime,TFXRatio,MonthlyNetSalesYoY,RevenueMonth" advise="1">
        <values cols="10">
          <value t="str">
            <val>5512</val>
          </value>
          <value t="str">
            <val>力麒</val>
          </value>
          <value t="str">
            <val>65.6</val>
          </value>
          <value t="str">
            <val>74.40</val>
          </value>
          <value t="str">
            <val>2.87</val>
          </value>
          <value t="str">
            <val>-2.83</val>
          </value>
          <value t="str">
            <val>2022/03</val>
          </value>
          <value t="str">
            <val>-5.91</val>
          </value>
          <value t="str">
            <val>103.02</val>
          </value>
          <value t="str">
            <val>2022/06</val>
          </value>
        </values>
      </ddeItem>
      <ddeItem name="5512.TW-OperatingProfitRatio,Price,PriceChangeRatio,InOutRatioNumber,Value,YearReturn,MonthReturn,WeekReturn,FinanceBalanceDif,ChipsField2" advise="1">
        <values cols="10">
          <value t="str">
            <val>13.54</val>
          </value>
          <value>
            <val>8.82</val>
          </value>
          <value>
            <val>0.34</val>
          </value>
          <value t="str">
            <val>40.17%</val>
          </value>
          <value t="str">
            <val>104萬</val>
          </value>
          <value t="str">
            <val>-2.70</val>
          </value>
          <value t="str">
            <val>+4.63</val>
          </value>
          <value t="str">
            <val>+1.15</val>
          </value>
          <value>
            <val>4</val>
          </value>
          <value>
            <val>0</val>
          </value>
        </values>
      </ddeItem>
      <ddeItem name="55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0.40</val>
          </value>
          <value>
            <val>2.4900000000000002</val>
          </value>
          <value t="str">
            <val>-0.03</val>
          </value>
          <value t="str">
            <val>-0.05</val>
          </value>
          <value t="str">
            <val>三豐</val>
          </value>
          <value t="str">
            <val>上櫃建材營造</val>
          </value>
          <value t="str">
            <val>以都市更新為主之建商</val>
          </value>
        </values>
      </ddeItem>
      <ddeItem name="5514.TW-CName,InvestorConferenceDate,DateofMeetingofShareHolders,TradingDate" advise="1">
        <values cols="4">
          <value t="str">
            <val>三豐</val>
          </value>
          <value t="str">
            <val>2021/11/29</val>
          </value>
          <value t="str">
            <val>2022/05/26</val>
          </value>
          <value t="str">
            <val>2022/08/01</val>
          </value>
        </values>
      </ddeItem>
      <ddeItem name="5514.TW-ID,Name,MarketValue,Capital,NetIncomeGrowthRate,OperIncomeGrowthRate,FinancialStatementsTime,TFXRatio,MonthlyNetSalesYoY,RevenueMonth" advise="1">
        <values cols="10">
          <value t="str">
            <val>5514</val>
          </value>
          <value t="str">
            <val>三豐</val>
          </value>
          <value t="str">
            <val>33.4</val>
          </value>
          <value t="str">
            <val>20.79</val>
          </value>
          <value t="str">
            <val>9.99</val>
          </value>
          <value t="str">
            <val>5.25</val>
          </value>
          <value t="str">
            <val>2022/03</val>
          </value>
          <value t="str">
            <val>0.00</val>
          </value>
          <value t="str">
            <val>27.21</val>
          </value>
          <value t="str">
            <val>2022/06</val>
          </value>
        </values>
      </ddeItem>
      <ddeItem name="5514.TW-OperatingProfitRatio,Price,PriceChangeRatio,InOutRatioNumber,Value,YearReturn,MonthReturn,WeekReturn,FinanceBalanceDif,ChipsField2" advise="1">
        <values cols="10">
          <value t="str">
            <val>-720.19</val>
          </value>
          <value>
            <val>16.05</val>
          </value>
          <value>
            <val>-1.53</val>
          </value>
          <value t="str">
            <val>47.06%</val>
          </value>
          <value t="str">
            <val>27.4萬</val>
          </value>
          <value t="str">
            <val>-21.76</val>
          </value>
          <value t="str">
            <val>-12.77</val>
          </value>
          <value t="str">
            <val>-0.62</val>
          </value>
          <value>
            <val>-2</val>
          </value>
          <value>
            <val>0</val>
          </value>
        </values>
      </ddeItem>
      <ddeItem name="55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1.50</val>
          </value>
          <value>
            <val>8.6999999999999993</val>
          </value>
          <value t="str">
            <val>3.00</val>
          </value>
          <value t="str">
            <val>0.42</val>
          </value>
          <value t="str">
            <val>雙喜</val>
          </value>
          <value t="str">
            <val>上櫃建材營造</val>
          </value>
          <value t="str">
            <val>承攬各項公共、建築及土木工程之營造廠</val>
          </value>
        </values>
      </ddeItem>
      <ddeItem name="5516.TW-CName,InvestorConferenceDate,DateofMeetingofShareHolders,TradingDate" advise="1">
        <values cols="4">
          <value t="str">
            <val>雙喜</val>
          </value>
          <value t="str">
            <val>2021/12/10</val>
          </value>
          <value t="str">
            <val>2022/06/29</val>
          </value>
          <value t="str">
            <val>2022/08/01</val>
          </value>
        </values>
      </ddeItem>
      <ddeItem name="5516.TW-ID,Name,MarketValue,Capital,NetIncomeGrowthRate,OperIncomeGrowthRate,FinancialStatementsTime,TFXRatio,MonthlyNetSalesYoY,RevenueMonth" advise="1">
        <values cols="10">
          <value t="str">
            <val>5516</val>
          </value>
          <value t="str">
            <val>雙喜</val>
          </value>
          <value t="str">
            <val>7.1</val>
          </value>
          <value t="str">
            <val>4.14</val>
          </value>
          <value t="str">
            <val>6.71</val>
          </value>
          <value t="str">
            <val>24.48</val>
          </value>
          <value t="str">
            <val>2022/03</val>
          </value>
          <value t="str">
            <val>14.60</val>
          </value>
          <value t="str">
            <val>-15.09</val>
          </value>
          <value t="str">
            <val>2022/06</val>
          </value>
        </values>
      </ddeItem>
      <ddeItem name="5516.TW-OperatingProfitRatio,Price,PriceChangeRatio,InOutRatioNumber,Value,YearReturn,MonthReturn,WeekReturn,FinanceBalanceDif,ChipsField2" advise="1">
        <values cols="10">
          <value t="str">
            <val>7.17</val>
          </value>
          <value>
            <val>17.25</val>
          </value>
          <value>
            <val>0</val>
          </value>
          <value t="str">
            <val>100.00%</val>
          </value>
          <value t="str">
            <val>41.4萬</val>
          </value>
          <value t="str">
            <val>+30.15</val>
          </value>
          <value t="str">
            <val>-0.58</val>
          </value>
          <value t="str">
            <val>-0.58</val>
          </value>
          <value>
            <val>1</val>
          </value>
          <value>
            <val>0</val>
          </value>
        </values>
      </ddeItem>
      <ddeItem name="55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2022/04/14</val>
          </value>
          <value t="str">
            <val>3.90</val>
          </value>
          <value>
            <val>6.98</val>
          </value>
          <value t="str">
            <val>5.90</val>
          </value>
          <value t="str">
            <val>1.65</val>
          </value>
          <value t="str">
            <val>力泰</val>
          </value>
          <value t="str">
            <val>上櫃建材營造</val>
          </value>
          <value t="str">
            <val>台灣預拌混凝土製造加工廠</val>
          </value>
        </values>
      </ddeItem>
      <ddeItem name="5520.TW-CName,InvestorConferenceDate,DateofMeetingofShareHolders,TradingDate" advise="1">
        <values cols="4">
          <value t="str">
            <val>力泰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5520.TW-ID,Name,MarketValue,Capital,NetIncomeGrowthRate,OperIncomeGrowthRate,FinancialStatementsTime,TFXRatio,MonthlyNetSalesYoY,RevenueMonth" advise="1">
        <values cols="10">
          <value t="str">
            <val>5520</val>
          </value>
          <value t="str">
            <val>力泰</val>
          </value>
          <value t="str">
            <val>33.7</val>
          </value>
          <value t="str">
            <val>6.03</val>
          </value>
          <value t="str">
            <val>27.81</val>
          </value>
          <value t="str">
            <val>32.30</val>
          </value>
          <value t="str">
            <val>2022/03</val>
          </value>
          <value t="str">
            <val>-3.75</val>
          </value>
          <value t="str">
            <val>7.11</val>
          </value>
          <value t="str">
            <val>2022/06</val>
          </value>
        </values>
      </ddeItem>
      <ddeItem name="5520.TW-OperatingProfitRatio,Price,PriceChangeRatio,InOutRatioNumber,Value,YearReturn,MonthReturn,WeekReturn,FinanceBalanceDif,ChipsField2" advise="1">
        <values cols="10">
          <value t="str">
            <val>16.13</val>
          </value>
          <value>
            <val>55.9</val>
          </value>
          <value>
            <val>-0.53</val>
          </value>
          <value t="str">
            <val>100.00%</val>
          </value>
          <value t="str">
            <val>11.2萬</val>
          </value>
          <value t="str">
            <val>+19.37</val>
          </value>
          <value t="str">
            <val>+1.08</val>
          </value>
          <value t="str">
            <val>+0.36</val>
          </value>
          <value>
            <val>0</val>
          </value>
          <value>
            <val>0</val>
          </value>
        </values>
      </ddeItem>
      <ddeItem name="55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2022/07/19</val>
          </value>
          <value t="str">
            <val>1.80</val>
          </value>
          <value>
            <val>6.98</val>
          </value>
          <value t="str">
            <val>8.48</val>
          </value>
          <value t="str">
            <val>2.92</val>
          </value>
          <value t="str">
            <val>豐謙</val>
          </value>
          <value t="str">
            <val>上櫃建材營造</val>
          </value>
          <value t="str">
            <val>嘉義地區建商</val>
          </value>
        </values>
      </ddeItem>
      <ddeItem name="5523.TW-CName,InvestorConferenceDate,DateofMeetingofShareHolders,TradingDate" advise="1">
        <values cols="4">
          <value t="str">
            <val>豐謙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5523.TW-ID,Name,MarketValue,Capital,NetIncomeGrowthRate,OperIncomeGrowthRate,FinancialStatementsTime,TFXRatio,MonthlyNetSalesYoY,RevenueMonth" advise="1">
        <values cols="10">
          <value t="str">
            <val>5523</val>
          </value>
          <value t="str">
            <val>豐謙</val>
          </value>
          <value t="str">
            <val>40.0</val>
          </value>
          <value t="str">
            <val>15.50</val>
          </value>
          <value t="str">
            <val>754.59</val>
          </value>
          <value t="str">
            <val>-99.97</val>
          </value>
          <value t="str">
            <val>2022/03</val>
          </value>
          <value t="str">
            <val>-8.51</val>
          </value>
          <value t="str">
            <val>-87.59</val>
          </value>
          <value t="str">
            <val>2022/06</val>
          </value>
        </values>
      </ddeItem>
      <ddeItem name="5523.TW-OperatingProfitRatio,Price,PriceChangeRatio,InOutRatioNumber,Value,YearReturn,MonthReturn,WeekReturn,FinanceBalanceDif,ChipsField2" advise="1">
        <values cols="10">
          <value t="str">
            <val>0.04</val>
          </value>
          <value>
            <val>25.8</val>
          </value>
          <value>
            <val>0.19</val>
          </value>
          <value t="str">
            <val>34.48%</val>
          </value>
          <value t="str">
            <val>74.1萬</val>
          </value>
          <value t="str">
            <val>-18.39</val>
          </value>
          <value t="str">
            <val>-0.59</val>
          </value>
          <value t="str">
            <val>-1.53</val>
          </value>
          <value>
            <val>-2</val>
          </value>
          <value>
            <val>0</val>
          </value>
        </values>
      </ddeItem>
      <ddeItem name="55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-1.08</val>
          </value>
          <value t="str">
            <val>-0.16</val>
          </value>
          <value t="str">
            <val>鉅陞</val>
          </value>
          <value t="str">
            <val>上櫃建材營造</val>
          </value>
          <value t="str">
            <val>推案集中於新竹地區之建商</val>
          </value>
        </values>
      </ddeItem>
      <ddeItem name="5529.TW-CName,InvestorConferenceDate,DateofMeetingofShareHolders,TradingDate" advise="1">
        <values cols="4">
          <value t="str">
            <val>鉅陞</val>
          </value>
          <value t="str">
            <val>2022/07/27</val>
          </value>
          <value t="str">
            <val>2022/06/30</val>
          </value>
          <value t="str">
            <val>2022/08/01</val>
          </value>
        </values>
      </ddeItem>
      <ddeItem name="5529.TW-ID,Name,MarketValue,Capital,NetIncomeGrowthRate,OperIncomeGrowthRate,FinancialStatementsTime,TFXRatio,MonthlyNetSalesYoY,RevenueMonth" advise="1">
        <values cols="10">
          <value t="str">
            <val>5529</val>
          </value>
          <value t="str">
            <val>鉅陞</val>
          </value>
          <value t="str">
            <val>17.2</val>
          </value>
          <value t="str">
            <val>12.41</val>
          </value>
          <value t="str">
            <val>-159.87</val>
          </value>
          <value t="str">
            <val>-33.47</val>
          </value>
          <value t="str">
            <val>2022/03</val>
          </value>
          <value t="str">
            <val>39.82</val>
          </value>
          <value t="str">
            <val>312.33</val>
          </value>
          <value t="str">
            <val>2022/06</val>
          </value>
        </values>
      </ddeItem>
      <ddeItem name="5529.TW-OperatingProfitRatio,Price,PriceChangeRatio,InOutRatioNumber,Value,YearReturn,MonthReturn,WeekReturn,FinanceBalanceDif,ChipsField2" advise="1">
        <values cols="10">
          <value t="str">
            <val>-91.44</val>
          </value>
          <value>
            <val>13.85</val>
          </value>
          <value>
            <val>-0.72</val>
          </value>
          <value t="str">
            <val>57.89%</val>
          </value>
          <value t="str">
            <val>26.5萬</val>
          </value>
          <value t="str">
            <val>-24.73</val>
          </value>
          <value t="str">
            <val>+1.47</val>
          </value>
          <value t="str">
            <val>+2.21</val>
          </value>
          <value>
            <val>0</val>
          </value>
          <value>
            <val>0</val>
          </value>
        </values>
      </ddeItem>
      <ddeItem name="55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2022/07/28</val>
          </value>
          <value t="str">
            <val>1.20</val>
          </value>
          <value>
            <val>2.95</val>
          </value>
          <value t="str">
            <val>3.47</val>
          </value>
          <value t="str">
            <val>1.07</val>
          </value>
          <value t="str">
            <val>龍巖</val>
          </value>
          <value t="str">
            <val>上櫃其他</val>
          </value>
          <value t="str">
            <val>台灣殯葬產業龍頭</val>
          </value>
        </values>
      </ddeItem>
      <ddeItem name="5530.TW-CName,InvestorConferenceDate,DateofMeetingofShareHolders,TradingDate" advise="1">
        <values cols="4">
          <value t="str">
            <val>龍巖</val>
          </value>
          <value t="str">
            <val>2022/06/17</val>
          </value>
          <value t="str">
            <val>2022/06/24</val>
          </value>
          <value t="str">
            <val>2022/08/01</val>
          </value>
        </values>
      </ddeItem>
      <ddeItem name="5530.TW-ID,Name,MarketValue,Capital,NetIncomeGrowthRate,OperIncomeGrowthRate,FinancialStatementsTime,TFXRatio,MonthlyNetSalesYoY,RevenueMonth" advise="1">
        <values cols="10">
          <value t="str">
            <val>5530</val>
          </value>
          <value t="str">
            <val>龍巖</val>
          </value>
          <value t="str">
            <val>170.8</val>
          </value>
          <value t="str">
            <val>42.01</val>
          </value>
          <value t="str">
            <val>9.03</val>
          </value>
          <value t="str">
            <val>5.81</val>
          </value>
          <value t="str">
            <val>2022/03</val>
          </value>
          <value t="str">
            <val>21.72</val>
          </value>
          <value t="str">
            <val>49.62</val>
          </value>
          <value t="str">
            <val>2022/06</val>
          </value>
        </values>
      </ddeItem>
      <ddeItem name="5530.TW-OperatingProfitRatio,Price,PriceChangeRatio,InOutRatioNumber,Value,YearReturn,MonthReturn,WeekReturn,FinanceBalanceDif,ChipsField2" advise="1">
        <values cols="10">
          <value t="str">
            <val>37.48</val>
          </value>
          <value>
            <val>40.65</val>
          </value>
          <value>
            <val>0.87</val>
          </value>
          <value t="str">
            <val>56.57%</val>
          </value>
          <value t="str">
            <val>808萬</val>
          </value>
          <value t="str">
            <val>-11.34</val>
          </value>
          <value t="str">
            <val>+2.00</val>
          </value>
          <value t="str">
            <val>+1.14</val>
          </value>
          <value>
            <val>-29</val>
          </value>
          <value>
            <val>0</val>
          </value>
        </values>
      </ddeItem>
      <ddeItem name="5536.TW-ChipsField3,ChipsField1,ChipsField25,CashAndStockDividend,CashDividendYieldRate,ProfitFourSeason,ProfitSingle,CName,ExchangeIndustry,CompanyPos" advise="1">
        <values cols="10">
          <value>
            <val>11</val>
          </value>
          <value>
            <val>0</val>
          </value>
          <value t="str">
            <val>2022/06/30</val>
          </value>
          <value t="str">
            <val>15.00</val>
          </value>
          <value>
            <val>7.79</val>
          </value>
          <value t="str">
            <val>24.11</val>
          </value>
          <value t="str">
            <val>6.16</val>
          </value>
          <value t="str">
            <val>聖暉</val>
          </value>
          <value t="str">
            <val>上櫃其他電子</val>
          </value>
          <value t="str">
            <val>以無塵室工程為主，並跨足機電系統整合服務廠商</val>
          </value>
        </values>
      </ddeItem>
      <ddeItem name="5536.TW-CName,InvestorConferenceDate,DateofMeetingofShareHolders,TradingDate" advise="1">
        <values cols="4">
          <value t="str">
            <val>聖暉</val>
          </value>
          <value t="str">
            <val>2022/03/25</val>
          </value>
          <value t="str">
            <val>2022/05/26</val>
          </value>
          <value t="str">
            <val>2022/08/01</val>
          </value>
        </values>
      </ddeItem>
      <ddeItem name="5536.TW-ID,Name,MarketValue,Capital,NetIncomeGrowthRate,OperIncomeGrowthRate,FinancialStatementsTime,TFXRatio,MonthlyNetSalesYoY,RevenueMonth" advise="1">
        <values cols="10">
          <value t="str">
            <val>5536</val>
          </value>
          <value t="str">
            <val>聖暉</val>
          </value>
          <value t="str">
            <val>110.2</val>
          </value>
          <value t="str">
            <val>5.73</val>
          </value>
          <value t="str">
            <val>127.58</val>
          </value>
          <value t="str">
            <val>118.97</val>
          </value>
          <value t="str">
            <val>2022/03</val>
          </value>
          <value t="str">
            <val>36.70</val>
          </value>
          <value t="str">
            <val>46.12</val>
          </value>
          <value t="str">
            <val>2022/06</val>
          </value>
        </values>
      </ddeItem>
      <ddeItem name="5536.TW-OperatingProfitRatio,Price,PriceChangeRatio,InOutRatioNumber,Value,YearReturn,MonthReturn,WeekReturn,FinanceBalanceDif,ChipsField2" advise="1">
        <values cols="10">
          <value t="str">
            <val>12.04</val>
          </value>
          <value>
            <val>192.5</val>
          </value>
          <value>
            <val>1.05</val>
          </value>
          <value t="str">
            <val>69.23%</val>
          </value>
          <value t="str">
            <val>1267萬</val>
          </value>
          <value t="str">
            <val>+10.66</val>
          </value>
          <value t="str">
            <val>+14.58</val>
          </value>
          <value t="str">
            <val>+2.12</val>
          </value>
          <value>
            <val>5</val>
          </value>
          <value>
            <val>0</val>
          </value>
        </values>
      </ddeItem>
      <ddeItem name="55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2022/08/05</val>
          </value>
          <value t="str">
            <val>2.00</val>
          </value>
          <value>
            <val>3.24</val>
          </value>
          <value t="str">
            <val>2.53</val>
          </value>
          <value t="str">
            <val>-0.55</val>
          </value>
          <value t="str">
            <val>桓鼎-KY</val>
          </value>
          <value t="str">
            <val>上櫃建材營造</val>
          </value>
          <value t="str">
            <val>大陸最大金屬建材廠</val>
          </value>
        </values>
      </ddeItem>
      <ddeItem name="5543.TW-CName,InvestorConferenceDate,DateofMeetingofShareHolders,TradingDate" advise="1">
        <values cols="4">
          <value t="str">
            <val>桓鼎-KY</val>
          </value>
          <value t="str">
            <val>2021/12/09</val>
          </value>
          <value t="str">
            <val>2022/06/06</val>
          </value>
          <value t="str">
            <val>2022/08/01</val>
          </value>
        </values>
      </ddeItem>
      <ddeItem name="5543.TW-ID,Name,MarketValue,Capital,NetIncomeGrowthRate,OperIncomeGrowthRate,FinancialStatementsTime,TFXRatio,MonthlyNetSalesYoY,RevenueMonth" advise="1">
        <values cols="10">
          <value t="str">
            <val>5543</val>
          </value>
          <value t="str">
            <val>桓鼎-KY</val>
          </value>
          <value t="str">
            <val>23.1</val>
          </value>
          <value t="str">
            <val>3.73</val>
          </value>
          <value t="str">
            <val>-62.02</val>
          </value>
          <value t="str">
            <val>-46.31</val>
          </value>
          <value t="str">
            <val>2022/03</val>
          </value>
          <value t="str">
            <val>17.86</val>
          </value>
          <value t="str">
            <val>103.13</val>
          </value>
          <value t="str">
            <val>2022/06</val>
          </value>
        </values>
      </ddeItem>
      <ddeItem name="5543.TW-OperatingProfitRatio,Price,PriceChangeRatio,InOutRatioNumber,Value,YearReturn,MonthReturn,WeekReturn,FinanceBalanceDif,ChipsField2" advise="1">
        <values cols="10">
          <value t="str">
            <val>0.29</val>
          </value>
          <value>
            <val>61.8</val>
          </value>
          <value>
            <val>1.64</val>
          </value>
          <value t="str">
            <val>100.00%</val>
          </value>
          <value t="str">
            <val>6.18萬</val>
          </value>
          <value t="str">
            <val>-4.33</val>
          </value>
          <value t="str">
            <val>+10.36</val>
          </value>
          <value t="str">
            <val>+2.66</val>
          </value>
          <value>
            <val>0</val>
          </value>
          <value>
            <val>0</val>
          </value>
        </values>
      </ddeItem>
      <ddeItem name="56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2022/06/24</val>
          </value>
          <value t="str">
            <val>0.26</val>
          </value>
          <value>
            <val>0.69</val>
          </value>
          <value t="str">
            <val>0.33</val>
          </value>
          <value t="str">
            <val>0.10</val>
          </value>
          <value t="str">
            <val>台聯櫃</val>
          </value>
          <value t="str">
            <val>上櫃航運業</val>
          </value>
          <value t="str">
            <val>台灣經營貨櫃集散站之業者</val>
          </value>
        </values>
      </ddeItem>
      <ddeItem name="5601.TW-CName,InvestorConferenceDate,DateofMeetingofShareHolders,TradingDate" advise="1">
        <values cols="4">
          <value t="str">
            <val>台聯櫃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5601.TW-ID,Name,MarketValue,Capital,NetIncomeGrowthRate,OperIncomeGrowthRate,FinancialStatementsTime,TFXRatio,MonthlyNetSalesYoY,RevenueMonth" advise="1">
        <values cols="10">
          <value t="str">
            <val>5601</val>
          </value>
          <value t="str">
            <val>台聯櫃</val>
          </value>
          <value t="str">
            <val>24.3</val>
          </value>
          <value t="str">
            <val>6.48</val>
          </value>
          <value t="str">
            <val>99.94</val>
          </value>
          <value t="str">
            <val>103.16</val>
          </value>
          <value t="str">
            <val>2022/03</val>
          </value>
          <value t="str">
            <val>-0.53</val>
          </value>
          <value t="str">
            <val>11.49</val>
          </value>
          <value t="str">
            <val>2022/06</val>
          </value>
        </values>
      </ddeItem>
      <ddeItem name="5601.TW-OperatingProfitRatio,Price,PriceChangeRatio,InOutRatioNumber,Value,YearReturn,MonthReturn,WeekReturn,FinanceBalanceDif,ChipsField2" advise="1">
        <values cols="10">
          <value t="str">
            <val>37.17</val>
          </value>
          <value>
            <val>37.549999999999997</val>
          </value>
          <value>
            <val>2.74</val>
          </value>
          <value t="str">
            <val>87.50%</val>
          </value>
          <value t="str">
            <val>29.8萬</val>
          </value>
          <value t="str">
            <val>+34.27</val>
          </value>
          <value t="str">
            <val>+2.46</val>
          </value>
          <value t="str">
            <val>+5.77</val>
          </value>
          <value>
            <val>0</val>
          </value>
          <value>
            <val>0</val>
          </value>
        </values>
      </ddeItem>
      <ddeItem name="5603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-5</val>
          </value>
          <value t="str">
            <val>--</val>
          </value>
          <value t="str">
            <val>7.00</val>
          </value>
          <value>
            <val>17.59</val>
          </value>
          <value t="str">
            <val>9.46</val>
          </value>
          <value t="str">
            <val>0.48</val>
          </value>
          <value t="str">
            <val>陸海</val>
          </value>
          <value t="str">
            <val>上櫃航運業</val>
          </value>
          <value t="str">
            <val>從事內陸貨櫃運輸、裝卸及重機件運輸、吊裝業務之業者</val>
          </value>
        </values>
      </ddeItem>
      <ddeItem name="5603.TW-CName,InvestorConferenceDate,DateofMeetingofShareHolders,TradingDate" advise="1">
        <values cols="4">
          <value t="str">
            <val>陸海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5603.TW-ID,Name,MarketValue,Capital,NetIncomeGrowthRate,OperIncomeGrowthRate,FinancialStatementsTime,TFXRatio,MonthlyNetSalesYoY,RevenueMonth" advise="1">
        <values cols="10">
          <value t="str">
            <val>5603</val>
          </value>
          <value t="str">
            <val>陸海</val>
          </value>
          <value t="str">
            <val>32.1</val>
          </value>
          <value t="str">
            <val>8.07</val>
          </value>
          <value t="str">
            <val>189.24</val>
          </value>
          <value t="str">
            <val>36.59</val>
          </value>
          <value t="str">
            <val>2022/03</val>
          </value>
          <value t="str">
            <val>2.68</val>
          </value>
          <value t="str">
            <val>23.74</val>
          </value>
          <value t="str">
            <val>2022/06</val>
          </value>
        </values>
      </ddeItem>
      <ddeItem name="5603.TW-OperatingProfitRatio,Price,PriceChangeRatio,InOutRatioNumber,Value,YearReturn,MonthReturn,WeekReturn,FinanceBalanceDif,ChipsField2" advise="1">
        <values cols="10">
          <value t="str">
            <val>8.45</val>
          </value>
          <value>
            <val>39.799999999999997</val>
          </value>
          <value>
            <val>1.02</val>
          </value>
          <value t="str">
            <val>53.55%</val>
          </value>
          <value t="str">
            <val>1136萬</val>
          </value>
          <value t="str">
            <val>+38.52</val>
          </value>
          <value t="str">
            <val>+10.40</val>
          </value>
          <value t="str">
            <val>+0.38</val>
          </value>
          <value>
            <val>22</val>
          </value>
          <value>
            <val>0</val>
          </value>
        </values>
      </ddeItem>
      <ddeItem name="56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2022/06/23</val>
          </value>
          <value t="str">
            <val>6.10</val>
          </value>
          <value>
            <val>9.5500000000000007</val>
          </value>
          <value t="str">
            <val>1.00</val>
          </value>
          <value t="str">
            <val>0.22</val>
          </value>
          <value t="str">
            <val>中連</val>
          </value>
          <value t="str">
            <val>上櫃其他</val>
          </value>
          <value t="str">
            <val>轉型為從事工業用不動產租賃</val>
          </value>
        </values>
      </ddeItem>
      <ddeItem name="5604.TW-CName,InvestorConferenceDate,DateofMeetingofShareHolders,TradingDate" advise="1">
        <values cols="4">
          <value t="str">
            <val>中連</val>
          </value>
          <value t="str">
            <val>--</val>
          </value>
          <value t="str">
            <val>2022/06/06</val>
          </value>
          <value t="str">
            <val>2022/08/01</val>
          </value>
        </values>
      </ddeItem>
      <ddeItem name="5604.TW-ID,Name,MarketValue,Capital,NetIncomeGrowthRate,OperIncomeGrowthRate,FinancialStatementsTime,TFXRatio,MonthlyNetSalesYoY,RevenueMonth" advise="1">
        <values cols="10">
          <value t="str">
            <val>5604</val>
          </value>
          <value t="str">
            <val>中連</val>
          </value>
          <value t="str">
            <val>69.5</val>
          </value>
          <value t="str">
            <val>10.88</val>
          </value>
          <value t="str">
            <val>-96.38</val>
          </value>
          <value t="str">
            <val>24.04</val>
          </value>
          <value t="str">
            <val>2022/03</val>
          </value>
          <value t="str">
            <val>0.11</val>
          </value>
          <value t="str">
            <val>10.05</val>
          </value>
          <value t="str">
            <val>2022/06</val>
          </value>
        </values>
      </ddeItem>
      <ddeItem name="5604.TW-OperatingProfitRatio,Price,PriceChangeRatio,InOutRatioNumber,Value,YearReturn,MonthReturn,WeekReturn,FinanceBalanceDif,ChipsField2" advise="1">
        <values cols="10">
          <value t="str">
            <val>69.28</val>
          </value>
          <value>
            <val>63.9</val>
          </value>
          <value>
            <val>0</val>
          </value>
          <value t="str">
            <val>42.86%</val>
          </value>
          <value t="str">
            <val>51.1萬</val>
          </value>
          <value t="str">
            <val>-17.27</val>
          </value>
          <value t="str">
            <val>+6.50</val>
          </value>
          <value t="str">
            <val>+0.31</val>
          </value>
          <value>
            <val>0</val>
          </value>
          <value>
            <val>0</val>
          </value>
        </values>
      </ddeItem>
      <ddeItem name="5609.TW-ChipsField3,ChipsField1,ChipsField25,CashAndStockDividend,CashDividendYieldRate,ProfitFourSeason,ProfitSingle,CName,ExchangeIndustry,CompanyPos" advise="1">
        <values cols="10">
          <value>
            <val>16</val>
          </value>
          <value>
            <val>98</val>
          </value>
          <value t="str">
            <val>2022/06/16</val>
          </value>
          <value t="str">
            <val>10.20</val>
          </value>
          <value>
            <val>13.65</val>
          </value>
          <value t="str">
            <val>19.68</val>
          </value>
          <value t="str">
            <val>4.54</val>
          </value>
          <value t="str">
            <val>中菲行</val>
          </value>
          <value t="str">
            <val>上櫃航運業</val>
          </value>
          <value t="str">
            <val>台灣空運及海運貨運承攬商</val>
          </value>
        </values>
      </ddeItem>
      <ddeItem name="5609.TW-CName,InvestorConferenceDate,DateofMeetingofShareHolders,TradingDate" advise="1">
        <values cols="4">
          <value t="str">
            <val>中菲行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5609.TW-ID,Name,MarketValue,Capital,NetIncomeGrowthRate,OperIncomeGrowthRate,FinancialStatementsTime,TFXRatio,MonthlyNetSalesYoY,RevenueMonth" advise="1">
        <values cols="10">
          <value t="str">
            <val>5609</val>
          </value>
          <value t="str">
            <val>中菲行</val>
          </value>
          <value t="str">
            <val>101.7</val>
          </value>
          <value t="str">
            <val>13.61</val>
          </value>
          <value t="str">
            <val>109.11</val>
          </value>
          <value t="str">
            <val>110.28</val>
          </value>
          <value t="str">
            <val>2022/03</val>
          </value>
          <value t="str">
            <val>-4.71</val>
          </value>
          <value t="str">
            <val>25.32</val>
          </value>
          <value t="str">
            <val>2022/06</val>
          </value>
        </values>
      </ddeItem>
      <ddeItem name="5609.TW-OperatingProfitRatio,Price,PriceChangeRatio,InOutRatioNumber,Value,YearReturn,MonthReturn,WeekReturn,FinanceBalanceDif,ChipsField2" advise="1">
        <values cols="10">
          <value t="str">
            <val>6.65</val>
          </value>
          <value>
            <val>74.7</val>
          </value>
          <value>
            <val>0.27</val>
          </value>
          <value t="str">
            <val>32.43%</val>
          </value>
          <value t="str">
            <val>1504萬</val>
          </value>
          <value t="str">
            <val>-11.59</val>
          </value>
          <value t="str">
            <val>+10.67</val>
          </value>
          <value t="str">
            <val>+1.91</val>
          </value>
          <value>
            <val>-19</val>
          </value>
          <value>
            <val>0</val>
          </value>
        </values>
      </ddeItem>
      <ddeItem name="57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-0.58</val>
          </value>
          <value t="str">
            <val>-0.07</val>
          </value>
          <value t="str">
            <val>劍湖山</val>
          </value>
          <value t="str">
            <val>上櫃觀光</val>
          </value>
          <value t="str">
            <val>台灣中部地區遊樂園、百貨及飯店業者</val>
          </value>
        </values>
      </ddeItem>
      <ddeItem name="5701.TW-CName,InvestorConferenceDate,DateofMeetingofShareHolders,TradingDate" advise="1">
        <values cols="4">
          <value t="str">
            <val>劍湖山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5701.TW-ID,Name,MarketValue,Capital,NetIncomeGrowthRate,OperIncomeGrowthRate,FinancialStatementsTime,TFXRatio,MonthlyNetSalesYoY,RevenueMonth" advise="1">
        <values cols="10">
          <value t="str">
            <val>5701</val>
          </value>
          <value t="str">
            <val>劍湖山</val>
          </value>
          <value t="str">
            <val>9.3</val>
          </value>
          <value t="str">
            <val>29.68</val>
          </value>
          <value t="str">
            <val>35.03</val>
          </value>
          <value t="str">
            <val>55.45</val>
          </value>
          <value t="str">
            <val>2022/03</val>
          </value>
          <value t="str">
            <val>126.34</val>
          </value>
          <value t="str">
            <val>4804.35</val>
          </value>
          <value t="str">
            <val>2022/06</val>
          </value>
        </values>
      </ddeItem>
      <ddeItem name="5701.TW-OperatingProfitRatio,Price,PriceChangeRatio,InOutRatioNumber,Value,YearReturn,MonthReturn,WeekReturn,FinanceBalanceDif,ChipsField2" advise="1">
        <values cols="10">
          <value t="str">
            <val>-8.80</val>
          </value>
          <value>
            <val>3.13</val>
          </value>
          <value>
            <val>0.97</val>
          </value>
          <value t="str">
            <val>13.75%</val>
          </value>
          <value t="str">
            <val>25.7萬</val>
          </value>
          <value t="str">
            <val>-16.53</val>
          </value>
          <value t="str">
            <val>0.00</val>
          </value>
          <value t="str">
            <val>-3.10</val>
          </value>
          <value>
            <val>0</val>
          </value>
          <value>
            <val>0</val>
          </value>
        </values>
      </ddeItem>
      <ddeItem name="57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-1.77</val>
          </value>
          <value t="str">
            <val>-0.32</val>
          </value>
          <value t="str">
            <val>亞都</val>
          </value>
          <value t="str">
            <val>上櫃觀光</val>
          </value>
          <value t="str">
            <val>麗緻集團旗下位於台北中山區之5星級飯店</val>
          </value>
        </values>
      </ddeItem>
      <ddeItem name="5703.TW-CName,InvestorConferenceDate,DateofMeetingofShareHolders,TradingDate" advise="1">
        <values cols="4">
          <value t="str">
            <val>亞都</val>
          </value>
          <value t="str">
            <val>--</val>
          </value>
          <value t="str">
            <val>2022/06/28</val>
          </value>
          <value t="str">
            <val>2022/08/01</val>
          </value>
        </values>
      </ddeItem>
      <ddeItem name="5703.TW-ID,Name,MarketValue,Capital,NetIncomeGrowthRate,OperIncomeGrowthRate,FinancialStatementsTime,TFXRatio,MonthlyNetSalesYoY,RevenueMonth" advise="1">
        <values cols="10">
          <value t="str">
            <val>5703</val>
          </value>
          <value t="str">
            <val>亞都</val>
          </value>
          <value t="str">
            <val>10.0</val>
          </value>
          <value t="str">
            <val>7.02</val>
          </value>
          <value t="str">
            <val>-1.40</val>
          </value>
          <value t="str">
            <val>8.31</val>
          </value>
          <value t="str">
            <val>2022/03</val>
          </value>
          <value t="str">
            <val>-33.80</val>
          </value>
          <value t="str">
            <val>83.74</val>
          </value>
          <value t="str">
            <val>2022/06</val>
          </value>
        </values>
      </ddeItem>
      <ddeItem name="5703.TW-OperatingProfitRatio,Price,PriceChangeRatio,InOutRatioNumber,Value,YearReturn,MonthReturn,WeekReturn,FinanceBalanceDif,ChipsField2" advise="1">
        <values cols="10">
          <value t="str">
            <val>-33.51</val>
          </value>
          <value>
            <val>14.3</val>
          </value>
          <value>
            <val>-0.69</val>
          </value>
          <value t="str">
            <val>33.33%</val>
          </value>
          <value t="str">
            <val>4.35萬</val>
          </value>
          <value t="str">
            <val>-37.69</val>
          </value>
          <value t="str">
            <val>-23.94</val>
          </value>
          <value t="str">
            <val>-1.38</val>
          </value>
          <value>
            <val>0</val>
          </value>
          <value>
            <val>0</val>
          </value>
        </values>
      </ddeItem>
      <ddeItem name="57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19</val>
          </value>
          <value t="str">
            <val>2022/07/22</val>
          </value>
          <value t="str">
            <val>1.38</val>
          </value>
          <value>
            <val>3.98</val>
          </value>
          <value t="str">
            <val>1.43</val>
          </value>
          <value t="str">
            <val>0.99</val>
          </value>
          <value t="str">
            <val>老爺知</val>
          </value>
          <value t="str">
            <val>上櫃觀光</val>
          </value>
          <value t="str">
            <val>老爺酒店集團旗下，位於台東知本之溫泉飯店</val>
          </value>
        </values>
      </ddeItem>
      <ddeItem name="5704.TW-CName,InvestorConferenceDate,DateofMeetingofShareHolders,TradingDate" advise="1">
        <values cols="4">
          <value t="str">
            <val>老爺知</val>
          </value>
          <value t="str">
            <val>--</val>
          </value>
          <value t="str">
            <val>2022/08/24</val>
          </value>
          <value t="str">
            <val>2022/08/01</val>
          </value>
        </values>
      </ddeItem>
      <ddeItem name="5704.TW-ID,Name,MarketValue,Capital,NetIncomeGrowthRate,OperIncomeGrowthRate,FinancialStatementsTime,TFXRatio,MonthlyNetSalesYoY,RevenueMonth" advise="1">
        <values cols="10">
          <value t="str">
            <val>5704</val>
          </value>
          <value t="str">
            <val>老爺知</val>
          </value>
          <value t="str">
            <val>13.5</val>
          </value>
          <value t="str">
            <val>3.89</val>
          </value>
          <value t="str">
            <val>-7.59</val>
          </value>
          <value t="str">
            <val>17.41</val>
          </value>
          <value t="str">
            <val>2022/03</val>
          </value>
          <value t="str">
            <val>32.56</val>
          </value>
          <value t="str">
            <val>1022.53</val>
          </value>
          <value t="str">
            <val>2022/06</val>
          </value>
        </values>
      </ddeItem>
      <ddeItem name="5704.TW-OperatingProfitRatio,Price,PriceChangeRatio,InOutRatioNumber,Value,YearReturn,MonthReturn,WeekReturn,FinanceBalanceDif,ChipsField2" advise="1">
        <values cols="10">
          <value t="str">
            <val>30.97</val>
          </value>
          <value>
            <val>34.700000000000003</val>
          </value>
          <value>
            <val>-0.14000000000000001</val>
          </value>
          <value t="str">
            <val>48.08%</val>
          </value>
          <value t="str">
            <val>183萬</val>
          </value>
          <value t="str">
            <val>+12.63</val>
          </value>
          <value t="str">
            <val>+16.87</val>
          </value>
          <value t="str">
            <val>+2.36</val>
          </value>
          <value>
            <val>-2</val>
          </value>
          <value>
            <val>0</val>
          </value>
        </values>
      </ddeItem>
      <ddeItem name="58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-71</val>
          </value>
          <value t="str">
            <val>2022/07/04</val>
          </value>
          <value t="str">
            <val>0.70</val>
          </value>
          <value>
            <val>6.11</val>
          </value>
          <value t="str">
            <val>1.04</val>
          </value>
          <value t="str">
            <val>0.20</val>
          </value>
          <value t="str">
            <val>日盛金</val>
          </value>
          <value t="str">
            <val>上櫃金融</val>
          </value>
          <value t="str">
            <val>大股東為日本新生銀行及港商建群集團之金控，以證券為主體</val>
          </value>
        </values>
      </ddeItem>
      <ddeItem name="5820.TW-CName,InvestorConferenceDate,DateofMeetingofShareHolders,TradingDate" advise="1">
        <values cols="4">
          <value t="str">
            <val>日盛金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5820.TW-ID,Name,MarketValue,Capital,NetIncomeGrowthRate,OperIncomeGrowthRate,FinancialStatementsTime,TFXRatio,MonthlyNetSalesYoY,RevenueMonth" advise="1">
        <values cols="10">
          <value t="str">
            <val>5820</val>
          </value>
          <value t="str">
            <val>日盛金</val>
          </value>
          <value t="str">
            <val>439.1</val>
          </value>
          <value t="str">
            <val>383.47</val>
          </value>
          <value t="str">
            <val>-13.37</val>
          </value>
          <value t="str">
            <val>--</val>
          </value>
          <value t="str">
            <val>2022/03</val>
          </value>
          <value t="str">
            <val>51.86</val>
          </value>
          <value t="str">
            <val>-3.08</val>
          </value>
          <value t="str">
            <val>2022/06</val>
          </value>
        </values>
      </ddeItem>
      <ddeItem name="5820.TW-OperatingProfitRatio,Price,PriceChangeRatio,InOutRatioNumber,Value,YearReturn,MonthReturn,WeekReturn,FinanceBalanceDif,ChipsField2" advise="1">
        <values cols="10"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-1.73</val>
          </value>
          <value t="str">
            <val>-0.43</val>
          </value>
          <value t="str">
            <val>0.00</val>
          </value>
          <value>
            <val>1</val>
          </value>
          <value>
            <val>0</val>
          </value>
        </values>
      </ddeItem>
      <ddeItem name="58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2022/06/17</val>
          </value>
          <value t="str">
            <val>1.20</val>
          </value>
          <value>
            <val>11.11</val>
          </value>
          <value t="str">
            <val>2.53</val>
          </value>
          <value t="str">
            <val>0.25</val>
          </value>
          <value t="str">
            <val>致和證</val>
          </value>
          <value t="str">
            <val>上櫃金融</val>
          </value>
          <value t="str">
            <val>台灣小型券商</val>
          </value>
        </values>
      </ddeItem>
      <ddeItem name="5864.TW-CName,InvestorConferenceDate,DateofMeetingofShareHolders,TradingDate" advise="1">
        <values cols="4">
          <value t="str">
            <val>致和證</val>
          </value>
          <value t="str">
            <val>--</val>
          </value>
          <value t="str">
            <val>2022/05/04</val>
          </value>
          <value t="str">
            <val>2022/08/01</val>
          </value>
        </values>
      </ddeItem>
      <ddeItem name="5864.TW-ID,Name,MarketValue,Capital,NetIncomeGrowthRate,OperIncomeGrowthRate,FinancialStatementsTime,TFXRatio,MonthlyNetSalesYoY,RevenueMonth" advise="1">
        <values cols="10">
          <value t="str">
            <val>5864</val>
          </value>
          <value t="str">
            <val>致和證</val>
          </value>
          <value t="str">
            <val>28.8</val>
          </value>
          <value t="str">
            <val>26.68</val>
          </value>
          <value t="str">
            <val>-51.77</val>
          </value>
          <value t="str">
            <val>-51.64</val>
          </value>
          <value t="str">
            <val>2022/03</val>
          </value>
          <value t="str">
            <val>-353.31</val>
          </value>
          <value t="str">
            <val>-176.77</val>
          </value>
          <value t="str">
            <val>2022/06</val>
          </value>
        </values>
      </ddeItem>
      <ddeItem name="5864.TW-OperatingProfitRatio,Price,PriceChangeRatio,InOutRatioNumber,Value,YearReturn,MonthReturn,WeekReturn,FinanceBalanceDif,ChipsField2" advise="1">
        <values cols="10">
          <value t="str">
            <val>47.06</val>
          </value>
          <value>
            <val>10.8</val>
          </value>
          <value>
            <val>3.35</val>
          </value>
          <value t="str">
            <val>70.71%</val>
          </value>
          <value t="str">
            <val>149萬</val>
          </value>
          <value t="str">
            <val>-35.74</val>
          </value>
          <value t="str">
            <val>+2.86</val>
          </value>
          <value t="str">
            <val>+4.35</val>
          </value>
          <value>
            <val>-1</val>
          </value>
          <value>
            <val>0</val>
          </value>
        </values>
      </ddeItem>
      <ddeItem name="587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2022/06/14</val>
          </value>
          <value t="str">
            <val>3.00</val>
          </value>
          <value>
            <val>6.34</val>
          </value>
          <value t="str">
            <val>2.83</val>
          </value>
          <value t="str">
            <val>0.48</val>
          </value>
          <value t="str">
            <val>台名</val>
          </value>
          <value t="str">
            <val>上櫃金融</val>
          </value>
          <value t="str">
            <val>台灣前三大之保險經紀公司</val>
          </value>
        </values>
      </ddeItem>
      <ddeItem name="5878.TW-CName,InvestorConferenceDate,DateofMeetingofShareHolders,TradingDate" advise="1">
        <values cols="4">
          <value t="str">
            <val>台名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5878.TW-ID,Name,MarketValue,Capital,NetIncomeGrowthRate,OperIncomeGrowthRate,FinancialStatementsTime,TFXRatio,MonthlyNetSalesYoY,RevenueMonth" advise="1">
        <values cols="10">
          <value t="str">
            <val>5878</val>
          </value>
          <value t="str">
            <val>台名</val>
          </value>
          <value t="str">
            <val>11.8</val>
          </value>
          <value t="str">
            <val>2.50</val>
          </value>
          <value t="str">
            <val>-23.88</val>
          </value>
          <value t="str">
            <val>-16.54</val>
          </value>
          <value t="str">
            <val>2022/03</val>
          </value>
          <value t="str">
            <val>27.56</val>
          </value>
          <value t="str">
            <val>2.64</val>
          </value>
          <value t="str">
            <val>2022/06</val>
          </value>
        </values>
      </ddeItem>
      <ddeItem name="5878.TW-OperatingProfitRatio,Price,PriceChangeRatio,InOutRatioNumber,Value,YearReturn,MonthReturn,WeekReturn,FinanceBalanceDif,ChipsField2" advise="1">
        <values cols="10">
          <value t="str">
            <val>8.38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+7.47</val>
          </value>
          <value t="str">
            <val>+0.64</val>
          </value>
          <value t="str">
            <val>-0.11</val>
          </value>
          <value>
            <val>0</val>
          </value>
          <value>
            <val>0</val>
          </value>
        </values>
      </ddeItem>
      <ddeItem name="59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113</val>
          </value>
          <value t="str">
            <val>2022/06/14</val>
          </value>
          <value t="str">
            <val>1.20</val>
          </value>
          <value>
            <val>3.39</val>
          </value>
          <value t="str">
            <val>1.78</val>
          </value>
          <value t="str">
            <val>0.55</val>
          </value>
          <value t="str">
            <val>德記</val>
          </value>
          <value t="str">
            <val>上櫃貿易百貨</val>
          </value>
          <value t="str">
            <val>統一集團旗下貿易商，旗下自有品牌為「開喜」系列茶飲</val>
          </value>
        </values>
      </ddeItem>
      <ddeItem name="5902.TW-CName,InvestorConferenceDate,DateofMeetingofShareHolders,TradingDate" advise="1">
        <values cols="4">
          <value t="str">
            <val>德記</val>
          </value>
          <value t="str">
            <val>--</val>
          </value>
          <value t="str">
            <val>2022/05/25</val>
          </value>
          <value t="str">
            <val>2022/08/01</val>
          </value>
        </values>
      </ddeItem>
      <ddeItem name="5902.TW-ID,Name,MarketValue,Capital,NetIncomeGrowthRate,OperIncomeGrowthRate,FinancialStatementsTime,TFXRatio,MonthlyNetSalesYoY,RevenueMonth" advise="1">
        <values cols="10">
          <value t="str">
            <val>5902</val>
          </value>
          <value t="str">
            <val>德記</val>
          </value>
          <value t="str">
            <val>33.5</val>
          </value>
          <value t="str">
            <val>9.45</val>
          </value>
          <value t="str">
            <val>61.02</val>
          </value>
          <value t="str">
            <val>66.25</val>
          </value>
          <value t="str">
            <val>2022/03</val>
          </value>
          <value t="str">
            <val>14.34</val>
          </value>
          <value t="str">
            <val>29.08</val>
          </value>
          <value t="str">
            <val>2022/06</val>
          </value>
        </values>
      </ddeItem>
      <ddeItem name="5902.TW-OperatingProfitRatio,Price,PriceChangeRatio,InOutRatioNumber,Value,YearReturn,MonthReturn,WeekReturn,FinanceBalanceDif,ChipsField2" advise="1">
        <values cols="10">
          <value t="str">
            <val>11.25</val>
          </value>
          <value>
            <val>35.4</val>
          </value>
          <value>
            <val>-0.7</val>
          </value>
          <value t="str">
            <val>35.38%</val>
          </value>
          <value t="str">
            <val>506萬</val>
          </value>
          <value t="str">
            <val>+30.49</val>
          </value>
          <value t="str">
            <val>+34.09</val>
          </value>
          <value t="str">
            <val>+9.26</val>
          </value>
          <value>
            <val>-14</val>
          </value>
          <value>
            <val>0</val>
          </value>
        </values>
      </ddeItem>
      <ddeItem name="5903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2</val>
          </value>
          <value t="str">
            <val>2022/08/03</val>
          </value>
          <value t="str">
            <val>4.70</val>
          </value>
          <value>
            <val>2.5099999999999998</val>
          </value>
          <value t="str">
            <val>5.36</val>
          </value>
          <value t="str">
            <val>0.76</val>
          </value>
          <value t="str">
            <val>全家</val>
          </value>
          <value t="str">
            <val>上櫃貿易百貨</val>
          </value>
          <value t="str">
            <val>台灣第二大連鎖便利商店</val>
          </value>
        </values>
      </ddeItem>
      <ddeItem name="5903.TW-CName,InvestorConferenceDate,DateofMeetingofShareHolders,TradingDate" advise="1">
        <values cols="4">
          <value t="str">
            <val>全家</val>
          </value>
          <value t="str">
            <val>2022/03/29</val>
          </value>
          <value t="str">
            <val>2022/06/17</val>
          </value>
          <value t="str">
            <val>2022/08/01</val>
          </value>
        </values>
      </ddeItem>
      <ddeItem name="5903.TW-ID,Name,MarketValue,Capital,NetIncomeGrowthRate,OperIncomeGrowthRate,FinancialStatementsTime,TFXRatio,MonthlyNetSalesYoY,RevenueMonth" advise="1">
        <values cols="10">
          <value t="str">
            <val>5903</val>
          </value>
          <value t="str">
            <val>全家</val>
          </value>
          <value t="str">
            <val>417.4</val>
          </value>
          <value t="str">
            <val>22.32</val>
          </value>
          <value t="str">
            <val>-46.83</val>
          </value>
          <value t="str">
            <val>-46.28</val>
          </value>
          <value t="str">
            <val>2022/03</val>
          </value>
          <value t="str">
            <val>1.14</val>
          </value>
          <value t="str">
            <val>18.92</val>
          </value>
          <value t="str">
            <val>2022/06</val>
          </value>
        </values>
      </ddeItem>
      <ddeItem name="5903.TW-OperatingProfitRatio,Price,PriceChangeRatio,InOutRatioNumber,Value,YearReturn,MonthReturn,WeekReturn,FinanceBalanceDif,ChipsField2" advise="1">
        <values cols="10">
          <value t="str">
            <val>1.07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-27.43</val>
          </value>
          <value t="str">
            <val>-2.09</val>
          </value>
          <value t="str">
            <val>-1.06</val>
          </value>
          <value>
            <val>1</val>
          </value>
          <value>
            <val>0</val>
          </value>
        </values>
      </ddeItem>
      <ddeItem name="5904.TW-ChipsField3,ChipsField1,ChipsField25,CashAndStockDividend,CashDividendYieldRate,ProfitFourSeason,ProfitSingle,CName,ExchangeIndustry,CompanyPos" advise="1">
        <values cols="10">
          <value>
            <val>15</val>
          </value>
          <value>
            <val>399</val>
          </value>
          <value t="str">
            <val>2022/07/20</val>
          </value>
          <value t="str">
            <val>11.10</val>
          </value>
          <value>
            <val>2.96</val>
          </value>
          <value t="str">
            <val>17.25</val>
          </value>
          <value t="str">
            <val>2.84</val>
          </value>
          <value t="str">
            <val>寶雅</val>
          </value>
          <value t="str">
            <val>上櫃貿易百貨</val>
          </value>
          <value t="str">
            <val>台灣二線城市最大美妝及生活用品百貨</val>
          </value>
        </values>
      </ddeItem>
      <ddeItem name="5904.TW-CName,InvestorConferenceDate,DateofMeetingofShareHolders,TradingDate" advise="1">
        <values cols="4">
          <value t="str">
            <val>寶雅</val>
          </value>
          <value t="str">
            <val>2022/01/05</val>
          </value>
          <value t="str">
            <val>2022/06/21</val>
          </value>
          <value t="str">
            <val>2022/08/01</val>
          </value>
        </values>
      </ddeItem>
      <ddeItem name="5904.TW-ID,Name,MarketValue,Capital,NetIncomeGrowthRate,OperIncomeGrowthRate,FinancialStatementsTime,TFXRatio,MonthlyNetSalesYoY,RevenueMonth" advise="1">
        <values cols="10">
          <value t="str">
            <val>5904</val>
          </value>
          <value t="str">
            <val>寶雅</val>
          </value>
          <value t="str">
            <val>381.5</val>
          </value>
          <value t="str">
            <val>10.22</val>
          </value>
          <value t="str">
            <val>-11.14</val>
          </value>
          <value t="str">
            <val>-8.78</val>
          </value>
          <value t="str">
            <val>2022/06</val>
          </value>
          <value t="str">
            <val>10.82</val>
          </value>
          <value t="str">
            <val>46.29</val>
          </value>
          <value t="str">
            <val>2022/06</val>
          </value>
        </values>
      </ddeItem>
      <ddeItem name="5904.TW-OperatingProfitRatio,Price,PriceChangeRatio,InOutRatioNumber,Value,YearReturn,MonthReturn,WeekReturn,FinanceBalanceDif,ChipsField2" advise="1">
        <values cols="10">
          <value t="str">
            <val>11.20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-26.99</val>
          </value>
          <value t="str">
            <val>+20.27</val>
          </value>
          <value t="str">
            <val>+2.88</val>
          </value>
          <value>
            <val>-40</val>
          </value>
          <value>
            <val>6</val>
          </value>
        </values>
      </ddeItem>
      <ddeItem name="59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17</val>
          </value>
          <value t="str">
            <val>--</val>
          </value>
          <value t="str">
            <val>0.00</val>
          </value>
          <value>
            <val>0</val>
          </value>
          <value t="str">
            <val>-0.92</val>
          </value>
          <value t="str">
            <val>-0.28</val>
          </value>
          <value t="str">
            <val>南仁湖</val>
          </value>
          <value t="str">
            <val>上櫃貿易百貨</val>
          </value>
          <value t="str">
            <val>高速公路休息站及海生館、小墾丁渡假村之經營業者</val>
          </value>
        </values>
      </ddeItem>
      <ddeItem name="5905.TW-CName,InvestorConferenceDate,DateofMeetingofShareHolders,TradingDate" advise="1">
        <values cols="4">
          <value t="str">
            <val>南仁湖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5905.TW-ID,Name,MarketValue,Capital,NetIncomeGrowthRate,OperIncomeGrowthRate,FinancialStatementsTime,TFXRatio,MonthlyNetSalesYoY,RevenueMonth" advise="1">
        <values cols="10">
          <value t="str">
            <val>5905</val>
          </value>
          <value t="str">
            <val>南仁湖</val>
          </value>
          <value t="str">
            <val>30.0</val>
          </value>
          <value t="str">
            <val>24.98</val>
          </value>
          <value t="str">
            <val>-116.09</val>
          </value>
          <value t="str">
            <val>-109.60</val>
          </value>
          <value t="str">
            <val>2022/03</val>
          </value>
          <value t="str">
            <val>47.47</val>
          </value>
          <value t="str">
            <val>243.63</val>
          </value>
          <value t="str">
            <val>2022/06</val>
          </value>
        </values>
      </ddeItem>
      <ddeItem name="5905.TW-OperatingProfitRatio,Price,PriceChangeRatio,InOutRatioNumber,Value,YearReturn,MonthReturn,WeekReturn,FinanceBalanceDif,ChipsField2" advise="1">
        <values cols="10">
          <value t="str">
            <val>-21.54</val>
          </value>
          <value>
            <val>12</val>
          </value>
          <value>
            <val>-0.41</val>
          </value>
          <value t="str">
            <val>33.70%</val>
          </value>
          <value t="str">
            <val>445萬</val>
          </value>
          <value t="str">
            <val>-32.79</val>
          </value>
          <value t="str">
            <val>+4.35</val>
          </value>
          <value t="str">
            <val>-0.41</val>
          </value>
          <value>
            <val>7</val>
          </value>
          <value>
            <val>0</val>
          </value>
        </values>
      </ddeItem>
      <ddeItem name="60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-181</val>
          </value>
          <value t="str">
            <val>2022/07/28</val>
          </value>
          <value t="str">
            <val>2.40</val>
          </value>
          <value>
            <val>21.33</val>
          </value>
          <value t="str">
            <val>2.52</val>
          </value>
          <value t="str">
            <val>-0.30</val>
          </value>
          <value t="str">
            <val>宏遠證</val>
          </value>
          <value t="str">
            <val>上櫃金融</val>
          </value>
          <value t="str">
            <val>三商壽轉投資的小型券商</val>
          </value>
        </values>
      </ddeItem>
      <ddeItem name="6015.TW-CName,InvestorConferenceDate,DateofMeetingofShareHolders,TradingDate" advise="1">
        <values cols="4">
          <value t="str">
            <val>宏遠證</val>
          </value>
          <value t="str">
            <val>2022/03/31</val>
          </value>
          <value t="str">
            <val>2022/05/27</val>
          </value>
          <value t="str">
            <val>2022/08/01</val>
          </value>
        </values>
      </ddeItem>
      <ddeItem name="6015.TW-ID,Name,MarketValue,Capital,NetIncomeGrowthRate,OperIncomeGrowthRate,FinancialStatementsTime,TFXRatio,MonthlyNetSalesYoY,RevenueMonth" advise="1">
        <values cols="10">
          <value t="str">
            <val>6015</val>
          </value>
          <value t="str">
            <val>宏遠證</val>
          </value>
          <value t="str">
            <val>39.5</val>
          </value>
          <value t="str">
            <val>35.13</val>
          </value>
          <value t="str">
            <val>-131.95</val>
          </value>
          <value t="str">
            <val>-143.89</val>
          </value>
          <value t="str">
            <val>2022/03</val>
          </value>
          <value t="str">
            <val>262.71</val>
          </value>
          <value t="str">
            <val>-81.72</val>
          </value>
          <value t="str">
            <val>2022/06</val>
          </value>
        </values>
      </ddeItem>
      <ddeItem name="6015.TW-OperatingProfitRatio,Price,PriceChangeRatio,InOutRatioNumber,Value,YearReturn,MonthReturn,WeekReturn,FinanceBalanceDif,ChipsField2" advise="1">
        <values cols="10">
          <value t="str">
            <val>-83.27</val>
          </value>
          <value>
            <val>11.25</val>
          </value>
          <value>
            <val>0.45</val>
          </value>
          <value t="str">
            <val>47.74%</val>
          </value>
          <value t="str">
            <val>695萬</val>
          </value>
          <value t="str">
            <val>-38.78</val>
          </value>
          <value t="str">
            <val>+9.71</val>
          </value>
          <value t="str">
            <val>-2.05</val>
          </value>
          <value>
            <val>-38</val>
          </value>
          <value>
            <val>0</val>
          </value>
        </values>
      </ddeItem>
      <ddeItem name="60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28</val>
          </value>
          <value t="str">
            <val>2022/07/12</val>
          </value>
          <value t="str">
            <val>1.55</val>
          </value>
          <value>
            <val>15.55</val>
          </value>
          <value t="str">
            <val>1.45</val>
          </value>
          <value t="str">
            <val>-0.29</val>
          </value>
          <value t="str">
            <val>康和證</val>
          </value>
          <value t="str">
            <val>上櫃金融</val>
          </value>
          <value t="str">
            <val>台灣綜合型證券商，其中期貨業務市占排名前七大</val>
          </value>
        </values>
      </ddeItem>
      <ddeItem name="6016.TW-CName,InvestorConferenceDate,DateofMeetingofShareHolders,TradingDate" advise="1">
        <values cols="4">
          <value t="str">
            <val>康和證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6016.TW-ID,Name,MarketValue,Capital,NetIncomeGrowthRate,OperIncomeGrowthRate,FinancialStatementsTime,TFXRatio,MonthlyNetSalesYoY,RevenueMonth" advise="1">
        <values cols="10">
          <value t="str">
            <val>6016</val>
          </value>
          <value t="str">
            <val>康和證</val>
          </value>
          <value t="str">
            <val>59.3</val>
          </value>
          <value t="str">
            <val>59.45</val>
          </value>
          <value t="str">
            <val>-149.65</val>
          </value>
          <value t="str">
            <val>-131.11</val>
          </value>
          <value t="str">
            <val>2022/03</val>
          </value>
          <value t="str">
            <val>-71.20</val>
          </value>
          <value t="str">
            <val>-90.63</val>
          </value>
          <value t="str">
            <val>2022/06</val>
          </value>
        </values>
      </ddeItem>
      <ddeItem name="6016.TW-OperatingProfitRatio,Price,PriceChangeRatio,InOutRatioNumber,Value,YearReturn,MonthReturn,WeekReturn,FinanceBalanceDif,ChipsField2" advise="1">
        <values cols="10">
          <value t="str">
            <val>-31.18</val>
          </value>
          <value>
            <val>9.9700000000000006</val>
          </value>
          <value>
            <val>2.2599999999999998</val>
          </value>
          <value t="str">
            <val>67.25%</val>
          </value>
          <value t="str">
            <val>676萬</val>
          </value>
          <value t="str">
            <val>-21.89</val>
          </value>
          <value t="str">
            <val>-3.24</val>
          </value>
          <value t="str">
            <val>+4.40</val>
          </value>
          <value>
            <val>-6</val>
          </value>
          <value>
            <val>0</val>
          </value>
        </values>
      </ddeItem>
      <ddeItem name="60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2022/04/14</val>
          </value>
          <value t="str">
            <val>2.38</val>
          </value>
          <value>
            <val>12.4</val>
          </value>
          <value t="str">
            <val>1.67</val>
          </value>
          <value t="str">
            <val>-0.56</val>
          </value>
          <value t="str">
            <val>大展證</val>
          </value>
          <value t="str">
            <val>上櫃金融</val>
          </value>
          <value t="str">
            <val>以大台北地區為營運的區域型券商</val>
          </value>
        </values>
      </ddeItem>
      <ddeItem name="6020.TW-CName,InvestorConferenceDate,DateofMeetingofShareHolders,TradingDate" advise="1">
        <values cols="4">
          <value t="str">
            <val>大展證</val>
          </value>
          <value t="str">
            <val>2022/07/27</val>
          </value>
          <value t="str">
            <val>2022/06/23</val>
          </value>
          <value t="str">
            <val>2022/08/01</val>
          </value>
        </values>
      </ddeItem>
      <ddeItem name="6020.TW-ID,Name,MarketValue,Capital,NetIncomeGrowthRate,OperIncomeGrowthRate,FinancialStatementsTime,TFXRatio,MonthlyNetSalesYoY,RevenueMonth" advise="1">
        <values cols="10">
          <value t="str">
            <val>6020</val>
          </value>
          <value t="str">
            <val>大展證</val>
          </value>
          <value t="str">
            <val>48.5</val>
          </value>
          <value t="str">
            <val>25.24</val>
          </value>
          <value t="str">
            <val>-147.79</val>
          </value>
          <value t="str">
            <val>-145.53</val>
          </value>
          <value t="str">
            <val>2022/03</val>
          </value>
          <value t="str">
            <val>-167.98</val>
          </value>
          <value t="str">
            <val>-116.87</val>
          </value>
          <value t="str">
            <val>2022/06</val>
          </value>
        </values>
      </ddeItem>
      <ddeItem name="6020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19.2</val>
          </value>
          <value>
            <val>1.32</val>
          </value>
          <value t="str">
            <val>81.82%</val>
          </value>
          <value t="str">
            <val>21.0萬</val>
          </value>
          <value t="str">
            <val>-0.85</val>
          </value>
          <value t="str">
            <val>+4.35</val>
          </value>
          <value t="str">
            <val>+1.05</val>
          </value>
          <value>
            <val>0</val>
          </value>
          <value>
            <val>0</val>
          </value>
        </values>
      </ddeItem>
      <ddeItem name="60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0.89</val>
          </value>
          <value t="str">
            <val>0.01</val>
          </value>
          <value t="str">
            <val>美好證</val>
          </value>
          <value t="str">
            <val>上櫃金融</val>
          </value>
          <value t="str">
            <val>主要股東為大慶建設之小型券商</val>
          </value>
        </values>
      </ddeItem>
      <ddeItem name="6021.TW-CName,InvestorConferenceDate,DateofMeetingofShareHolders,TradingDate" advise="1">
        <values cols="4">
          <value t="str">
            <val>美好證</val>
          </value>
          <value t="str">
            <val>2022/06/02</val>
          </value>
          <value t="str">
            <val>2022/06/02</val>
          </value>
          <value t="str">
            <val>2022/08/01</val>
          </value>
        </values>
      </ddeItem>
      <ddeItem name="6021.TW-ID,Name,MarketValue,Capital,NetIncomeGrowthRate,OperIncomeGrowthRate,FinancialStatementsTime,TFXRatio,MonthlyNetSalesYoY,RevenueMonth" advise="1">
        <values cols="10">
          <value t="str">
            <val>6021</val>
          </value>
          <value t="str">
            <val>美好證</val>
          </value>
          <value t="str">
            <val>60.6</val>
          </value>
          <value t="str">
            <val>30.98</val>
          </value>
          <value t="str">
            <val>-91.52</val>
          </value>
          <value t="str">
            <val>-98.49</val>
          </value>
          <value t="str">
            <val>2022/03</val>
          </value>
          <value t="str">
            <val>109.52</val>
          </value>
          <value t="str">
            <val>-7.38</val>
          </value>
          <value t="str">
            <val>2022/06</val>
          </value>
        </values>
      </ddeItem>
      <ddeItem name="6021.TW-OperatingProfitRatio,Price,PriceChangeRatio,InOutRatioNumber,Value,YearReturn,MonthReturn,WeekReturn,FinanceBalanceDif,ChipsField2" advise="1">
        <values cols="10">
          <value t="str">
            <val>0.30</val>
          </value>
          <value>
            <val>19.55</val>
          </value>
          <value>
            <val>0</val>
          </value>
          <value t="str">
            <val>0.00%</val>
          </value>
          <value t="str">
            <val>1.96萬</val>
          </value>
          <value t="str">
            <val>-13.50</val>
          </value>
          <value t="str">
            <val>-2.25</val>
          </value>
          <value t="str">
            <val>-2.25</val>
          </value>
          <value>
            <val>0</val>
          </value>
          <value>
            <val>0</val>
          </value>
        </values>
      </ddeItem>
      <ddeItem name="60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2022/06/09</val>
          </value>
          <value t="str">
            <val>2.30</val>
          </value>
          <value>
            <val>4.83</val>
          </value>
          <value t="str">
            <val>2.81</val>
          </value>
          <value t="str">
            <val>0.58</val>
          </value>
          <value t="str">
            <val>元大期</val>
          </value>
          <value t="str">
            <val>上櫃金融</val>
          </value>
          <value t="str">
            <val>台灣最大期貨商，屬元大集團</val>
          </value>
        </values>
      </ddeItem>
      <ddeItem name="6023.TW-CName,InvestorConferenceDate,DateofMeetingofShareHolders,TradingDate" advise="1">
        <values cols="4">
          <value t="str">
            <val>元大期</val>
          </value>
          <value t="str">
            <val>--</val>
          </value>
          <value t="str">
            <val>2022/05/24</val>
          </value>
          <value t="str">
            <val>2022/08/01</val>
          </value>
        </values>
      </ddeItem>
      <ddeItem name="6023.TW-ID,Name,MarketValue,Capital,NetIncomeGrowthRate,OperIncomeGrowthRate,FinancialStatementsTime,TFXRatio,MonthlyNetSalesYoY,RevenueMonth" advise="1">
        <values cols="10">
          <value t="str">
            <val>6023</val>
          </value>
          <value t="str">
            <val>元大期</val>
          </value>
          <value t="str">
            <val>138.2</val>
          </value>
          <value t="str">
            <val>29.00</val>
          </value>
          <value t="str">
            <val>-21.14</val>
          </value>
          <value t="str">
            <val>-28.55</val>
          </value>
          <value t="str">
            <val>2022/03</val>
          </value>
          <value t="str">
            <val>-0.93</val>
          </value>
          <value t="str">
            <val>21.74</val>
          </value>
          <value t="str">
            <val>2022/06</val>
          </value>
        </values>
      </ddeItem>
      <ddeItem name="6023.TW-OperatingProfitRatio,Price,PriceChangeRatio,InOutRatioNumber,Value,YearReturn,MonthReturn,WeekReturn,FinanceBalanceDif,ChipsField2" advise="1">
        <values cols="10">
          <value t="str">
            <val>9.34</val>
          </value>
          <value>
            <val>47.65</val>
          </value>
          <value>
            <val>0.32</val>
          </value>
          <value t="str">
            <val>61.54%</val>
          </value>
          <value t="str">
            <val>128萬</val>
          </value>
          <value t="str">
            <val>+1.52</val>
          </value>
          <value t="str">
            <val>+4.04</val>
          </value>
          <value t="str">
            <val>+1.28</val>
          </value>
          <value>
            <val>0</val>
          </value>
          <value>
            <val>0</val>
          </value>
        </values>
      </ddeItem>
      <ddeItem name="60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179</val>
          </value>
          <value t="str">
            <val>--</val>
          </value>
          <value t="str">
            <val>3.28</val>
          </value>
          <value>
            <val>21.79</val>
          </value>
          <value t="str">
            <val>4.16</val>
          </value>
          <value t="str">
            <val>0.24</val>
          </value>
          <value t="str">
            <val>福邦證</val>
          </value>
          <value t="str">
            <val>上櫃金融</val>
          </value>
          <value t="str">
            <val>台灣小型綜合證券業務商</val>
          </value>
        </values>
      </ddeItem>
      <ddeItem name="6026.TW-CName,InvestorConferenceDate,DateofMeetingofShareHolders,TradingDate" advise="1">
        <values cols="4">
          <value t="str">
            <val>福邦證</val>
          </value>
          <value t="str">
            <val>2021/12/03</val>
          </value>
          <value t="str">
            <val>2022/06/30</val>
          </value>
          <value t="str">
            <val>2022/08/01</val>
          </value>
        </values>
      </ddeItem>
      <ddeItem name="6026.TW-ID,Name,MarketValue,Capital,NetIncomeGrowthRate,OperIncomeGrowthRate,FinancialStatementsTime,TFXRatio,MonthlyNetSalesYoY,RevenueMonth" advise="1">
        <values cols="10">
          <value t="str">
            <val>6026</val>
          </value>
          <value t="str">
            <val>福邦證</val>
          </value>
          <value t="str">
            <val>45.2</val>
          </value>
          <value t="str">
            <val>30.01</val>
          </value>
          <value t="str">
            <val>-64.19</val>
          </value>
          <value t="str">
            <val>-54.04</val>
          </value>
          <value t="str">
            <val>2022/03</val>
          </value>
          <value t="str">
            <val>-260.67</val>
          </value>
          <value t="str">
            <val>-164.70</val>
          </value>
          <value t="str">
            <val>2022/06</val>
          </value>
        </values>
      </ddeItem>
      <ddeItem name="6026.TW-OperatingProfitRatio,Price,PriceChangeRatio,InOutRatioNumber,Value,YearReturn,MonthReturn,WeekReturn,FinanceBalanceDif,ChipsField2" advise="1">
        <values cols="10">
          <value t="str">
            <val>60.50</val>
          </value>
          <value>
            <val>15.05</val>
          </value>
          <value>
            <val>0.67</val>
          </value>
          <value t="str">
            <val>65.65%</val>
          </value>
          <value t="str">
            <val>1576萬</val>
          </value>
          <value t="str">
            <val>-7.95</val>
          </value>
          <value t="str">
            <val>-1.31</val>
          </value>
          <value t="str">
            <val>0.00</val>
          </value>
          <value>
            <val>49</val>
          </value>
          <value>
            <val>0</val>
          </value>
        </values>
      </ddeItem>
      <ddeItem name="61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-0.58</val>
          </value>
          <value t="str">
            <val>-0.08</val>
          </value>
          <value t="str">
            <val>寬魚國際</val>
          </value>
          <value t="str">
            <val>上櫃文化創意</val>
          </value>
          <value t="str">
            <val>從事流行音樂商演、活動賽事舉辦等業務</val>
          </value>
        </values>
      </ddeItem>
      <ddeItem name="6101.TW-CName,InvestorConferenceDate,DateofMeetingofShareHolders,TradingDate" advise="1">
        <values cols="4">
          <value t="str">
            <val>寬魚國際</val>
          </value>
          <value t="str">
            <val>2021/12/28</val>
          </value>
          <value t="str">
            <val>2022/06/27</val>
          </value>
          <value t="str">
            <val>2022/08/01</val>
          </value>
        </values>
      </ddeItem>
      <ddeItem name="6101.TW-ID,Name,MarketValue,Capital,NetIncomeGrowthRate,OperIncomeGrowthRate,FinancialStatementsTime,TFXRatio,MonthlyNetSalesYoY,RevenueMonth" advise="1">
        <values cols="10">
          <value t="str">
            <val>6101</val>
          </value>
          <value t="str">
            <val>寬魚國際</val>
          </value>
          <value t="str">
            <val>24.4</val>
          </value>
          <value t="str">
            <val>11.64</val>
          </value>
          <value t="str">
            <val>36.82</val>
          </value>
          <value t="str">
            <val>-2.36</val>
          </value>
          <value t="str">
            <val>2022/03</val>
          </value>
          <value t="str">
            <val>14.00</val>
          </value>
          <value t="str">
            <val>-46.23</val>
          </value>
          <value t="str">
            <val>2022/06</val>
          </value>
        </values>
      </ddeItem>
      <ddeItem name="6101.TW-OperatingProfitRatio,Price,PriceChangeRatio,InOutRatioNumber,Value,YearReturn,MonthReturn,WeekReturn,FinanceBalanceDif,ChipsField2" advise="1">
        <values cols="10">
          <value t="str">
            <val>-35.45</val>
          </value>
          <value>
            <val>21</val>
          </value>
          <value>
            <val>-1.41</val>
          </value>
          <value t="str">
            <val>60.00%</val>
          </value>
          <value t="str">
            <val>12.6萬</val>
          </value>
          <value t="str">
            <val>+7.97</val>
          </value>
          <value t="str">
            <val>+2.94</val>
          </value>
          <value t="str">
            <val>-3.67</val>
          </value>
          <value>
            <val>0</val>
          </value>
          <value>
            <val>0</val>
          </value>
        </values>
      </ddeItem>
      <ddeItem name="61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-0.04</val>
          </value>
          <value t="str">
            <val>-0.05</val>
          </value>
          <value t="str">
            <val>合邦</val>
          </value>
          <value t="str">
            <val>上櫃半導體</val>
          </value>
          <value t="str">
            <val>全球最大的CD Discman IC供應商</val>
          </value>
        </values>
      </ddeItem>
      <ddeItem name="6103.TW-CName,InvestorConferenceDate,DateofMeetingofShareHolders,TradingDate" advise="1">
        <values cols="4">
          <value t="str">
            <val>合邦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6103.TW-ID,Name,MarketValue,Capital,NetIncomeGrowthRate,OperIncomeGrowthRate,FinancialStatementsTime,TFXRatio,MonthlyNetSalesYoY,RevenueMonth" advise="1">
        <values cols="10">
          <value t="str">
            <val>6103</val>
          </value>
          <value t="str">
            <val>合邦</val>
          </value>
          <value t="str">
            <val>4.7</val>
          </value>
          <value t="str">
            <val>8.94</val>
          </value>
          <value t="str">
            <val>-0.19</val>
          </value>
          <value t="str">
            <val>1.42</val>
          </value>
          <value t="str">
            <val>2022/03</val>
          </value>
          <value t="str">
            <val>12.90</val>
          </value>
          <value t="str">
            <val>322.94</val>
          </value>
          <value t="str">
            <val>2022/06</val>
          </value>
        </values>
      </ddeItem>
      <ddeItem name="6103.TW-OperatingProfitRatio,Price,PriceChangeRatio,InOutRatioNumber,Value,YearReturn,MonthReturn,WeekReturn,FinanceBalanceDif,ChipsField2" advise="1">
        <values cols="10">
          <value t="str">
            <val>-27.75</val>
          </value>
          <value>
            <val>5.22</val>
          </value>
          <value>
            <val>-8.42</val>
          </value>
          <value t="str">
            <val>0.00%</val>
          </value>
          <value t="str">
            <val>1.57萬</val>
          </value>
          <value t="str">
            <val>-33.92</val>
          </value>
          <value t="str">
            <val>+5.45</val>
          </value>
          <value t="str">
            <val>-6.79</val>
          </value>
          <value>
            <val>0</val>
          </value>
          <value>
            <val>0</val>
          </value>
        </values>
      </ddeItem>
      <ddeItem name="6104.TW-ChipsField3,ChipsField1,ChipsField25,CashAndStockDividend,CashDividendYieldRate,ProfitFourSeason,ProfitSingle,CName,ExchangeIndustry,CompanyPos" advise="1">
        <values cols="10">
          <value>
            <val>15</val>
          </value>
          <value>
            <val>237</val>
          </value>
          <value t="str">
            <val>2022/03/28</val>
          </value>
          <value t="str">
            <val>4.50</val>
          </value>
          <value>
            <val>3.73</val>
          </value>
          <value t="str">
            <val>9.83</val>
          </value>
          <value t="str">
            <val>3.93</val>
          </value>
          <value t="str">
            <val>創惟</val>
          </value>
          <value t="str">
            <val>上櫃半導體</val>
          </value>
          <value t="str">
            <val>儲存設備USB控制晶片設計專業大廠</val>
          </value>
        </values>
      </ddeItem>
      <ddeItem name="6104.TW-CName,InvestorConferenceDate,DateofMeetingofShareHolders,TradingDate" advise="1">
        <values cols="4">
          <value t="str">
            <val>創惟</val>
          </value>
          <value t="str">
            <val>2021/09/17</val>
          </value>
          <value t="str">
            <val>2022/06/15</val>
          </value>
          <value t="str">
            <val>2022/08/01</val>
          </value>
        </values>
      </ddeItem>
      <ddeItem name="6104.TW-ID,Name,MarketValue,Capital,NetIncomeGrowthRate,OperIncomeGrowthRate,FinancialStatementsTime,TFXRatio,MonthlyNetSalesYoY,RevenueMonth" advise="1">
        <values cols="10">
          <value t="str">
            <val>6104</val>
          </value>
          <value t="str">
            <val>創惟</val>
          </value>
          <value t="str">
            <val>108.8</val>
          </value>
          <value t="str">
            <val>9.03</val>
          </value>
          <value t="str">
            <val>669.32</val>
          </value>
          <value t="str">
            <val>622.09</val>
          </value>
          <value t="str">
            <val>2022/03</val>
          </value>
          <value t="str">
            <val>-16.25</val>
          </value>
          <value t="str">
            <val>-6.59</val>
          </value>
          <value t="str">
            <val>2022/06</val>
          </value>
        </values>
      </ddeItem>
      <ddeItem name="6104.TW-OperatingProfitRatio,Price,PriceChangeRatio,InOutRatioNumber,Value,YearReturn,MonthReturn,WeekReturn,FinanceBalanceDif,ChipsField2" advise="1">
        <values cols="10">
          <value t="str">
            <val>32.39</val>
          </value>
          <value>
            <val>120.5</val>
          </value>
          <value>
            <val>0</val>
          </value>
          <value t="str">
            <val>48.60%</val>
          </value>
          <value t="str">
            <val>9.36億</val>
          </value>
          <value t="str">
            <val>-7.98</val>
          </value>
          <value t="str">
            <val>-14.23</val>
          </value>
          <value t="str">
            <val>-12.04</val>
          </value>
          <value>
            <val>0</val>
          </value>
          <value>
            <val>0</val>
          </value>
        </values>
      </ddeItem>
      <ddeItem name="6111.TW-ChipsField3,ChipsField1,ChipsField25,CashAndStockDividend,CashDividendYieldRate,ProfitFourSeason,ProfitSingle,CName,ExchangeIndustry,CompanyPos" advise="1">
        <values cols="10">
          <value>
            <val>5</val>
          </value>
          <value>
            <val>97</val>
          </value>
          <value t="str">
            <val>--</val>
          </value>
          <value t="str">
            <val>6.00</val>
          </value>
          <value>
            <val>7.27</val>
          </value>
          <value t="str">
            <val>14.13</val>
          </value>
          <value t="str">
            <val>2.17</val>
          </value>
          <value t="str">
            <val>大宇資</val>
          </value>
          <value t="str">
            <val>上櫃文化創意</val>
          </value>
          <value t="str">
            <val>台灣以自有品牌自創產品之線上遊戲開發商</val>
          </value>
        </values>
      </ddeItem>
      <ddeItem name="6111.TW-CName,InvestorConferenceDate,DateofMeetingofShareHolders,TradingDate" advise="1">
        <values cols="4">
          <value t="str">
            <val>大宇資</val>
          </value>
          <value t="str">
            <val>2021/10/20</val>
          </value>
          <value t="str">
            <val>2022/05/27</val>
          </value>
          <value t="str">
            <val>2022/08/01</val>
          </value>
        </values>
      </ddeItem>
      <ddeItem name="6111.TW-ID,Name,MarketValue,Capital,NetIncomeGrowthRate,OperIncomeGrowthRate,FinancialStatementsTime,TFXRatio,MonthlyNetSalesYoY,RevenueMonth" advise="1">
        <values cols="10">
          <value t="str">
            <val>6111</val>
          </value>
          <value t="str">
            <val>大宇資</val>
          </value>
          <value t="str">
            <val>54.1</val>
          </value>
          <value t="str">
            <val>6.56</val>
          </value>
          <value t="str">
            <val>588.43</val>
          </value>
          <value t="str">
            <val>991.23</val>
          </value>
          <value t="str">
            <val>2022/03</val>
          </value>
          <value t="str">
            <val>91.20</val>
          </value>
          <value t="str">
            <val>354.08</val>
          </value>
          <value t="str">
            <val>2022/06</val>
          </value>
        </values>
      </ddeItem>
      <ddeItem name="6111.TW-OperatingProfitRatio,Price,PriceChangeRatio,InOutRatioNumber,Value,YearReturn,MonthReturn,WeekReturn,FinanceBalanceDif,ChipsField2" advise="1">
        <values cols="10">
          <value t="str">
            <val>34.47</val>
          </value>
          <value>
            <val>82.5</val>
          </value>
          <value>
            <val>0.12</val>
          </value>
          <value t="str">
            <val>50.00%</val>
          </value>
          <value t="str">
            <val>3226萬</val>
          </value>
          <value t="str">
            <val>+16.46</val>
          </value>
          <value t="str">
            <val>+13.01</val>
          </value>
          <value t="str">
            <val>-2.94</val>
          </value>
          <value>
            <val>-13</val>
          </value>
          <value>
            <val>0</val>
          </value>
        </values>
      </ddeItem>
      <ddeItem name="61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508</val>
          </value>
          <value t="str">
            <val>--</val>
          </value>
          <value t="str">
            <val>0.00</val>
          </value>
          <value>
            <val>0</val>
          </value>
          <value t="str">
            <val>1.37</val>
          </value>
          <value t="str">
            <val>0.70</val>
          </value>
          <value t="str">
            <val>亞矽</val>
          </value>
          <value t="str">
            <val>上櫃電子通路</val>
          </value>
          <value t="str">
            <val>歐美半導體零件的專業代理商</val>
          </value>
        </values>
      </ddeItem>
      <ddeItem name="6113.TW-CName,InvestorConferenceDate,DateofMeetingofShareHolders,TradingDate" advise="1">
        <values cols="4">
          <value t="str">
            <val>亞矽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6113.TW-ID,Name,MarketValue,Capital,NetIncomeGrowthRate,OperIncomeGrowthRate,FinancialStatementsTime,TFXRatio,MonthlyNetSalesYoY,RevenueMonth" advise="1">
        <values cols="10">
          <value t="str">
            <val>6113</val>
          </value>
          <value t="str">
            <val>亞矽</val>
          </value>
          <value t="str">
            <val>12.6</val>
          </value>
          <value t="str">
            <val>5.00</val>
          </value>
          <value t="str">
            <val>284.06</val>
          </value>
          <value t="str">
            <val>326.88</val>
          </value>
          <value t="str">
            <val>2022/03</val>
          </value>
          <value t="str">
            <val>-11.78</val>
          </value>
          <value t="str">
            <val>1.39</val>
          </value>
          <value t="str">
            <val>2022/06</val>
          </value>
        </values>
      </ddeItem>
      <ddeItem name="6113.TW-OperatingProfitRatio,Price,PriceChangeRatio,InOutRatioNumber,Value,YearReturn,MonthReturn,WeekReturn,FinanceBalanceDif,ChipsField2" advise="1">
        <values cols="10">
          <value t="str">
            <val>4.00</val>
          </value>
          <value>
            <val>25.15</val>
          </value>
          <value>
            <val>6.12</val>
          </value>
          <value t="str">
            <val>51.67%</val>
          </value>
          <value t="str">
            <val>5.40億</val>
          </value>
          <value t="str">
            <val>+86.30</val>
          </value>
          <value t="str">
            <val>+25.75</val>
          </value>
          <value t="str">
            <val>+20.33</val>
          </value>
          <value>
            <val>364</val>
          </value>
          <value>
            <val>0</val>
          </value>
        </values>
      </ddeItem>
      <ddeItem name="61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163</val>
          </value>
          <value t="str">
            <val>2022/07/06</val>
          </value>
          <value t="str">
            <val>0.50</val>
          </value>
          <value>
            <val>2.17</val>
          </value>
          <value t="str">
            <val>0.78</val>
          </value>
          <value t="str">
            <val>0.98</val>
          </value>
          <value t="str">
            <val>久威</val>
          </value>
          <value t="str">
            <val>上櫃電子零組件</val>
          </value>
          <value t="str">
            <val>由PCB製造商轉型為電子材料代理及成品加工業務</val>
          </value>
        </values>
      </ddeItem>
      <ddeItem name="6114.TW-CName,InvestorConferenceDate,DateofMeetingofShareHolders,TradingDate" advise="1">
        <values cols="4">
          <value t="str">
            <val>久威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6114.TW-ID,Name,MarketValue,Capital,NetIncomeGrowthRate,OperIncomeGrowthRate,FinancialStatementsTime,TFXRatio,MonthlyNetSalesYoY,RevenueMonth" advise="1">
        <values cols="10">
          <value t="str">
            <val>6114</val>
          </value>
          <value t="str">
            <val>久威</val>
          </value>
          <value t="str">
            <val>10.1</val>
          </value>
          <value t="str">
            <val>4.39</val>
          </value>
          <value t="str">
            <val>86.03</val>
          </value>
          <value t="str">
            <val>-30.18</val>
          </value>
          <value t="str">
            <val>2022/03</val>
          </value>
          <value t="str">
            <val>-39.19</val>
          </value>
          <value t="str">
            <val>-32.80</val>
          </value>
          <value t="str">
            <val>2022/06</val>
          </value>
        </values>
      </ddeItem>
      <ddeItem name="6114.TW-OperatingProfitRatio,Price,PriceChangeRatio,InOutRatioNumber,Value,YearReturn,MonthReturn,WeekReturn,FinanceBalanceDif,ChipsField2" advise="1">
        <values cols="10">
          <value t="str">
            <val>3.38</val>
          </value>
          <value>
            <val>23</val>
          </value>
          <value>
            <val>2.4500000000000002</val>
          </value>
          <value t="str">
            <val>50.34%</val>
          </value>
          <value t="str">
            <val>1714萬</val>
          </value>
          <value t="str">
            <val>-5.41</val>
          </value>
          <value t="str">
            <val>+3.10</val>
          </value>
          <value t="str">
            <val>+6.98</val>
          </value>
          <value>
            <val>-92</val>
          </value>
          <value>
            <val>0</val>
          </value>
        </values>
      </ddeItem>
      <ddeItem name="6118.TW-ChipsField3,ChipsField1,ChipsField25,CashAndStockDividend,CashDividendYieldRate,ProfitFourSeason,ProfitSingle,CName,ExchangeIndustry,CompanyPos" advise="1">
        <values cols="10">
          <value>
            <val>72</val>
          </value>
          <value>
            <val>-68</val>
          </value>
          <value t="str">
            <val>--</val>
          </value>
          <value t="str">
            <val>0.30</val>
          </value>
          <value>
            <val>0.65</val>
          </value>
          <value t="str">
            <val>0.53</val>
          </value>
          <value t="str">
            <val>0.07</val>
          </value>
          <value t="str">
            <val>建達</val>
          </value>
          <value t="str">
            <val>上櫃電子通路</val>
          </value>
          <value t="str">
            <val>代理IT相關產品及消費電子產品之通路商</val>
          </value>
        </values>
      </ddeItem>
      <ddeItem name="6118.TW-CName,InvestorConferenceDate,DateofMeetingofShareHolders,TradingDate" advise="1">
        <values cols="4">
          <value t="str">
            <val>建達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6118.TW-ID,Name,MarketValue,Capital,NetIncomeGrowthRate,OperIncomeGrowthRate,FinancialStatementsTime,TFXRatio,MonthlyNetSalesYoY,RevenueMonth" advise="1">
        <values cols="10">
          <value t="str">
            <val>6118</val>
          </value>
          <value t="str">
            <val>建達</val>
          </value>
          <value t="str">
            <val>41.8</val>
          </value>
          <value t="str">
            <val>9.09</val>
          </value>
          <value t="str">
            <val>-47.98</val>
          </value>
          <value t="str">
            <val>-10.40</val>
          </value>
          <value t="str">
            <val>2022/03</val>
          </value>
          <value t="str">
            <val>4.59</val>
          </value>
          <value t="str">
            <val>16.81</val>
          </value>
          <value t="str">
            <val>2022/06</val>
          </value>
        </values>
      </ddeItem>
      <ddeItem name="6118.TW-OperatingProfitRatio,Price,PriceChangeRatio,InOutRatioNumber,Value,YearReturn,MonthReturn,WeekReturn,FinanceBalanceDif,ChipsField2" advise="1">
        <values cols="10">
          <value t="str">
            <val>0.36</val>
          </value>
          <value>
            <val>45.95</val>
          </value>
          <value>
            <val>5.15</val>
          </value>
          <value t="str">
            <val>53.87%</val>
          </value>
          <value t="str">
            <val>16.8億</val>
          </value>
          <value t="str">
            <val>+222.46</val>
          </value>
          <value t="str">
            <val>+67.09</val>
          </value>
          <value t="str">
            <val>+14.16</val>
          </value>
          <value>
            <val>827</val>
          </value>
          <value>
            <val>0</val>
          </value>
        </values>
      </ddeItem>
      <ddeItem name="6121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108</val>
          </value>
          <value t="str">
            <val>2022/07/13</val>
          </value>
          <value t="str">
            <val>26.00</val>
          </value>
          <value>
            <val>10.039999999999999</val>
          </value>
          <value t="str">
            <val>35.33</val>
          </value>
          <value t="str">
            <val>8.10</val>
          </value>
          <value t="str">
            <val>新普</val>
          </value>
          <value t="str">
            <val>上櫃電腦及週邊設備</val>
          </value>
          <value t="str">
            <val>全球最大NB電池模組廠之一</val>
          </value>
        </values>
      </ddeItem>
      <ddeItem name="6121.TW-CName,InvestorConferenceDate,DateofMeetingofShareHolders,TradingDate" advise="1">
        <values cols="4">
          <value t="str">
            <val>新普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6121.TW-ID,Name,MarketValue,Capital,NetIncomeGrowthRate,OperIncomeGrowthRate,FinancialStatementsTime,TFXRatio,MonthlyNetSalesYoY,RevenueMonth" advise="1">
        <values cols="10">
          <value t="str">
            <val>6121</val>
          </value>
          <value t="str">
            <val>新普</val>
          </value>
          <value t="str">
            <val>479.1</val>
          </value>
          <value t="str">
            <val>18.50</val>
          </value>
          <value t="str">
            <val>20.25</val>
          </value>
          <value t="str">
            <val>15.82</val>
          </value>
          <value t="str">
            <val>2022/03</val>
          </value>
          <value t="str">
            <val>0.95</val>
          </value>
          <value t="str">
            <val>-1.78</val>
          </value>
          <value t="str">
            <val>2022/06</val>
          </value>
        </values>
      </ddeItem>
      <ddeItem name="6121.TW-OperatingProfitRatio,Price,PriceChangeRatio,InOutRatioNumber,Value,YearReturn,MonthReturn,WeekReturn,FinanceBalanceDif,ChipsField2" advise="1">
        <values cols="10">
          <value t="str">
            <val>10.08</val>
          </value>
          <value>
            <val>259</val>
          </value>
          <value>
            <val>-1.89</val>
          </value>
          <value t="str">
            <val>32.93%</val>
          </value>
          <value t="str">
            <val>1.71億</val>
          </value>
          <value t="str">
            <val>-17.47</val>
          </value>
          <value t="str">
            <val>+18.04</val>
          </value>
          <value t="str">
            <val>-3.00</val>
          </value>
          <value>
            <val>18</val>
          </value>
          <value>
            <val>-189</val>
          </value>
        </values>
      </ddeItem>
      <ddeItem name="6122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606</val>
          </value>
          <value t="str">
            <val>--</val>
          </value>
          <value t="str">
            <val>0.60</val>
          </value>
          <value>
            <val>3.09</val>
          </value>
          <value t="str">
            <val>1.11</val>
          </value>
          <value t="str">
            <val>0.35</val>
          </value>
          <value t="str">
            <val>擎邦</val>
          </value>
          <value t="str">
            <val>上櫃電機機械</val>
          </value>
          <value t="str">
            <val>整廠工程之承攬、規劃、設計、施工服務廠商</val>
          </value>
        </values>
      </ddeItem>
      <ddeItem name="6122.TW-CName,InvestorConferenceDate,DateofMeetingofShareHolders,TradingDate" advise="1">
        <values cols="4">
          <value t="str">
            <val>擎邦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6122.TW-ID,Name,MarketValue,Capital,NetIncomeGrowthRate,OperIncomeGrowthRate,FinancialStatementsTime,TFXRatio,MonthlyNetSalesYoY,RevenueMonth" advise="1">
        <values cols="10">
          <value t="str">
            <val>6122</val>
          </value>
          <value t="str">
            <val>擎邦</val>
          </value>
          <value t="str">
            <val>13.7</val>
          </value>
          <value t="str">
            <val>7.08</val>
          </value>
          <value t="str">
            <val>1448.26</val>
          </value>
          <value t="str">
            <val>1903.30</val>
          </value>
          <value t="str">
            <val>2022/03</val>
          </value>
          <value t="str">
            <val>66.13</val>
          </value>
          <value t="str">
            <val>76.41</val>
          </value>
          <value t="str">
            <val>2022/06</val>
          </value>
        </values>
      </ddeItem>
      <ddeItem name="6122.TW-OperatingProfitRatio,Price,PriceChangeRatio,InOutRatioNumber,Value,YearReturn,MonthReturn,WeekReturn,FinanceBalanceDif,ChipsField2" advise="1">
        <values cols="10">
          <value t="str">
            <val>4.09</val>
          </value>
          <value>
            <val>19.399999999999999</val>
          </value>
          <value>
            <val>-0.26</val>
          </value>
          <value t="str">
            <val>26.33%</val>
          </value>
          <value t="str">
            <val>1729萬</val>
          </value>
          <value t="str">
            <val>+84.66</val>
          </value>
          <value t="str">
            <val>+22.01</val>
          </value>
          <value t="str">
            <val>+4.58</val>
          </value>
          <value>
            <val>-132</val>
          </value>
          <value>
            <val>0</val>
          </value>
        </values>
      </ddeItem>
      <ddeItem name="61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2022/06/10</val>
          </value>
          <value t="str">
            <val>3.30</val>
          </value>
          <value>
            <val>8.43</val>
          </value>
          <value t="str">
            <val>4.92</val>
          </value>
          <value t="str">
            <val>1.11</val>
          </value>
          <value t="str">
            <val>上奇</val>
          </value>
          <value t="str">
            <val>上櫃電腦及週邊設備</val>
          </value>
          <value t="str">
            <val>電腦軟硬體、OA產品及耗材代理商</val>
          </value>
        </values>
      </ddeItem>
      <ddeItem name="6123.TW-CName,InvestorConferenceDate,DateofMeetingofShareHolders,TradingDate" advise="1">
        <values cols="4">
          <value t="str">
            <val>上奇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6123.TW-ID,Name,MarketValue,Capital,NetIncomeGrowthRate,OperIncomeGrowthRate,FinancialStatementsTime,TFXRatio,MonthlyNetSalesYoY,RevenueMonth" advise="1">
        <values cols="10">
          <value t="str">
            <val>6123</val>
          </value>
          <value t="str">
            <val>上奇</val>
          </value>
          <value t="str">
            <val>30.8</val>
          </value>
          <value t="str">
            <val>5.76</val>
          </value>
          <value t="str">
            <val>-8.38</val>
          </value>
          <value t="str">
            <val>-3.45</val>
          </value>
          <value t="str">
            <val>2022/03</val>
          </value>
          <value t="str">
            <val>0.28</val>
          </value>
          <value t="str">
            <val>9.09</val>
          </value>
          <value t="str">
            <val>2022/06</val>
          </value>
        </values>
      </ddeItem>
      <ddeItem name="6123.TW-OperatingProfitRatio,Price,PriceChangeRatio,InOutRatioNumber,Value,YearReturn,MonthReturn,WeekReturn,FinanceBalanceDif,ChipsField2" advise="1">
        <values cols="10">
          <value t="str">
            <val>7.74</val>
          </value>
          <value>
            <val>53.4</val>
          </value>
          <value>
            <val>0.56000000000000005</val>
          </value>
          <value t="str">
            <val>88.24%</val>
          </value>
          <value t="str">
            <val>90.8萬</val>
          </value>
          <value t="str">
            <val>+17.94</val>
          </value>
          <value t="str">
            <val>+4.09</val>
          </value>
          <value t="str">
            <val>+1.33</val>
          </value>
          <value>
            <val>0</val>
          </value>
          <value>
            <val>0</val>
          </value>
        </values>
      </ddeItem>
      <ddeItem name="61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1.51</val>
          </value>
          <value t="str">
            <val>0.59</val>
          </value>
          <value t="str">
            <val>業強</val>
          </value>
          <value t="str">
            <val>上櫃電子零組件</val>
          </value>
          <value t="str">
            <val>台灣最大熱導管供應商</val>
          </value>
        </values>
      </ddeItem>
      <ddeItem name="6124.TW-CName,InvestorConferenceDate,DateofMeetingofShareHolders,TradingDate" advise="1">
        <values cols="4">
          <value t="str">
            <val>業強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6124.TW-ID,Name,MarketValue,Capital,NetIncomeGrowthRate,OperIncomeGrowthRate,FinancialStatementsTime,TFXRatio,MonthlyNetSalesYoY,RevenueMonth" advise="1">
        <values cols="10">
          <value t="str">
            <val>6124</val>
          </value>
          <value t="str">
            <val>業強</val>
          </value>
          <value t="str">
            <val>43.6</val>
          </value>
          <value t="str">
            <val>18.25</val>
          </value>
          <value t="str">
            <val>66.01</val>
          </value>
          <value t="str">
            <val>-17.67</val>
          </value>
          <value t="str">
            <val>2022/03</val>
          </value>
          <value t="str">
            <val>-13.27</val>
          </value>
          <value t="str">
            <val>-27.36</val>
          </value>
          <value t="str">
            <val>2022/06</val>
          </value>
        </values>
      </ddeItem>
      <ddeItem name="6124.TW-OperatingProfitRatio,Price,PriceChangeRatio,InOutRatioNumber,Value,YearReturn,MonthReturn,WeekReturn,FinanceBalanceDif,ChipsField2" advise="1">
        <values cols="10">
          <value t="str">
            <val>11.86</val>
          </value>
          <value>
            <val>23.9</val>
          </value>
          <value>
            <val>0</val>
          </value>
          <value t="str">
            <val>50.00%</val>
          </value>
          <value t="str">
            <val>4.75萬</val>
          </value>
          <value t="str">
            <val>-11.48</val>
          </value>
          <value t="str">
            <val>-2.25</val>
          </value>
          <value t="str">
            <val>+0.21</val>
          </value>
          <value>
            <val>4</val>
          </value>
          <value>
            <val>0</val>
          </value>
        </values>
      </ddeItem>
      <ddeItem name="6125.TW-ChipsField3,ChipsField1,ChipsField25,CashAndStockDividend,CashDividendYieldRate,ProfitFourSeason,ProfitSingle,CName,ExchangeIndustry,CompanyPos" advise="1">
        <values cols="10">
          <value>
            <val>-28</val>
          </value>
          <value>
            <val>-2226</val>
          </value>
          <value t="str">
            <val>2022/07/12</val>
          </value>
          <value t="str">
            <val>1.61</val>
          </value>
          <value>
            <val>5.51</val>
          </value>
          <value t="str">
            <val>-0.35</val>
          </value>
          <value t="str">
            <val>0.50</val>
          </value>
          <value t="str">
            <val>廣運</val>
          </value>
          <value t="str">
            <val>上櫃光電</val>
          </value>
          <value t="str">
            <val>經營自動化物流系統及太陽能電池等業務</val>
          </value>
        </values>
      </ddeItem>
      <ddeItem name="6125.TW-CName,InvestorConferenceDate,DateofMeetingofShareHolders,TradingDate" advise="1">
        <values cols="4">
          <value t="str">
            <val>廣運</val>
          </value>
          <value t="str">
            <val>2021/11/17</val>
          </value>
          <value t="str">
            <val>2022/06/24</val>
          </value>
          <value t="str">
            <val>2022/08/01</val>
          </value>
        </values>
      </ddeItem>
      <ddeItem name="6125.TW-ID,Name,MarketValue,Capital,NetIncomeGrowthRate,OperIncomeGrowthRate,FinancialStatementsTime,TFXRatio,MonthlyNetSalesYoY,RevenueMonth" advise="1">
        <values cols="10">
          <value t="str">
            <val>6125</val>
          </value>
          <value t="str">
            <val>廣運</val>
          </value>
          <value t="str">
            <val>72.7</val>
          </value>
          <value t="str">
            <val>24.90</val>
          </value>
          <value t="str">
            <val>138.82</val>
          </value>
          <value t="str">
            <val>78.28</val>
          </value>
          <value t="str">
            <val>2022/03</val>
          </value>
          <value t="str">
            <val>11.37</val>
          </value>
          <value t="str">
            <val>50.65</val>
          </value>
          <value t="str">
            <val>2022/06</val>
          </value>
        </values>
      </ddeItem>
      <ddeItem name="6125.TW-OperatingProfitRatio,Price,PriceChangeRatio,InOutRatioNumber,Value,YearReturn,MonthReturn,WeekReturn,FinanceBalanceDif,ChipsField2" advise="1">
        <values cols="10">
          <value t="str">
            <val>-2.71</val>
          </value>
          <value>
            <val>29.2</val>
          </value>
          <value>
            <val>-3.79</val>
          </value>
          <value t="str">
            <val>28.38%</val>
          </value>
          <value t="str">
            <val>1.42億</val>
          </value>
          <value t="str">
            <val>+21.96</val>
          </value>
          <value t="str">
            <val>+8.51</val>
          </value>
          <value t="str">
            <val>-1.35</val>
          </value>
          <value>
            <val>794</val>
          </value>
          <value>
            <val>200</val>
          </value>
        </values>
      </ddeItem>
      <ddeItem name="61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76</val>
          </value>
          <value t="str">
            <val>2022/07/20</val>
          </value>
          <value t="str">
            <val>1.33</val>
          </value>
          <value>
            <val>5.95</val>
          </value>
          <value t="str">
            <val>2.02</val>
          </value>
          <value t="str">
            <val>0.46</val>
          </value>
          <value t="str">
            <val>信音</val>
          </value>
          <value t="str">
            <val>上櫃電子零組件</val>
          </value>
          <value t="str">
            <val>NB電源插頭及手持式裝置連接器廠</val>
          </value>
        </values>
      </ddeItem>
      <ddeItem name="6126.TW-CName,InvestorConferenceDate,DateofMeetingofShareHolders,TradingDate" advise="1">
        <values cols="4">
          <value t="str">
            <val>信音</val>
          </value>
          <value t="str">
            <val>2021/11/15</val>
          </value>
          <value t="str">
            <val>2022/06/16</val>
          </value>
          <value t="str">
            <val>2022/08/01</val>
          </value>
        </values>
      </ddeItem>
      <ddeItem name="6126.TW-ID,Name,MarketValue,Capital,NetIncomeGrowthRate,OperIncomeGrowthRate,FinancialStatementsTime,TFXRatio,MonthlyNetSalesYoY,RevenueMonth" advise="1">
        <values cols="10">
          <value t="str">
            <val>6126</val>
          </value>
          <value t="str">
            <val>信音</val>
          </value>
          <value t="str">
            <val>27.4</val>
          </value>
          <value t="str">
            <val>12.28</val>
          </value>
          <value t="str">
            <val>6.52</val>
          </value>
          <value t="str">
            <val>-4.42</val>
          </value>
          <value t="str">
            <val>2022/03</val>
          </value>
          <value t="str">
            <val>17.36</val>
          </value>
          <value t="str">
            <val>6.08</val>
          </value>
          <value t="str">
            <val>2022/06</val>
          </value>
        </values>
      </ddeItem>
      <ddeItem name="6126.TW-OperatingProfitRatio,Price,PriceChangeRatio,InOutRatioNumber,Value,YearReturn,MonthReturn,WeekReturn,FinanceBalanceDif,ChipsField2" advise="1">
        <values cols="10">
          <value t="str">
            <val>9.32</val>
          </value>
          <value>
            <val>22.35</val>
          </value>
          <value>
            <val>3.71</val>
          </value>
          <value t="str">
            <val>65.10%</val>
          </value>
          <value t="str">
            <val>1725萬</val>
          </value>
          <value t="str">
            <val>+5.29</val>
          </value>
          <value t="str">
            <val>+24.48</val>
          </value>
          <value t="str">
            <val>+10.92</val>
          </value>
          <value>
            <val>30</val>
          </value>
          <value>
            <val>0</val>
          </value>
        </values>
      </ddeItem>
      <ddeItem name="61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42</val>
          </value>
          <value t="str">
            <val>--</val>
          </value>
          <value t="str">
            <val>0.00</val>
          </value>
          <value>
            <val>0</val>
          </value>
          <value t="str">
            <val>0.41</val>
          </value>
          <value t="str">
            <val>0.03</val>
          </value>
          <value t="str">
            <val>九豪</val>
          </value>
          <value t="str">
            <val>上櫃電子零組件</val>
          </value>
          <value t="str">
            <val>全球晶片電阻陶瓷基板製造大廠</val>
          </value>
        </values>
      </ddeItem>
      <ddeItem name="6127.TW-CName,InvestorConferenceDate,DateofMeetingofShareHolders,TradingDate" advise="1">
        <values cols="4">
          <value t="str">
            <val>九豪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6127.TW-ID,Name,MarketValue,Capital,NetIncomeGrowthRate,OperIncomeGrowthRate,FinancialStatementsTime,TFXRatio,MonthlyNetSalesYoY,RevenueMonth" advise="1">
        <values cols="10">
          <value t="str">
            <val>6127</val>
          </value>
          <value t="str">
            <val>九豪</val>
          </value>
          <value t="str">
            <val>19.6</val>
          </value>
          <value t="str">
            <val>10.81</val>
          </value>
          <value t="str">
            <val>-70.66</val>
          </value>
          <value t="str">
            <val>-32.60</val>
          </value>
          <value t="str">
            <val>2022/03</val>
          </value>
          <value t="str">
            <val>8.74</val>
          </value>
          <value t="str">
            <val>-26.26</val>
          </value>
          <value t="str">
            <val>2022/06</val>
          </value>
        </values>
      </ddeItem>
      <ddeItem name="6127.TW-OperatingProfitRatio,Price,PriceChangeRatio,InOutRatioNumber,Value,YearReturn,MonthReturn,WeekReturn,FinanceBalanceDif,ChipsField2" advise="1">
        <values cols="10">
          <value t="str">
            <val>5.21</val>
          </value>
          <value>
            <val>18.100000000000001</val>
          </value>
          <value>
            <val>0.84</val>
          </value>
          <value t="str">
            <val>39.73%</val>
          </value>
          <value t="str">
            <val>263萬</val>
          </value>
          <value t="str">
            <val>-39.87</val>
          </value>
          <value t="str">
            <val>+11.38</val>
          </value>
          <value t="str">
            <val>-0.28</val>
          </value>
          <value>
            <val>-21</val>
          </value>
          <value>
            <val>0</val>
          </value>
        </values>
      </ddeItem>
      <ddeItem name="6129.TW-ChipsField3,ChipsField1,ChipsField25,CashAndStockDividend,CashDividendYieldRate,ProfitFourSeason,ProfitSingle,CName,ExchangeIndustry,CompanyPos" advise="1">
        <values cols="10">
          <value>
            <val>414</val>
          </value>
          <value>
            <val>-612</val>
          </value>
          <value t="str">
            <val>--</val>
          </value>
          <value t="str">
            <val>0.00</val>
          </value>
          <value>
            <val>0</val>
          </value>
          <value t="str">
            <val>0.76</val>
          </value>
          <value t="str">
            <val>0.22</val>
          </value>
          <value t="str">
            <val>普誠</val>
          </value>
          <value t="str">
            <val>上櫃半導體</val>
          </value>
          <value t="str">
            <val>台灣消費性IC設計廠商，及車用IC設計公司</val>
          </value>
        </values>
      </ddeItem>
      <ddeItem name="6129.TW-CName,InvestorConferenceDate,DateofMeetingofShareHolders,TradingDate" advise="1">
        <values cols="4">
          <value t="str">
            <val>普誠</val>
          </value>
          <value t="str">
            <val>2022/03/10</val>
          </value>
          <value t="str">
            <val>2022/06/16</val>
          </value>
          <value t="str">
            <val>2022/08/01</val>
          </value>
        </values>
      </ddeItem>
      <ddeItem name="6129.TW-ID,Name,MarketValue,Capital,NetIncomeGrowthRate,OperIncomeGrowthRate,FinancialStatementsTime,TFXRatio,MonthlyNetSalesYoY,RevenueMonth" advise="1">
        <values cols="10">
          <value t="str">
            <val>6129</val>
          </value>
          <value t="str">
            <val>普誠</val>
          </value>
          <value t="str">
            <val>65.6</val>
          </value>
          <value t="str">
            <val>18.09</val>
          </value>
          <value t="str">
            <val>77.49</val>
          </value>
          <value t="str">
            <val>67.78</val>
          </value>
          <value t="str">
            <val>2022/03</val>
          </value>
          <value t="str">
            <val>-6.70</val>
          </value>
          <value t="str">
            <val>7.47</val>
          </value>
          <value t="str">
            <val>2022/06</val>
          </value>
        </values>
      </ddeItem>
      <ddeItem name="6129.TW-OperatingProfitRatio,Price,PriceChangeRatio,InOutRatioNumber,Value,YearReturn,MonthReturn,WeekReturn,FinanceBalanceDif,ChipsField2" advise="1">
        <values cols="10">
          <value t="str">
            <val>6.85</val>
          </value>
          <value>
            <val>36.25</val>
          </value>
          <value>
            <val>0.69</val>
          </value>
          <value t="str">
            <val>49.00%</val>
          </value>
          <value t="str">
            <val>2.98億</val>
          </value>
          <value t="str">
            <val>-4.48</val>
          </value>
          <value t="str">
            <val>+22.88</val>
          </value>
          <value t="str">
            <val>+6.46</val>
          </value>
          <value>
            <val>1752</val>
          </value>
          <value>
            <val>0</val>
          </value>
        </values>
      </ddeItem>
      <ddeItem name="61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0.00</val>
          </value>
          <value>
            <val>0</val>
          </value>
          <value t="str">
            <val>0.75</val>
          </value>
          <value t="str">
            <val>-0.33</val>
          </value>
          <value t="str">
            <val>星寶國際</val>
          </value>
          <value t="str">
            <val>上櫃生技醫療</val>
          </value>
          <value t="str">
            <val>從事醫美事業的醫藥採購及管理顧問</val>
          </value>
        </values>
      </ddeItem>
      <ddeItem name="6130.TW-CName,InvestorConferenceDate,DateofMeetingofShareHolders,TradingDate" advise="1">
        <values cols="4">
          <value t="str">
            <val>星寶國際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6130.TW-ID,Name,MarketValue,Capital,NetIncomeGrowthRate,OperIncomeGrowthRate,FinancialStatementsTime,TFXRatio,MonthlyNetSalesYoY,RevenueMonth" advise="1">
        <values cols="10">
          <value t="str">
            <val>6130</val>
          </value>
          <value t="str">
            <val>星寶國際</val>
          </value>
          <value t="str">
            <val>13.5</val>
          </value>
          <value t="str">
            <val>4.43</val>
          </value>
          <value t="str">
            <val>-112.21</val>
          </value>
          <value t="str">
            <val>-164.42</val>
          </value>
          <value t="str">
            <val>2022/03</val>
          </value>
          <value t="str">
            <val>9.13</val>
          </value>
          <value t="str">
            <val>-38.36</val>
          </value>
          <value t="str">
            <val>2022/06</val>
          </value>
        </values>
      </ddeItem>
      <ddeItem name="6130.TW-OperatingProfitRatio,Price,PriceChangeRatio,InOutRatioNumber,Value,YearReturn,MonthReturn,WeekReturn,FinanceBalanceDif,ChipsField2" advise="1">
        <values cols="10">
          <value t="str">
            <val>-24.45</val>
          </value>
          <value>
            <val>30.45</val>
          </value>
          <value>
            <val>-5.73</val>
          </value>
          <value t="str">
            <val>19.19%</val>
          </value>
          <value t="str">
            <val>306萬</val>
          </value>
          <value t="str">
            <val>+5.91</val>
          </value>
          <value t="str">
            <val>-30.80</val>
          </value>
          <value t="str">
            <val>-13.12</val>
          </value>
          <value>
            <val>0</val>
          </value>
          <value>
            <val>0</val>
          </value>
        </values>
      </ddeItem>
      <ddeItem name="61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</val>
          </value>
          <value t="str">
            <val>2022/07/12</val>
          </value>
          <value t="str">
            <val>0.10</val>
          </value>
          <value>
            <val>0.41</val>
          </value>
          <value t="str">
            <val>-0.78</val>
          </value>
          <value t="str">
            <val>-0.17</val>
          </value>
          <value t="str">
            <val>萬旭</val>
          </value>
          <value t="str">
            <val>上櫃電子零組件</val>
          </value>
          <value t="str">
            <val>主要經營極細銅軸線、天線、信號線等線材業者</val>
          </value>
        </values>
      </ddeItem>
      <ddeItem name="6134.TW-CName,InvestorConferenceDate,DateofMeetingofShareHolders,TradingDate" advise="1">
        <values cols="4">
          <value t="str">
            <val>萬旭</val>
          </value>
          <value t="str">
            <val>2022/05/24</val>
          </value>
          <value t="str">
            <val>2022/06/10</val>
          </value>
          <value t="str">
            <val>2022/08/01</val>
          </value>
        </values>
      </ddeItem>
      <ddeItem name="6134.TW-ID,Name,MarketValue,Capital,NetIncomeGrowthRate,OperIncomeGrowthRate,FinancialStatementsTime,TFXRatio,MonthlyNetSalesYoY,RevenueMonth" advise="1">
        <values cols="10">
          <value t="str">
            <val>6134</val>
          </value>
          <value t="str">
            <val>萬旭</val>
          </value>
          <value t="str">
            <val>17.8</val>
          </value>
          <value t="str">
            <val>7.26</val>
          </value>
          <value t="str">
            <val>-474.73</val>
          </value>
          <value t="str">
            <val>-4377.22</val>
          </value>
          <value t="str">
            <val>2022/03</val>
          </value>
          <value t="str">
            <val>23.96</val>
          </value>
          <value t="str">
            <val>2.81</val>
          </value>
          <value t="str">
            <val>2022/06</val>
          </value>
        </values>
      </ddeItem>
      <ddeItem name="6134.TW-OperatingProfitRatio,Price,PriceChangeRatio,InOutRatioNumber,Value,YearReturn,MonthReturn,WeekReturn,FinanceBalanceDif,ChipsField2" advise="1">
        <values cols="10">
          <value t="str">
            <val>-11.32</val>
          </value>
          <value>
            <val>24.55</val>
          </value>
          <value>
            <val>0.41</val>
          </value>
          <value t="str">
            <val>60.09%</val>
          </value>
          <value t="str">
            <val>576萬</val>
          </value>
          <value t="str">
            <val>+35.12</val>
          </value>
          <value t="str">
            <val>+7.44</val>
          </value>
          <value t="str">
            <val>+0.82</val>
          </value>
          <value>
            <val>3</val>
          </value>
          <value>
            <val>0</val>
          </value>
        </values>
      </ddeItem>
      <ddeItem name="6138.TW-ChipsField3,ChipsField1,ChipsField25,CashAndStockDividend,CashDividendYieldRate,ProfitFourSeason,ProfitSingle,CName,ExchangeIndustry,CompanyPos" advise="1">
        <values cols="10">
          <value>
            <val>11</val>
          </value>
          <value>
            <val>217</val>
          </value>
          <value t="str">
            <val>2022/07/28</val>
          </value>
          <value t="str">
            <val>9.02</val>
          </value>
          <value>
            <val>7.19</val>
          </value>
          <value t="str">
            <val>14.88</val>
          </value>
          <value t="str">
            <val>4.27</val>
          </value>
          <value t="str">
            <val>茂達</val>
          </value>
          <value t="str">
            <val>上櫃半導體</val>
          </value>
          <value t="str">
            <val>以主機板客戶為主的電源管理IC大廠</val>
          </value>
        </values>
      </ddeItem>
      <ddeItem name="6138.TW-CName,InvestorConferenceDate,DateofMeetingofShareHolders,TradingDate" advise="1">
        <values cols="4">
          <value t="str">
            <val>茂達</val>
          </value>
          <value t="str">
            <val>2021/03/24</val>
          </value>
          <value t="str">
            <val>2022/06/23</val>
          </value>
          <value t="str">
            <val>2022/08/01</val>
          </value>
        </values>
      </ddeItem>
      <ddeItem name="6138.TW-ID,Name,MarketValue,Capital,NetIncomeGrowthRate,OperIncomeGrowthRate,FinancialStatementsTime,TFXRatio,MonthlyNetSalesYoY,RevenueMonth" advise="1">
        <values cols="10">
          <value t="str">
            <val>6138</val>
          </value>
          <value t="str">
            <val>茂達</val>
          </value>
          <value t="str">
            <val>93.0</val>
          </value>
          <value t="str">
            <val>7.41</val>
          </value>
          <value t="str">
            <val>99.84</val>
          </value>
          <value t="str">
            <val>98.44</val>
          </value>
          <value t="str">
            <val>2022/03</val>
          </value>
          <value t="str">
            <val>-17.56</val>
          </value>
          <value t="str">
            <val>15.56</val>
          </value>
          <value t="str">
            <val>2022/06</val>
          </value>
        </values>
      </ddeItem>
      <ddeItem name="6138.TW-OperatingProfitRatio,Price,PriceChangeRatio,InOutRatioNumber,Value,YearReturn,MonthReturn,WeekReturn,FinanceBalanceDif,ChipsField2" advise="1">
        <values cols="10">
          <value t="str">
            <val>23.65</val>
          </value>
          <value>
            <val>125.5</val>
          </value>
          <value>
            <val>0</val>
          </value>
          <value t="str">
            <val>33.04%</val>
          </value>
          <value t="str">
            <val>7245萬</val>
          </value>
          <value t="str">
            <val>-22.68</val>
          </value>
          <value t="str">
            <val>-3.32</val>
          </value>
          <value t="str">
            <val>-5.70</val>
          </value>
          <value>
            <val>-34</val>
          </value>
          <value>
            <val>1</val>
          </value>
        </values>
      </ddeItem>
      <ddeItem name="61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--</val>
          </value>
          <value t="str">
            <val>1.00</val>
          </value>
          <value>
            <val>6.17</val>
          </value>
          <value t="str">
            <val>0.69</val>
          </value>
          <value t="str">
            <val>0.02</val>
          </value>
          <value t="str">
            <val>訊達</val>
          </value>
          <value t="str">
            <val>上櫃資訊服務</val>
          </value>
          <value t="str">
            <val>以金融、資訊、媒體、半導體產業為主的系統整合商</val>
          </value>
        </values>
      </ddeItem>
      <ddeItem name="6140.TW-CName,InvestorConferenceDate,DateofMeetingofShareHolders,TradingDate" advise="1">
        <values cols="4">
          <value t="str">
            <val>訊達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6140.TW-ID,Name,MarketValue,Capital,NetIncomeGrowthRate,OperIncomeGrowthRate,FinancialStatementsTime,TFXRatio,MonthlyNetSalesYoY,RevenueMonth" advise="1">
        <values cols="10">
          <value t="str">
            <val>6140</val>
          </value>
          <value t="str">
            <val>訊達</val>
          </value>
          <value t="str">
            <val>6.2</val>
          </value>
          <value t="str">
            <val>3.84</val>
          </value>
          <value t="str">
            <val>87.58</val>
          </value>
          <value t="str">
            <val>-523.51</val>
          </value>
          <value t="str">
            <val>2022/03</val>
          </value>
          <value t="str">
            <val>-11.62</val>
          </value>
          <value t="str">
            <val>-12.04</val>
          </value>
          <value t="str">
            <val>2022/06</val>
          </value>
        </values>
      </ddeItem>
      <ddeItem name="6140.TW-OperatingProfitRatio,Price,PriceChangeRatio,InOutRatioNumber,Value,YearReturn,MonthReturn,WeekReturn,FinanceBalanceDif,ChipsField2" advise="1">
        <values cols="10">
          <value t="str">
            <val>-1.67</val>
          </value>
          <value>
            <val>16.2</val>
          </value>
          <value>
            <val>0.93</val>
          </value>
          <value t="str">
            <val>36.77%</val>
          </value>
          <value t="str">
            <val>254萬</val>
          </value>
          <value t="str">
            <val>+11.72</val>
          </value>
          <value t="str">
            <val>-16.71</val>
          </value>
          <value t="str">
            <val>+0.31</val>
          </value>
          <value>
            <val>3</val>
          </value>
          <value>
            <val>0</val>
          </value>
        </values>
      </ddeItem>
      <ddeItem name="6143.TW-ChipsField3,ChipsField1,ChipsField25,CashAndStockDividend,CashDividendYieldRate,ProfitFourSeason,ProfitSingle,CName,ExchangeIndustry,CompanyPos" advise="1">
        <values cols="10">
          <value>
            <val>-14</val>
          </value>
          <value>
            <val>225</val>
          </value>
          <value t="str">
            <val>2022/08/11</val>
          </value>
          <value t="str">
            <val>2.50</val>
          </value>
          <value>
            <val>5</val>
          </value>
          <value t="str">
            <val>3.05</val>
          </value>
          <value t="str">
            <val>0.73</val>
          </value>
          <value t="str">
            <val>振曜</val>
          </value>
          <value t="str">
            <val>上櫃通信網路</val>
          </value>
          <value t="str">
            <val>台灣網路設備與電子書組裝廠</val>
          </value>
        </values>
      </ddeItem>
      <ddeItem name="6143.TW-CName,InvestorConferenceDate,DateofMeetingofShareHolders,TradingDate" advise="1">
        <values cols="4">
          <value t="str">
            <val>振曜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6143.TW-ID,Name,MarketValue,Capital,NetIncomeGrowthRate,OperIncomeGrowthRate,FinancialStatementsTime,TFXRatio,MonthlyNetSalesYoY,RevenueMonth" advise="1">
        <values cols="10">
          <value t="str">
            <val>6143</val>
          </value>
          <value t="str">
            <val>振曜</val>
          </value>
          <value t="str">
            <val>41.5</val>
          </value>
          <value t="str">
            <val>8.30</val>
          </value>
          <value t="str">
            <val>11.00</val>
          </value>
          <value t="str">
            <val>-42.62</val>
          </value>
          <value t="str">
            <val>2022/03</val>
          </value>
          <value t="str">
            <val>17.92</val>
          </value>
          <value t="str">
            <val>5.61</val>
          </value>
          <value t="str">
            <val>2022/06</val>
          </value>
        </values>
      </ddeItem>
      <ddeItem name="6143.TW-OperatingProfitRatio,Price,PriceChangeRatio,InOutRatioNumber,Value,YearReturn,MonthReturn,WeekReturn,FinanceBalanceDif,ChipsField2" advise="1">
        <values cols="10">
          <value t="str">
            <val>3.93</val>
          </value>
          <value>
            <val>50</val>
          </value>
          <value>
            <val>-1.77</val>
          </value>
          <value t="str">
            <val>36.24%</val>
          </value>
          <value t="str">
            <val>4198萬</val>
          </value>
          <value t="str">
            <val>-16.81</val>
          </value>
          <value t="str">
            <val>-10.23</val>
          </value>
          <value t="str">
            <val>-0.40</val>
          </value>
          <value>
            <val>-125</val>
          </value>
          <value>
            <val>-50</val>
          </value>
        </values>
      </ddeItem>
      <ddeItem name="61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-0.75</val>
          </value>
          <value t="str">
            <val>0.00</val>
          </value>
          <value t="str">
            <val>得利影</val>
          </value>
          <value t="str">
            <val>上櫃文化創意</val>
          </value>
          <value t="str">
            <val>代理美商八大片商及獨立片商DVD及BD在台發行之公司</val>
          </value>
        </values>
      </ddeItem>
      <ddeItem name="6144.TW-CName,InvestorConferenceDate,DateofMeetingofShareHolders,TradingDate" advise="1">
        <values cols="4">
          <value t="str">
            <val>得利影</val>
          </value>
          <value t="str">
            <val>2021/12/22</val>
          </value>
          <value t="str">
            <val>2022/06/22</val>
          </value>
          <value t="str">
            <val>2022/08/01</val>
          </value>
        </values>
      </ddeItem>
      <ddeItem name="6144.TW-ID,Name,MarketValue,Capital,NetIncomeGrowthRate,OperIncomeGrowthRate,FinancialStatementsTime,TFXRatio,MonthlyNetSalesYoY,RevenueMonth" advise="1">
        <values cols="10">
          <value t="str">
            <val>6144</val>
          </value>
          <value t="str">
            <val>得利影</val>
          </value>
          <value t="str">
            <val>5.2</val>
          </value>
          <value t="str">
            <val>3.83</val>
          </value>
          <value t="str">
            <val>107.96</val>
          </value>
          <value t="str">
            <val>86.80</val>
          </value>
          <value t="str">
            <val>2022/03</val>
          </value>
          <value t="str">
            <val>25.56</val>
          </value>
          <value t="str">
            <val>29.48</val>
          </value>
          <value t="str">
            <val>2022/06</val>
          </value>
        </values>
      </ddeItem>
      <ddeItem name="6144.TW-OperatingProfitRatio,Price,PriceChangeRatio,InOutRatioNumber,Value,YearReturn,MonthReturn,WeekReturn,FinanceBalanceDif,ChipsField2" advise="1">
        <values cols="10">
          <value t="str">
            <val>-0.79</val>
          </value>
          <value>
            <val>13.7</val>
          </value>
          <value>
            <val>-2.14</val>
          </value>
          <value t="str">
            <val>0.00%</val>
          </value>
          <value t="str">
            <val>1.37萬</val>
          </value>
          <value t="str">
            <val>-13.29</val>
          </value>
          <value t="str">
            <val>-8.05</val>
          </value>
          <value t="str">
            <val>-5.52</val>
          </value>
          <value>
            <val>0</val>
          </value>
          <value>
            <val>0</val>
          </value>
        </values>
      </ddeItem>
      <ddeItem name="6146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-3</val>
          </value>
          <value t="str">
            <val>2022/06/28</val>
          </value>
          <value t="str">
            <val>9.00</val>
          </value>
          <value>
            <val>4.37</val>
          </value>
          <value t="str">
            <val>12.30</val>
          </value>
          <value t="str">
            <val>3.72</val>
          </value>
          <value t="str">
            <val>耕興</val>
          </value>
          <value t="str">
            <val>上櫃其他電子</val>
          </value>
          <value t="str">
            <val>國內最具規模之手機EMC/Safety專業認證實驗室</val>
          </value>
        </values>
      </ddeItem>
      <ddeItem name="6146.TW-CName,InvestorConferenceDate,DateofMeetingofShareHolders,TradingDate" advise="1">
        <values cols="4">
          <value t="str">
            <val>耕興</val>
          </value>
          <value t="str">
            <val>2022/05/26</val>
          </value>
          <value t="str">
            <val>2022/06/10</val>
          </value>
          <value t="str">
            <val>2022/08/01</val>
          </value>
        </values>
      </ddeItem>
      <ddeItem name="6146.TW-ID,Name,MarketValue,Capital,NetIncomeGrowthRate,OperIncomeGrowthRate,FinancialStatementsTime,TFXRatio,MonthlyNetSalesYoY,RevenueMonth" advise="1">
        <values cols="10">
          <value t="str">
            <val>6146</val>
          </value>
          <value t="str">
            <val>耕興</val>
          </value>
          <value t="str">
            <val>199.9</val>
          </value>
          <value t="str">
            <val>9.70</val>
          </value>
          <value t="str">
            <val>48.60</val>
          </value>
          <value t="str">
            <val>44.43</val>
          </value>
          <value t="str">
            <val>2022/03</val>
          </value>
          <value t="str">
            <val>1.63</val>
          </value>
          <value t="str">
            <val>20.84</val>
          </value>
          <value t="str">
            <val>2022/06</val>
          </value>
        </values>
      </ddeItem>
      <ddeItem name="6146.TW-OperatingProfitRatio,Price,PriceChangeRatio,InOutRatioNumber,Value,YearReturn,MonthReturn,WeekReturn,FinanceBalanceDif,ChipsField2" advise="1">
        <values cols="10">
          <value t="str">
            <val>36.31</val>
          </value>
          <value>
            <val>206</val>
          </value>
          <value>
            <val>0.24</val>
          </value>
          <value t="str">
            <val>27.47%</val>
          </value>
          <value t="str">
            <val>9614萬</val>
          </value>
          <value t="str">
            <val>-3.59</val>
          </value>
          <value t="str">
            <val>+15.73</val>
          </value>
          <value t="str">
            <val>+5.37</val>
          </value>
          <value>
            <val>158</val>
          </value>
          <value>
            <val>-40</val>
          </value>
        </values>
      </ddeItem>
      <ddeItem name="6147.TW-ChipsField3,ChipsField1,ChipsField25,CashAndStockDividend,CashDividendYieldRate,ProfitFourSeason,ProfitSingle,CName,ExchangeIndustry,CompanyPos" advise="1">
        <values cols="10">
          <value>
            <val>91</val>
          </value>
          <value>
            <val>-165</val>
          </value>
          <value t="str">
            <val>2022/07/20</val>
          </value>
          <value t="str">
            <val>6.00</val>
          </value>
          <value>
            <val>10.79</val>
          </value>
          <value t="str">
            <val>9.87</val>
          </value>
          <value t="str">
            <val>2.42</val>
          </value>
          <value t="str">
            <val>頎邦</val>
          </value>
          <value t="str">
            <val>上櫃半導體</val>
          </value>
          <value t="str">
            <val>全球最大LCD驅動IC封裝及金凸塊供應商</val>
          </value>
        </values>
      </ddeItem>
      <ddeItem name="6147.TW-CName,InvestorConferenceDate,DateofMeetingofShareHolders,TradingDate" advise="1">
        <values cols="4">
          <value t="str">
            <val>頎邦</val>
          </value>
          <value t="str">
            <val>2021/01/06</val>
          </value>
          <value t="str">
            <val>2022/05/27</val>
          </value>
          <value t="str">
            <val>2022/08/01</val>
          </value>
        </values>
      </ddeItem>
      <ddeItem name="6147.TW-ID,Name,MarketValue,Capital,NetIncomeGrowthRate,OperIncomeGrowthRate,FinancialStatementsTime,TFXRatio,MonthlyNetSalesYoY,RevenueMonth" advise="1">
        <values cols="10">
          <value t="str">
            <val>6147</val>
          </value>
          <value t="str">
            <val>頎邦</val>
          </value>
          <value t="str">
            <val>410.7</val>
          </value>
          <value t="str">
            <val>73.87</val>
          </value>
          <value t="str">
            <val>31.98</val>
          </value>
          <value t="str">
            <val>2.78</val>
          </value>
          <value t="str">
            <val>2022/06</val>
          </value>
          <value t="str">
            <val>-6.05</val>
          </value>
          <value t="str">
            <val>-9.92</val>
          </value>
          <value t="str">
            <val>2022/06</val>
          </value>
        </values>
      </ddeItem>
      <ddeItem name="6147.TW-OperatingProfitRatio,Price,PriceChangeRatio,InOutRatioNumber,Value,YearReturn,MonthReturn,WeekReturn,FinanceBalanceDif,ChipsField2" advise="1">
        <values cols="10">
          <value t="str">
            <val>25.27</val>
          </value>
          <value>
            <val>55.6</val>
          </value>
          <value>
            <val>1.65</val>
          </value>
          <value t="str">
            <val>47.02%</val>
          </value>
          <value t="str">
            <val>2.20億</val>
          </value>
          <value t="str">
            <val>-17.61</val>
          </value>
          <value t="str">
            <val>+7.46</val>
          </value>
          <value t="str">
            <val>+0.36</val>
          </value>
          <value>
            <val>180</val>
          </value>
          <value>
            <val>74</val>
          </value>
        </values>
      </ddeItem>
      <ddeItem name="614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-13</val>
          </value>
          <value t="str">
            <val>2022/04/07</val>
          </value>
          <value t="str">
            <val>1.00</val>
          </value>
          <value>
            <val>8.06</val>
          </value>
          <value t="str">
            <val>1.09</val>
          </value>
          <value t="str">
            <val>0.12</val>
          </value>
          <value t="str">
            <val>驊宏資</val>
          </value>
          <value t="str">
            <val>上櫃資訊服務</val>
          </value>
          <value t="str">
            <val>金融及公共事業SI廠</val>
          </value>
        </values>
      </ddeItem>
      <ddeItem name="6148.TW-CName,InvestorConferenceDate,DateofMeetingofShareHolders,TradingDate" advise="1">
        <values cols="4">
          <value t="str">
            <val>驊宏資</val>
          </value>
          <value t="str">
            <val>2022/04/29</val>
          </value>
          <value t="str">
            <val>2022/06/28</val>
          </value>
          <value t="str">
            <val>2022/08/01</val>
          </value>
        </values>
      </ddeItem>
      <ddeItem name="6148.TW-ID,Name,MarketValue,Capital,NetIncomeGrowthRate,OperIncomeGrowthRate,FinancialStatementsTime,TFXRatio,MonthlyNetSalesYoY,RevenueMonth" advise="1">
        <values cols="10">
          <value t="str">
            <val>6148</val>
          </value>
          <value t="str">
            <val>驊宏資</val>
          </value>
          <value t="str">
            <val>5.8</val>
          </value>
          <value t="str">
            <val>4.66</val>
          </value>
          <value t="str">
            <val>652.13</val>
          </value>
          <value t="str">
            <val>794.69</val>
          </value>
          <value t="str">
            <val>2022/03</val>
          </value>
          <value t="str">
            <val>171.21</val>
          </value>
          <value t="str">
            <val>106.41</val>
          </value>
          <value t="str">
            <val>2022/06</val>
          </value>
        </values>
      </ddeItem>
      <ddeItem name="6148.TW-OperatingProfitRatio,Price,PriceChangeRatio,InOutRatioNumber,Value,YearReturn,MonthReturn,WeekReturn,FinanceBalanceDif,ChipsField2" advise="1">
        <values cols="10">
          <value t="str">
            <val>5.04</val>
          </value>
          <value>
            <val>12.4</val>
          </value>
          <value>
            <val>0</val>
          </value>
          <value t="str">
            <val>50.00%</val>
          </value>
          <value t="str">
            <val>21.0萬</val>
          </value>
          <value t="str">
            <val>-1.31</val>
          </value>
          <value t="str">
            <val>+10.22</val>
          </value>
          <value t="str">
            <val>0.00</val>
          </value>
          <value>
            <val>-8</val>
          </value>
          <value>
            <val>0</val>
          </value>
        </values>
      </ddeItem>
      <ddeItem name="6150.TW-ChipsField3,ChipsField1,ChipsField25,CashAndStockDividend,CashDividendYieldRate,ProfitFourSeason,ProfitSingle,CName,ExchangeIndustry,CompanyPos" advise="1">
        <values cols="10">
          <value>
            <val>4</val>
          </value>
          <value>
            <val>-315</val>
          </value>
          <value t="str">
            <val>2022/07/13</val>
          </value>
          <value t="str">
            <val>11.00</val>
          </value>
          <value>
            <val>17.05</val>
          </value>
          <value t="str">
            <val>24.26</val>
          </value>
          <value t="str">
            <val>3.38</val>
          </value>
          <value t="str">
            <val>撼訊</val>
          </value>
          <value t="str">
            <val>上櫃電腦及週邊設備</val>
          </value>
          <value t="str">
            <val>以Power Color品牌行銷全球之第三大繪圖卡供應商</val>
          </value>
        </values>
      </ddeItem>
      <ddeItem name="6150.TW-CName,InvestorConferenceDate,DateofMeetingofShareHolders,TradingDate" advise="1">
        <values cols="4">
          <value t="str">
            <val>撼訊</val>
          </value>
          <value t="str">
            <val>2021/08/06</val>
          </value>
          <value t="str">
            <val>2022/06/09</val>
          </value>
          <value t="str">
            <val>2022/08/01</val>
          </value>
        </values>
      </ddeItem>
      <ddeItem name="6150.TW-ID,Name,MarketValue,Capital,NetIncomeGrowthRate,OperIncomeGrowthRate,FinancialStatementsTime,TFXRatio,MonthlyNetSalesYoY,RevenueMonth" advise="1">
        <values cols="10">
          <value t="str">
            <val>6150</val>
          </value>
          <value t="str">
            <val>撼訊</val>
          </value>
          <value t="str">
            <val>31.2</val>
          </value>
          <value t="str">
            <val>4.83</val>
          </value>
          <value t="str">
            <val>19.40</val>
          </value>
          <value t="str">
            <val>5.13</val>
          </value>
          <value t="str">
            <val>2022/03</val>
          </value>
          <value t="str">
            <val>-7.52</val>
          </value>
          <value t="str">
            <val>-55.88</val>
          </value>
          <value t="str">
            <val>2022/06</val>
          </value>
        </values>
      </ddeItem>
      <ddeItem name="6150.TW-OperatingProfitRatio,Price,PriceChangeRatio,InOutRatioNumber,Value,YearReturn,MonthReturn,WeekReturn,FinanceBalanceDif,ChipsField2" advise="1">
        <values cols="10">
          <value t="str">
            <val>8.94</val>
          </value>
          <value>
            <val>64.5</val>
          </value>
          <value>
            <val>-4.4400000000000004</val>
          </value>
          <value t="str">
            <val>36.84%</val>
          </value>
          <value t="str">
            <val>1.47億</val>
          </value>
          <value t="str">
            <val>-49.77</val>
          </value>
          <value t="str">
            <val>+11.03</val>
          </value>
          <value t="str">
            <val>-5.70</val>
          </value>
          <value>
            <val>186</val>
          </value>
          <value>
            <val>0</val>
          </value>
        </values>
      </ddeItem>
      <ddeItem name="615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2022/06/16</val>
          </value>
          <value t="str">
            <val>3.00</val>
          </value>
          <value>
            <val>11.34</val>
          </value>
          <value t="str">
            <val>3.70</val>
          </value>
          <value t="str">
            <val>0.62</val>
          </value>
          <value t="str">
            <val>晉倫</val>
          </value>
          <value t="str">
            <val>上櫃其他電子</val>
          </value>
          <value t="str">
            <val>台灣汽車複合材料供應商</val>
          </value>
        </values>
      </ddeItem>
      <ddeItem name="6151.TW-CName,InvestorConferenceDate,DateofMeetingofShareHolders,TradingDate" advise="1">
        <values cols="4">
          <value t="str">
            <val>晉倫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6151.TW-ID,Name,MarketValue,Capital,NetIncomeGrowthRate,OperIncomeGrowthRate,FinancialStatementsTime,TFXRatio,MonthlyNetSalesYoY,RevenueMonth" advise="1">
        <values cols="10">
          <value t="str">
            <val>6151</val>
          </value>
          <value t="str">
            <val>晉倫</val>
          </value>
          <value t="str">
            <val>14.6</val>
          </value>
          <value t="str">
            <val>5.53</val>
          </value>
          <value t="str">
            <val>-35.38</val>
          </value>
          <value t="str">
            <val>-40.22</val>
          </value>
          <value t="str">
            <val>2022/03</val>
          </value>
          <value t="str">
            <val>-11.36</val>
          </value>
          <value t="str">
            <val>-27.23</val>
          </value>
          <value t="str">
            <val>2022/06</val>
          </value>
        </values>
      </ddeItem>
      <ddeItem name="6151.TW-OperatingProfitRatio,Price,PriceChangeRatio,InOutRatioNumber,Value,YearReturn,MonthReturn,WeekReturn,FinanceBalanceDif,ChipsField2" advise="1">
        <values cols="10">
          <value t="str">
            <val>9.03</val>
          </value>
          <value>
            <val>26.45</val>
          </value>
          <value>
            <val>0.38</val>
          </value>
          <value t="str">
            <val>16.67%</val>
          </value>
          <value t="str">
            <val>31.6萬</val>
          </value>
          <value t="str">
            <val>-23.00</val>
          </value>
          <value t="str">
            <val>+4.96</val>
          </value>
          <value t="str">
            <val>+0.38</val>
          </value>
          <value>
            <val>0</val>
          </value>
          <value>
            <val>0</val>
          </value>
        </values>
      </ddeItem>
      <ddeItem name="61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1.20</val>
          </value>
          <value>
            <val>7.41</val>
          </value>
          <value t="str">
            <val>1.88</val>
          </value>
          <value t="str">
            <val>0.29</val>
          </value>
          <value t="str">
            <val>順發</val>
          </value>
          <value t="str">
            <val>上櫃電子通路</val>
          </value>
          <value t="str">
            <val>台灣知名3C通路零售商</val>
          </value>
        </values>
      </ddeItem>
      <ddeItem name="6154.TW-CName,InvestorConferenceDate,DateofMeetingofShareHolders,TradingDate" advise="1">
        <values cols="4">
          <value t="str">
            <val>順發</val>
          </value>
          <value t="str">
            <val>--</val>
          </value>
          <value t="str">
            <val>2022/06/01</val>
          </value>
          <value t="str">
            <val>2022/08/01</val>
          </value>
        </values>
      </ddeItem>
      <ddeItem name="6154.TW-ID,Name,MarketValue,Capital,NetIncomeGrowthRate,OperIncomeGrowthRate,FinancialStatementsTime,TFXRatio,MonthlyNetSalesYoY,RevenueMonth" advise="1">
        <values cols="10">
          <value t="str">
            <val>6154</val>
          </value>
          <value t="str">
            <val>順發</val>
          </value>
          <value t="str">
            <val>13.0</val>
          </value>
          <value t="str">
            <val>8.01</val>
          </value>
          <value t="str">
            <val>75.50</val>
          </value>
          <value t="str">
            <val>64.77</val>
          </value>
          <value t="str">
            <val>2022/03</val>
          </value>
          <value t="str">
            <val>-15.80</val>
          </value>
          <value t="str">
            <val>-28.52</val>
          </value>
          <value t="str">
            <val>2022/06</val>
          </value>
        </values>
      </ddeItem>
      <ddeItem name="6154.TW-OperatingProfitRatio,Price,PriceChangeRatio,InOutRatioNumber,Value,YearReturn,MonthReturn,WeekReturn,FinanceBalanceDif,ChipsField2" advise="1">
        <values cols="10">
          <value t="str">
            <val>2.39</val>
          </value>
          <value>
            <val>16.2</val>
          </value>
          <value>
            <val>0.31</val>
          </value>
          <value t="str">
            <val>47.83%</val>
          </value>
          <value t="str">
            <val>37.3萬</val>
          </value>
          <value t="str">
            <val>-14.04</val>
          </value>
          <value t="str">
            <val>+1.57</val>
          </value>
          <value t="str">
            <val>+0.62</val>
          </value>
          <value>
            <val>0</val>
          </value>
          <value>
            <val>0</val>
          </value>
        </values>
      </ddeItem>
      <ddeItem name="6156.TW-ChipsField3,ChipsField1,ChipsField25,CashAndStockDividend,CashDividendYieldRate,ProfitFourSeason,ProfitSingle,CName,ExchangeIndustry,CompanyPos" advise="1">
        <values cols="10">
          <value>
            <val>-20</val>
          </value>
          <value>
            <val>-198</val>
          </value>
          <value t="str">
            <val>--</val>
          </value>
          <value t="str">
            <val>0.50</val>
          </value>
          <value>
            <val>2.4700000000000002</val>
          </value>
          <value t="str">
            <val>1.59</val>
          </value>
          <value t="str">
            <val>0.52</val>
          </value>
          <value t="str">
            <val>松上</val>
          </value>
          <value t="str">
            <val>上櫃電子零組件</val>
          </value>
          <value t="str">
            <val>印刷電路板和磁性元件製造商</val>
          </value>
        </values>
      </ddeItem>
      <ddeItem name="6156.TW-CName,InvestorConferenceDate,DateofMeetingofShareHolders,TradingDate" advise="1">
        <values cols="4">
          <value t="str">
            <val>松上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6156.TW-ID,Name,MarketValue,Capital,NetIncomeGrowthRate,OperIncomeGrowthRate,FinancialStatementsTime,TFXRatio,MonthlyNetSalesYoY,RevenueMonth" advise="1">
        <values cols="10">
          <value t="str">
            <val>6156</val>
          </value>
          <value t="str">
            <val>松上</val>
          </value>
          <value t="str">
            <val>16.3</val>
          </value>
          <value t="str">
            <val>8.05</val>
          </value>
          <value t="str">
            <val>54.39</val>
          </value>
          <value t="str">
            <val>-223.82</val>
          </value>
          <value t="str">
            <val>2022/06</val>
          </value>
          <value t="str">
            <val>4.62</val>
          </value>
          <value t="str">
            <val>-3.23</val>
          </value>
          <value t="str">
            <val>2022/06</val>
          </value>
        </values>
      </ddeItem>
      <ddeItem name="6156.TW-OperatingProfitRatio,Price,PriceChangeRatio,InOutRatioNumber,Value,YearReturn,MonthReturn,WeekReturn,FinanceBalanceDif,ChipsField2" advise="1">
        <values cols="10">
          <value t="str">
            <val>-0.89</val>
          </value>
          <value>
            <val>20.25</val>
          </value>
          <value>
            <val>6.58</val>
          </value>
          <value t="str">
            <val>60.44%</val>
          </value>
          <value t="str">
            <val>9760萬</val>
          </value>
          <value t="str">
            <val>+22.91</val>
          </value>
          <value t="str">
            <val>+35.00</val>
          </value>
          <value t="str">
            <val>+20.54</val>
          </value>
          <value>
            <val>158</val>
          </value>
          <value>
            <val>0</val>
          </value>
        </values>
      </ddeItem>
      <ddeItem name="6158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-7</val>
          </value>
          <value t="str">
            <val>2022/08/04</val>
          </value>
          <value t="str">
            <val>1.00</val>
          </value>
          <value>
            <val>3.34</val>
          </value>
          <value t="str">
            <val>2.51</val>
          </value>
          <value t="str">
            <val>1.05</val>
          </value>
          <value t="str">
            <val>禾昌</val>
          </value>
          <value t="str">
            <val>上櫃電子零組件</val>
          </value>
          <value t="str">
            <val>3C、PC、NB用連接器、連接線材生產廠</val>
          </value>
        </values>
      </ddeItem>
      <ddeItem name="6158.TW-CName,InvestorConferenceDate,DateofMeetingofShareHolders,TradingDate" advise="1">
        <values cols="4">
          <value t="str">
            <val>禾昌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6158.TW-ID,Name,MarketValue,Capital,NetIncomeGrowthRate,OperIncomeGrowthRate,FinancialStatementsTime,TFXRatio,MonthlyNetSalesYoY,RevenueMonth" advise="1">
        <values cols="10">
          <value t="str">
            <val>6158</val>
          </value>
          <value t="str">
            <val>禾昌</val>
          </value>
          <value t="str">
            <val>16.5</val>
          </value>
          <value t="str">
            <val>5.50</val>
          </value>
          <value t="str">
            <val>-26.29</val>
          </value>
          <value t="str">
            <val>-35.29</val>
          </value>
          <value t="str">
            <val>2022/06</val>
          </value>
          <value t="str">
            <val>2.51</val>
          </value>
          <value t="str">
            <val>-7.98</val>
          </value>
          <value t="str">
            <val>2022/06</val>
          </value>
        </values>
      </ddeItem>
      <ddeItem name="6158.TW-OperatingProfitRatio,Price,PriceChangeRatio,InOutRatioNumber,Value,YearReturn,MonthReturn,WeekReturn,FinanceBalanceDif,ChipsField2" advise="1">
        <values cols="10">
          <value t="str">
            <val>6.41</val>
          </value>
          <value>
            <val>29.9</val>
          </value>
          <value>
            <val>1.01</val>
          </value>
          <value t="str">
            <val>65.52%</val>
          </value>
          <value t="str">
            <val>173萬</val>
          </value>
          <value t="str">
            <val>-9.91</val>
          </value>
          <value t="str">
            <val>+7.94</val>
          </value>
          <value t="str">
            <val>+1.01</val>
          </value>
          <value>
            <val>2</val>
          </value>
          <value>
            <val>0</val>
          </value>
        </values>
      </ddeItem>
      <ddeItem name="61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30</val>
          </value>
          <value t="str">
            <val>2022/07/21</val>
          </value>
          <value t="str">
            <val>0.35</val>
          </value>
          <value>
            <val>1.71</val>
          </value>
          <value t="str">
            <val>0.22</val>
          </value>
          <value t="str">
            <val>0.06</val>
          </value>
          <value t="str">
            <val>欣技</val>
          </value>
          <value t="str">
            <val>上櫃電腦及週邊設備</val>
          </value>
          <value t="str">
            <val>專攻自動辨識系統的IPC廠</val>
          </value>
        </values>
      </ddeItem>
      <ddeItem name="6160.TW-CName,InvestorConferenceDate,DateofMeetingofShareHolders,TradingDate" advise="1">
        <values cols="4">
          <value t="str">
            <val>欣技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6160.TW-ID,Name,MarketValue,Capital,NetIncomeGrowthRate,OperIncomeGrowthRate,FinancialStatementsTime,TFXRatio,MonthlyNetSalesYoY,RevenueMonth" advise="1">
        <values cols="10">
          <value t="str">
            <val>6160</val>
          </value>
          <value t="str">
            <val>欣技</val>
          </value>
          <value t="str">
            <val>14.0</val>
          </value>
          <value t="str">
            <val>6.85</val>
          </value>
          <value t="str">
            <val>-85.78</val>
          </value>
          <value t="str">
            <val>-95.82</val>
          </value>
          <value t="str">
            <val>2022/03</val>
          </value>
          <value t="str">
            <val>-0.38</val>
          </value>
          <value t="str">
            <val>-8.74</val>
          </value>
          <value t="str">
            <val>2022/06</val>
          </value>
        </values>
      </ddeItem>
      <ddeItem name="6160.TW-OperatingProfitRatio,Price,PriceChangeRatio,InOutRatioNumber,Value,YearReturn,MonthReturn,WeekReturn,FinanceBalanceDif,ChipsField2" advise="1">
        <values cols="10">
          <value t="str">
            <val>0.42</val>
          </value>
          <value>
            <val>20.5</val>
          </value>
          <value>
            <val>9.92</val>
          </value>
          <value t="str">
            <val>65.84%</val>
          </value>
          <value t="str">
            <val>1.32億</val>
          </value>
          <value t="str">
            <val>-4.04</val>
          </value>
          <value t="str">
            <val>+55.53</val>
          </value>
          <value t="str">
            <val>+22.39</val>
          </value>
          <value>
            <val>154</val>
          </value>
          <value>
            <val>0</val>
          </value>
        </values>
      </ddeItem>
      <ddeItem name="61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</val>
          </value>
          <value t="str">
            <val>2022/06/27</val>
          </value>
          <value t="str">
            <val>3.00</val>
          </value>
          <value>
            <val>12.05</val>
          </value>
          <value t="str">
            <val>3.68</val>
          </value>
          <value t="str">
            <val>0.89</val>
          </value>
          <value t="str">
            <val>捷波</val>
          </value>
          <value t="str">
            <val>上櫃電腦及週邊設備</val>
          </value>
          <value t="str">
            <val>台灣二線主機板廠</val>
          </value>
        </values>
      </ddeItem>
      <ddeItem name="6161.TW-CName,InvestorConferenceDate,DateofMeetingofShareHolders,TradingDate" advise="1">
        <values cols="4">
          <value t="str">
            <val>捷波</val>
          </value>
          <value t="str">
            <val>2022/06/02</val>
          </value>
          <value t="str">
            <val>2022/06/09</val>
          </value>
          <value t="str">
            <val>2022/08/01</val>
          </value>
        </values>
      </ddeItem>
      <ddeItem name="6161.TW-ID,Name,MarketValue,Capital,NetIncomeGrowthRate,OperIncomeGrowthRate,FinancialStatementsTime,TFXRatio,MonthlyNetSalesYoY,RevenueMonth" advise="1">
        <values cols="10">
          <value t="str">
            <val>6161</val>
          </value>
          <value t="str">
            <val>捷波</val>
          </value>
          <value t="str">
            <val>18.7</val>
          </value>
          <value t="str">
            <val>7.50</val>
          </value>
          <value t="str">
            <val>78.80</val>
          </value>
          <value t="str">
            <val>64.18</val>
          </value>
          <value t="str">
            <val>2022/03</val>
          </value>
          <value t="str">
            <val>-11.65</val>
          </value>
          <value t="str">
            <val>-30.64</val>
          </value>
          <value t="str">
            <val>2022/06</val>
          </value>
        </values>
      </ddeItem>
      <ddeItem name="6161.TW-OperatingProfitRatio,Price,PriceChangeRatio,InOutRatioNumber,Value,YearReturn,MonthReturn,WeekReturn,FinanceBalanceDif,ChipsField2" advise="1">
        <values cols="10">
          <value t="str">
            <val>12.81</val>
          </value>
          <value>
            <val>24.9</val>
          </value>
          <value>
            <val>0.61</val>
          </value>
          <value t="str">
            <val>50.67%</val>
          </value>
          <value t="str">
            <val>186萬</val>
          </value>
          <value t="str">
            <val>+3.17</val>
          </value>
          <value t="str">
            <val>+5.06</val>
          </value>
          <value t="str">
            <val>+0.40</val>
          </value>
          <value>
            <val>-11</val>
          </value>
          <value>
            <val>0</val>
          </value>
        </values>
      </ddeItem>
      <ddeItem name="61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0.30</val>
          </value>
          <value>
            <val>2</val>
          </value>
          <value t="str">
            <val>0.87</val>
          </value>
          <value t="str">
            <val>-0.54</val>
          </value>
          <value t="str">
            <val>華電網</val>
          </value>
          <value t="str">
            <val>上櫃通信網路</val>
          </value>
          <value t="str">
            <val>電信系統整合大廠，並跨足智慧城控與交通機電業務</val>
          </value>
        </values>
      </ddeItem>
      <ddeItem name="6163.TW-CName,InvestorConferenceDate,DateofMeetingofShareHolders,TradingDate" advise="1">
        <values cols="4">
          <value t="str">
            <val>華電網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6163.TW-ID,Name,MarketValue,Capital,NetIncomeGrowthRate,OperIncomeGrowthRate,FinancialStatementsTime,TFXRatio,MonthlyNetSalesYoY,RevenueMonth" advise="1">
        <values cols="10">
          <value t="str">
            <val>6163</val>
          </value>
          <value t="str">
            <val>華電網</val>
          </value>
          <value t="str">
            <val>20.1</val>
          </value>
          <value t="str">
            <val>13.37</val>
          </value>
          <value t="str">
            <val>-1244.76</val>
          </value>
          <value t="str">
            <val>-517.92</val>
          </value>
          <value t="str">
            <val>2022/03</val>
          </value>
          <value t="str">
            <val>14.80</val>
          </value>
          <value t="str">
            <val>2.94</val>
          </value>
          <value t="str">
            <val>2022/06</val>
          </value>
        </values>
      </ddeItem>
      <ddeItem name="6163.TW-OperatingProfitRatio,Price,PriceChangeRatio,InOutRatioNumber,Value,YearReturn,MonthReturn,WeekReturn,FinanceBalanceDif,ChipsField2" advise="1">
        <values cols="10">
          <value t="str">
            <val>-7.89</val>
          </value>
          <value>
            <val>15</val>
          </value>
          <value>
            <val>0.33</val>
          </value>
          <value t="str">
            <val>34.24%</val>
          </value>
          <value t="str">
            <val>534萬</val>
          </value>
          <value t="str">
            <val>-18.26</val>
          </value>
          <value t="str">
            <val>+0.33</val>
          </value>
          <value t="str">
            <val>+0.67</val>
          </value>
          <value>
            <val>-31</val>
          </value>
          <value>
            <val>0</val>
          </value>
        </values>
      </ddeItem>
      <ddeItem name="61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105</val>
          </value>
          <value t="str">
            <val>--</val>
          </value>
          <value t="str">
            <val>0.19</val>
          </value>
          <value>
            <val>1.44</val>
          </value>
          <value t="str">
            <val>0.71</val>
          </value>
          <value t="str">
            <val>0.27</val>
          </value>
          <value t="str">
            <val>久正</val>
          </value>
          <value t="str">
            <val>上櫃光電</val>
          </value>
          <value t="str">
            <val>中小尺寸TN/STN面板模組廠</val>
          </value>
        </values>
      </ddeItem>
      <ddeItem name="6167.TW-CName,InvestorConferenceDate,DateofMeetingofShareHolders,TradingDate" advise="1">
        <values cols="4">
          <value t="str">
            <val>久正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6167.TW-ID,Name,MarketValue,Capital,NetIncomeGrowthRate,OperIncomeGrowthRate,FinancialStatementsTime,TFXRatio,MonthlyNetSalesYoY,RevenueMonth" advise="1">
        <values cols="10">
          <value t="str">
            <val>6167</val>
          </value>
          <value t="str">
            <val>久正</val>
          </value>
          <value t="str">
            <val>21.4</val>
          </value>
          <value t="str">
            <val>16.22</val>
          </value>
          <value t="str">
            <val>311.52</val>
          </value>
          <value t="str">
            <val>1475.77</val>
          </value>
          <value t="str">
            <val>2022/03</val>
          </value>
          <value t="str">
            <val>-5.35</val>
          </value>
          <value t="str">
            <val>32.42</val>
          </value>
          <value t="str">
            <val>2022/06</val>
          </value>
        </values>
      </ddeItem>
      <ddeItem name="6167.TW-OperatingProfitRatio,Price,PriceChangeRatio,InOutRatioNumber,Value,YearReturn,MonthReturn,WeekReturn,FinanceBalanceDif,ChipsField2" advise="1">
        <values cols="10">
          <value t="str">
            <val>5.82</val>
          </value>
          <value>
            <val>13.2</val>
          </value>
          <value>
            <val>0.76</val>
          </value>
          <value t="str">
            <val>51.27%</val>
          </value>
          <value t="str">
            <val>552萬</val>
          </value>
          <value t="str">
            <val>+38.66</val>
          </value>
          <value t="str">
            <val>+16.81</val>
          </value>
          <value t="str">
            <val>-1.49</val>
          </value>
          <value>
            <val>0</val>
          </value>
          <value>
            <val>0</val>
          </value>
        </values>
      </ddeItem>
      <ddeItem name="616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-0.64</val>
          </value>
          <value t="str">
            <val>-0.17</val>
          </value>
          <value t="str">
            <val>昱泉</val>
          </value>
          <value t="str">
            <val>上櫃文化創意</val>
          </value>
          <value t="str">
            <val>台灣網絡遊戲研發及代理商</val>
          </value>
        </values>
      </ddeItem>
      <ddeItem name="6169.TW-CName,InvestorConferenceDate,DateofMeetingofShareHolders,TradingDate" advise="1">
        <values cols="4">
          <value t="str">
            <val>昱泉</val>
          </value>
          <value t="str">
            <val>2021/12/06</val>
          </value>
          <value t="str">
            <val>2022/06/15</val>
          </value>
          <value t="str">
            <val>2022/08/01</val>
          </value>
        </values>
      </ddeItem>
      <ddeItem name="6169.TW-ID,Name,MarketValue,Capital,NetIncomeGrowthRate,OperIncomeGrowthRate,FinancialStatementsTime,TFXRatio,MonthlyNetSalesYoY,RevenueMonth" advise="1">
        <values cols="10">
          <value t="str">
            <val>6169</val>
          </value>
          <value t="str">
            <val>昱泉</val>
          </value>
          <value t="str">
            <val>4.5</val>
          </value>
          <value t="str">
            <val>2.34</val>
          </value>
          <value t="str">
            <val>28.97</val>
          </value>
          <value t="str">
            <val>-4.43</val>
          </value>
          <value t="str">
            <val>2022/03</val>
          </value>
          <value t="str">
            <val>-93.05</val>
          </value>
          <value t="str">
            <val>-98.89</val>
          </value>
          <value t="str">
            <val>2022/06</val>
          </value>
        </values>
      </ddeItem>
      <ddeItem name="6169.TW-OperatingProfitRatio,Price,PriceChangeRatio,InOutRatioNumber,Value,YearReturn,MonthReturn,WeekReturn,FinanceBalanceDif,ChipsField2" advise="1">
        <values cols="10">
          <value t="str">
            <val>-1992.42</val>
          </value>
          <value>
            <val>19.3</val>
          </value>
          <value>
            <val>0</val>
          </value>
          <value t="str">
            <val>42.11%</val>
          </value>
          <value t="str">
            <val>73.5萬</val>
          </value>
          <value t="str">
            <val>-15.35</val>
          </value>
          <value t="str">
            <val>-3.02</val>
          </value>
          <value t="str">
            <val>-1.03</val>
          </value>
          <value>
            <val>0</val>
          </value>
          <value>
            <val>0</val>
          </value>
        </values>
      </ddeItem>
      <ddeItem name="61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-21</val>
          </value>
          <value t="str">
            <val>2022/07/14</val>
          </value>
          <value t="str">
            <val>1.60</val>
          </value>
          <value>
            <val>6.13</val>
          </value>
          <value t="str">
            <val>1.96</val>
          </value>
          <value t="str">
            <val>0.54</val>
          </value>
          <value t="str">
            <val>統振</val>
          </value>
          <value t="str">
            <val>上櫃通信網路</val>
          </value>
          <value t="str">
            <val>台灣從事電信、數據預付卡業務之廠商</val>
          </value>
        </values>
      </ddeItem>
      <ddeItem name="6170.TW-CName,InvestorConferenceDate,DateofMeetingofShareHolders,TradingDate" advise="1">
        <values cols="4">
          <value t="str">
            <val>統振</val>
          </value>
          <value t="str">
            <val>2021/12/21</val>
          </value>
          <value t="str">
            <val>2022/06/14</val>
          </value>
          <value t="str">
            <val>2022/08/01</val>
          </value>
        </values>
      </ddeItem>
      <ddeItem name="6170.TW-ID,Name,MarketValue,Capital,NetIncomeGrowthRate,OperIncomeGrowthRate,FinancialStatementsTime,TFXRatio,MonthlyNetSalesYoY,RevenueMonth" advise="1">
        <values cols="10">
          <value t="str">
            <val>6170</val>
          </value>
          <value t="str">
            <val>統振</val>
          </value>
          <value t="str">
            <val>23.4</val>
          </value>
          <value t="str">
            <val>8.97</val>
          </value>
          <value t="str">
            <val>29.34</val>
          </value>
          <value t="str">
            <val>-19.85</val>
          </value>
          <value t="str">
            <val>2022/03</val>
          </value>
          <value t="str">
            <val>-53.52</val>
          </value>
          <value t="str">
            <val>-23.02</val>
          </value>
          <value t="str">
            <val>2022/06</val>
          </value>
        </values>
      </ddeItem>
      <ddeItem name="6170.TW-OperatingProfitRatio,Price,PriceChangeRatio,InOutRatioNumber,Value,YearReturn,MonthReturn,WeekReturn,FinanceBalanceDif,ChipsField2" advise="1">
        <values cols="10">
          <value t="str">
            <val>4.94</val>
          </value>
          <value>
            <val>26.1</val>
          </value>
          <value>
            <val>1.36</val>
          </value>
          <value t="str">
            <val>52.23%</val>
          </value>
          <value t="str">
            <val>408萬</val>
          </value>
          <value t="str">
            <val>-27.97</val>
          </value>
          <value t="str">
            <val>+7.28</val>
          </value>
          <value t="str">
            <val>+4.19</val>
          </value>
          <value>
            <val>0</val>
          </value>
          <value>
            <val>0</val>
          </value>
        </values>
      </ddeItem>
      <ddeItem name="6171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-2</val>
          </value>
          <value t="str">
            <val>--</val>
          </value>
          <value t="str">
            <val>3.04</val>
          </value>
          <value>
            <val>10.39</val>
          </value>
          <value t="str">
            <val>3.35</val>
          </value>
          <value t="str">
            <val>0.81</val>
          </value>
          <value t="str">
            <val>大城地產</val>
          </value>
          <value t="str">
            <val>上櫃建材營造</val>
          </value>
          <value t="str">
            <val>大城建設入主，轉型為營建業</val>
          </value>
        </values>
      </ddeItem>
      <ddeItem name="6171.TW-CName,InvestorConferenceDate,DateofMeetingofShareHolders,TradingDate" advise="1">
        <values cols="4">
          <value t="str">
            <val>大城地產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6171.TW-ID,Name,MarketValue,Capital,NetIncomeGrowthRate,OperIncomeGrowthRate,FinancialStatementsTime,TFXRatio,MonthlyNetSalesYoY,RevenueMonth" advise="1">
        <values cols="10">
          <value t="str">
            <val>6171</val>
          </value>
          <value t="str">
            <val>大城地產</val>
          </value>
          <value t="str">
            <val>25.3</val>
          </value>
          <value t="str">
            <val>8.67</val>
          </value>
          <value t="str">
            <val>-67.46</val>
          </value>
          <value t="str">
            <val>-70.91</val>
          </value>
          <value t="str">
            <val>2022/03</val>
          </value>
          <value t="str">
            <val>0.00</val>
          </value>
          <value t="str">
            <val>-99.28</val>
          </value>
          <value t="str">
            <val>2022/06</val>
          </value>
        </values>
      </ddeItem>
      <ddeItem name="6171.TW-OperatingProfitRatio,Price,PriceChangeRatio,InOutRatioNumber,Value,YearReturn,MonthReturn,WeekReturn,FinanceBalanceDif,ChipsField2" advise="1">
        <values cols="10">
          <value t="str">
            <val>23.40</val>
          </value>
          <value>
            <val>29.25</val>
          </value>
          <value>
            <val>0.86</val>
          </value>
          <value t="str">
            <val>77.78%</val>
          </value>
          <value t="str">
            <val>29.2萬</val>
          </value>
          <value t="str">
            <val>+31.91</val>
          </value>
          <value t="str">
            <val>+1.56</val>
          </value>
          <value t="str">
            <val>+1.56</val>
          </value>
          <value>
            <val>0</val>
          </value>
          <value>
            <val>0</val>
          </value>
        </values>
      </ddeItem>
      <ddeItem name="617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59</val>
          </value>
          <value t="str">
            <val>2022/07/12</val>
          </value>
          <value t="str">
            <val>2.01</val>
          </value>
          <value>
            <val>5.08</val>
          </value>
          <value t="str">
            <val>6.38</val>
          </value>
          <value t="str">
            <val>1.28</val>
          </value>
          <value t="str">
            <val>信昌電</val>
          </value>
          <value t="str">
            <val>上櫃電子零組件</val>
          </value>
          <value t="str">
            <val>華新科旗下MLCC及瓷粉原料供應商</val>
          </value>
        </values>
      </ddeItem>
      <ddeItem name="6173.TW-CName,InvestorConferenceDate,DateofMeetingofShareHolders,TradingDate" advise="1">
        <values cols="4">
          <value t="str">
            <val>信昌電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6173.TW-ID,Name,MarketValue,Capital,NetIncomeGrowthRate,OperIncomeGrowthRate,FinancialStatementsTime,TFXRatio,MonthlyNetSalesYoY,RevenueMonth" advise="1">
        <values cols="10">
          <value t="str">
            <val>6173</val>
          </value>
          <value t="str">
            <val>信昌電</val>
          </value>
          <value t="str">
            <val>68.1</val>
          </value>
          <value t="str">
            <val>17.20</val>
          </value>
          <value t="str">
            <val>-19.31</val>
          </value>
          <value t="str">
            <val>3.43</val>
          </value>
          <value t="str">
            <val>2022/03</val>
          </value>
          <value t="str">
            <val>-16.54</val>
          </value>
          <value t="str">
            <val>-38.98</val>
          </value>
          <value t="str">
            <val>2022/06</val>
          </value>
        </values>
      </ddeItem>
      <ddeItem name="6173.TW-OperatingProfitRatio,Price,PriceChangeRatio,InOutRatioNumber,Value,YearReturn,MonthReturn,WeekReturn,FinanceBalanceDif,ChipsField2" advise="1">
        <values cols="10">
          <value t="str">
            <val>19.92</val>
          </value>
          <value>
            <val>39.6</val>
          </value>
          <value>
            <val>0.25</val>
          </value>
          <value t="str">
            <val>56.03%</val>
          </value>
          <value t="str">
            <val>459萬</val>
          </value>
          <value t="str">
            <val>-38.39</val>
          </value>
          <value t="str">
            <val>+10.95</val>
          </value>
          <value t="str">
            <val>-1.98</val>
          </value>
          <value>
            <val>1</val>
          </value>
          <value>
            <val>0</val>
          </value>
        </values>
      </ddeItem>
      <ddeItem name="61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29</val>
          </value>
          <value t="str">
            <val>2022/06/13</val>
          </value>
          <value t="str">
            <val>1.60</val>
          </value>
          <value>
            <val>5.98</val>
          </value>
          <value t="str">
            <val>2.43</val>
          </value>
          <value t="str">
            <val>0.75</val>
          </value>
          <value t="str">
            <val>安碁</val>
          </value>
          <value t="str">
            <val>上櫃電子零組件</val>
          </value>
          <value t="str">
            <val>台灣三大石英元件廠之一</val>
          </value>
        </values>
      </ddeItem>
      <ddeItem name="6174.TW-CName,InvestorConferenceDate,DateofMeetingofShareHolders,TradingDate" advise="1">
        <values cols="4">
          <value t="str">
            <val>安碁</val>
          </value>
          <value t="str">
            <val>--</val>
          </value>
          <value t="str">
            <val>2022/05/24</val>
          </value>
          <value t="str">
            <val>2022/08/01</val>
          </value>
        </values>
      </ddeItem>
      <ddeItem name="6174.TW-ID,Name,MarketValue,Capital,NetIncomeGrowthRate,OperIncomeGrowthRate,FinancialStatementsTime,TFXRatio,MonthlyNetSalesYoY,RevenueMonth" advise="1">
        <values cols="10">
          <value t="str">
            <val>6174</val>
          </value>
          <value t="str">
            <val>安碁</val>
          </value>
          <value t="str">
            <val>13.4</val>
          </value>
          <value t="str">
            <val>5.00</val>
          </value>
          <value t="str">
            <val>549.04</val>
          </value>
          <value t="str">
            <val>662.46</val>
          </value>
          <value t="str">
            <val>2022/03</val>
          </value>
          <value t="str">
            <val>-4.33</val>
          </value>
          <value t="str">
            <val>37.39</val>
          </value>
          <value t="str">
            <val>2022/06</val>
          </value>
        </values>
      </ddeItem>
      <ddeItem name="6174.TW-OperatingProfitRatio,Price,PriceChangeRatio,InOutRatioNumber,Value,YearReturn,MonthReturn,WeekReturn,FinanceBalanceDif,ChipsField2" advise="1">
        <values cols="10">
          <value t="str">
            <val>21.90</val>
          </value>
          <value>
            <val>26.75</val>
          </value>
          <value>
            <val>-0.37</val>
          </value>
          <value t="str">
            <val>49.02%</val>
          </value>
          <value t="str">
            <val>409萬</val>
          </value>
          <value t="str">
            <val>+53.44</val>
          </value>
          <value t="str">
            <val>+6.57</val>
          </value>
          <value t="str">
            <val>-1.29</val>
          </value>
          <value>
            <val>-2</val>
          </value>
          <value>
            <val>0</val>
          </value>
        </values>
      </ddeItem>
      <ddeItem name="617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2022/07/28</val>
          </value>
          <value t="str">
            <val>1.50</val>
          </value>
          <value>
            <val>4.7300000000000004</val>
          </value>
          <value t="str">
            <val>3.65</val>
          </value>
          <value t="str">
            <val>1.01</val>
          </value>
          <value t="str">
            <val>立敦</val>
          </value>
          <value t="str">
            <val>上櫃電子零組件</val>
          </value>
          <value t="str">
            <val>台灣鋁質電解電容之上游鋁箔製造商</val>
          </value>
        </values>
      </ddeItem>
      <ddeItem name="6175.TW-CName,InvestorConferenceDate,DateofMeetingofShareHolders,TradingDate" advise="1">
        <values cols="4">
          <value t="str">
            <val>立敦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6175.TW-ID,Name,MarketValue,Capital,NetIncomeGrowthRate,OperIncomeGrowthRate,FinancialStatementsTime,TFXRatio,MonthlyNetSalesYoY,RevenueMonth" advise="1">
        <values cols="10">
          <value t="str">
            <val>6175</val>
          </value>
          <value t="str">
            <val>立敦</val>
          </value>
          <value t="str">
            <val>45.4</val>
          </value>
          <value t="str">
            <val>14.32</val>
          </value>
          <value t="str">
            <val>22.08</val>
          </value>
          <value t="str">
            <val>26.30</val>
          </value>
          <value t="str">
            <val>2022/03</val>
          </value>
          <value t="str">
            <val>3.64</val>
          </value>
          <value t="str">
            <val>-6.37</val>
          </value>
          <value t="str">
            <val>2022/06</val>
          </value>
        </values>
      </ddeItem>
      <ddeItem name="6175.TW-OperatingProfitRatio,Price,PriceChangeRatio,InOutRatioNumber,Value,YearReturn,MonthReturn,WeekReturn,FinanceBalanceDif,ChipsField2" advise="1">
        <values cols="10">
          <value t="str">
            <val>17.49</val>
          </value>
          <value>
            <val>31.7</val>
          </value>
          <value>
            <val>0.63</val>
          </value>
          <value t="str">
            <val>24.21%</val>
          </value>
          <value t="str">
            <val>312萬</val>
          </value>
          <value t="str">
            <val>-33.18</val>
          </value>
          <value t="str">
            <val>+13.42</val>
          </value>
          <value t="str">
            <val>-0.06</val>
          </value>
          <value>
            <val>6</val>
          </value>
          <value>
            <val>0</val>
          </value>
        </values>
      </ddeItem>
      <ddeItem name="617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2022/06/22</val>
          </value>
          <value t="str">
            <val>1.53</val>
          </value>
          <value>
            <val>5.45</val>
          </value>
          <value t="str">
            <val>1.41</val>
          </value>
          <value t="str">
            <val>0.07</val>
          </value>
          <value t="str">
            <val>亞通</val>
          </value>
          <value t="str">
            <val>上櫃其他</val>
          </value>
          <value t="str">
            <val>轉型為電廠工程業務，工程集中在菲律賓</val>
          </value>
        </values>
      </ddeItem>
      <ddeItem name="6179.TW-CName,InvestorConferenceDate,DateofMeetingofShareHolders,TradingDate" advise="1">
        <values cols="4">
          <value t="str">
            <val>亞通</val>
          </value>
          <value t="str">
            <val>2021/11/25</val>
          </value>
          <value t="str">
            <val>2022/05/27</val>
          </value>
          <value t="str">
            <val>2022/08/01</val>
          </value>
        </values>
      </ddeItem>
      <ddeItem name="6179.TW-ID,Name,MarketValue,Capital,NetIncomeGrowthRate,OperIncomeGrowthRate,FinancialStatementsTime,TFXRatio,MonthlyNetSalesYoY,RevenueMonth" advise="1">
        <values cols="10">
          <value t="str">
            <val>6179</val>
          </value>
          <value t="str">
            <val>亞通</val>
          </value>
          <value t="str">
            <val>24.7</val>
          </value>
          <value t="str">
            <val>8.81</val>
          </value>
          <value t="str">
            <val>-84.55</val>
          </value>
          <value t="str">
            <val>-131.07</val>
          </value>
          <value t="str">
            <val>2022/03</val>
          </value>
          <value t="str">
            <val>69.21</val>
          </value>
          <value t="str">
            <val>-20.76</val>
          </value>
          <value t="str">
            <val>2022/06</val>
          </value>
        </values>
      </ddeItem>
      <ddeItem name="6179.TW-OperatingProfitRatio,Price,PriceChangeRatio,InOutRatioNumber,Value,YearReturn,MonthReturn,WeekReturn,FinanceBalanceDif,ChipsField2" advise="1">
        <values cols="10">
          <value t="str">
            <val>-2.37</val>
          </value>
          <value>
            <val>28.05</val>
          </value>
          <value>
            <val>0</val>
          </value>
          <value t="str">
            <val>39.02%</val>
          </value>
          <value t="str">
            <val>121萬</val>
          </value>
          <value t="str">
            <val>-1.71</val>
          </value>
          <value t="str">
            <val>+5.25</val>
          </value>
          <value t="str">
            <val>-1.23</val>
          </value>
          <value>
            <val>1</val>
          </value>
          <value>
            <val>0</val>
          </value>
        </values>
      </ddeItem>
      <ddeItem name="618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-56</val>
          </value>
          <value t="str">
            <val>2022/07/07</val>
          </value>
          <value t="str">
            <val>5.00</val>
          </value>
          <value>
            <val>8.31</val>
          </value>
          <value t="str">
            <val>7.52</val>
          </value>
          <value t="str">
            <val>2.97</val>
          </value>
          <value t="str">
            <val>橘子</val>
          </value>
          <value t="str">
            <val>上櫃文化創意</val>
          </value>
          <value t="str">
            <val>台灣第2大遊戲軟體開發與營運商</val>
          </value>
        </values>
      </ddeItem>
      <ddeItem name="6180.TW-CName,InvestorConferenceDate,DateofMeetingofShareHolders,TradingDate" advise="1">
        <values cols="4">
          <value t="str">
            <val>橘子</val>
          </value>
          <value t="str">
            <val>2022/05/26</val>
          </value>
          <value t="str">
            <val>2022/06/16</val>
          </value>
          <value t="str">
            <val>2022/08/01</val>
          </value>
        </values>
      </ddeItem>
      <ddeItem name="6180.TW-ID,Name,MarketValue,Capital,NetIncomeGrowthRate,OperIncomeGrowthRate,FinancialStatementsTime,TFXRatio,MonthlyNetSalesYoY,RevenueMonth" advise="1">
        <values cols="10">
          <value t="str">
            <val>6180</val>
          </value>
          <value t="str">
            <val>橘子</val>
          </value>
          <value t="str">
            <val>105.6</val>
          </value>
          <value t="str">
            <val>17.55</val>
          </value>
          <value t="str">
            <val>79.39</val>
          </value>
          <value t="str">
            <val>82.74</val>
          </value>
          <value t="str">
            <val>2022/03</val>
          </value>
          <value t="str">
            <val>4.76</val>
          </value>
          <value t="str">
            <val>-9.74</val>
          </value>
          <value t="str">
            <val>2022/06</val>
          </value>
        </values>
      </ddeItem>
      <ddeItem name="6180.TW-OperatingProfitRatio,Price,PriceChangeRatio,InOutRatioNumber,Value,YearReturn,MonthReturn,WeekReturn,FinanceBalanceDif,ChipsField2" advise="1">
        <values cols="10">
          <value t="str">
            <val>23.06</val>
          </value>
          <value>
            <val>60.2</val>
          </value>
          <value>
            <val>1.52</val>
          </value>
          <value t="str">
            <val>72.54%</val>
          </value>
          <value t="str">
            <val>2068萬</val>
          </value>
          <value t="str">
            <val>+10.12</val>
          </value>
          <value t="str">
            <val>+7.50</val>
          </value>
          <value t="str">
            <val>+0.67</val>
          </value>
          <value>
            <val>40</val>
          </value>
          <value>
            <val>0</val>
          </value>
        </values>
      </ddeItem>
      <ddeItem name="6182.TW-ChipsField3,ChipsField1,ChipsField25,CashAndStockDividend,CashDividendYieldRate,ProfitFourSeason,ProfitSingle,CName,ExchangeIndustry,CompanyPos" advise="1">
        <values cols="10">
          <value>
            <val>125</val>
          </value>
          <value>
            <val>1447</val>
          </value>
          <value t="str">
            <val>2022/07/19</val>
          </value>
          <value t="str">
            <val>1.35</val>
          </value>
          <value>
            <val>2.86</val>
          </value>
          <value t="str">
            <val>2.66</val>
          </value>
          <value t="str">
            <val>0.90</val>
          </value>
          <value t="str">
            <val>合晶</val>
          </value>
          <value t="str">
            <val>上櫃半導體</val>
          </value>
          <value t="str">
            <val>台灣6吋及8吋矽晶圓製造商</val>
          </value>
        </values>
      </ddeItem>
      <ddeItem name="6182.TW-CName,InvestorConferenceDate,DateofMeetingofShareHolders,TradingDate" advise="1">
        <values cols="4">
          <value t="str">
            <val>合晶</val>
          </value>
          <value t="str">
            <val>2021/03/05</val>
          </value>
          <value t="str">
            <val>2022/06/21</val>
          </value>
          <value t="str">
            <val>2022/08/01</val>
          </value>
        </values>
      </ddeItem>
      <ddeItem name="6182.TW-ID,Name,MarketValue,Capital,NetIncomeGrowthRate,OperIncomeGrowthRate,FinancialStatementsTime,TFXRatio,MonthlyNetSalesYoY,RevenueMonth" advise="1">
        <values cols="10">
          <value t="str">
            <val>6182</val>
          </value>
          <value t="str">
            <val>合晶</val>
          </value>
          <value t="str">
            <val>255.1</val>
          </value>
          <value t="str">
            <val>54.09</val>
          </value>
          <value t="str">
            <val>243.97</val>
          </value>
          <value t="str">
            <val>175.14</val>
          </value>
          <value t="str">
            <val>2022/03</val>
          </value>
          <value t="str">
            <val>11.42</val>
          </value>
          <value t="str">
            <val>37.53</val>
          </value>
          <value t="str">
            <val>2022/06</val>
          </value>
        </values>
      </ddeItem>
      <ddeItem name="6182.TW-OperatingProfitRatio,Price,PriceChangeRatio,InOutRatioNumber,Value,YearReturn,MonthReturn,WeekReturn,FinanceBalanceDif,ChipsField2" advise="1">
        <values cols="10">
          <value t="str">
            <val>28.33</val>
          </value>
          <value>
            <val>47.15</val>
          </value>
          <value>
            <val>-1.26</val>
          </value>
          <value t="str">
            <val>42.97%</val>
          </value>
          <value t="str">
            <val>2.10億</val>
          </value>
          <value t="str">
            <val>-29.38</val>
          </value>
          <value t="str">
            <val>+7.68</val>
          </value>
          <value t="str">
            <val>-0.84</val>
          </value>
          <value>
            <val>-224</val>
          </value>
          <value>
            <val>0</val>
          </value>
        </values>
      </ddeItem>
      <ddeItem name="61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2022/06/14</val>
          </value>
          <value t="str">
            <val>0.20</val>
          </value>
          <value>
            <val>1.55</val>
          </value>
          <value t="str">
            <val>-0.46</val>
          </value>
          <value t="str">
            <val>-0.06</val>
          </value>
          <value t="str">
            <val>幃翔</val>
          </value>
          <value t="str">
            <val>上櫃電子零組件</val>
          </value>
          <value t="str">
            <val>BTB、快閃記憶卡類連接器生產廠</val>
          </value>
        </values>
      </ddeItem>
      <ddeItem name="6185.TW-CName,InvestorConferenceDate,DateofMeetingofShareHolders,TradingDate" advise="1">
        <values cols="4">
          <value t="str">
            <val>幃翔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6185.TW-ID,Name,MarketValue,Capital,NetIncomeGrowthRate,OperIncomeGrowthRate,FinancialStatementsTime,TFXRatio,MonthlyNetSalesYoY,RevenueMonth" advise="1">
        <values cols="10">
          <value t="str">
            <val>6185</val>
          </value>
          <value t="str">
            <val>幃翔</val>
          </value>
          <value t="str">
            <val>19.3</val>
          </value>
          <value t="str">
            <val>14.99</val>
          </value>
          <value t="str">
            <val>77.23</val>
          </value>
          <value t="str">
            <val>52.52</val>
          </value>
          <value t="str">
            <val>2022/03</val>
          </value>
          <value t="str">
            <val>42.78</val>
          </value>
          <value t="str">
            <val>31.32</val>
          </value>
          <value t="str">
            <val>2022/06</val>
          </value>
        </values>
      </ddeItem>
      <ddeItem name="6185.TW-OperatingProfitRatio,Price,PriceChangeRatio,InOutRatioNumber,Value,YearReturn,MonthReturn,WeekReturn,FinanceBalanceDif,ChipsField2" advise="1">
        <values cols="10">
          <value t="str">
            <val>-11.98</val>
          </value>
          <value>
            <val>12.9</val>
          </value>
          <value>
            <val>0.78</val>
          </value>
          <value t="str">
            <val>68.83%</val>
          </value>
          <value t="str">
            <val>322萬</val>
          </value>
          <value t="str">
            <val>+0.05</val>
          </value>
          <value t="str">
            <val>+7.05</val>
          </value>
          <value t="str">
            <val>+1.18</val>
          </value>
          <value>
            <val>20</val>
          </value>
          <value>
            <val>0</val>
          </value>
        </values>
      </ddeItem>
      <ddeItem name="6186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13</val>
          </value>
          <value t="str">
            <val>--</val>
          </value>
          <value t="str">
            <val>3.00</val>
          </value>
          <value>
            <val>11.3</val>
          </value>
          <value t="str">
            <val>1.06</val>
          </value>
          <value t="str">
            <val>-0.24</val>
          </value>
          <value t="str">
            <val>新潤</val>
          </value>
          <value t="str">
            <val>上櫃建材營造</val>
          </value>
          <value t="str">
            <val>推案以台鐵、高鐵及捷運沿線為主之建商</val>
          </value>
        </values>
      </ddeItem>
      <ddeItem name="6186.TW-CName,InvestorConferenceDate,DateofMeetingofShareHolders,TradingDate" advise="1">
        <values cols="4">
          <value t="str">
            <val>新潤</val>
          </value>
          <value t="str">
            <val>--</val>
          </value>
          <value t="str">
            <val>2022/06/30</val>
          </value>
          <value t="str">
            <val>2022/08/01</val>
          </value>
        </values>
      </ddeItem>
      <ddeItem name="6186.TW-ID,Name,MarketValue,Capital,NetIncomeGrowthRate,OperIncomeGrowthRate,FinancialStatementsTime,TFXRatio,MonthlyNetSalesYoY,RevenueMonth" advise="1">
        <values cols="10">
          <value t="str">
            <val>6186</val>
          </value>
          <value t="str">
            <val>新潤</val>
          </value>
          <value t="str">
            <val>39.8</val>
          </value>
          <value t="str">
            <val>15.00</val>
          </value>
          <value t="str">
            <val>-113.35</val>
          </value>
          <value t="str">
            <val>-110.71</val>
          </value>
          <value t="str">
            <val>2022/03</val>
          </value>
          <value t="str">
            <val>--</val>
          </value>
          <value t="str">
            <val>-100.00</val>
          </value>
          <value t="str">
            <val>2022/06</val>
          </value>
        </values>
      </ddeItem>
      <ddeItem name="6186.TW-OperatingProfitRatio,Price,PriceChangeRatio,InOutRatioNumber,Value,YearReturn,MonthReturn,WeekReturn,FinanceBalanceDif,ChipsField2" advise="1">
        <values cols="10">
          <value t="str">
            <val>-2181.81</val>
          </value>
          <value>
            <val>26.55</val>
          </value>
          <value>
            <val>1.1399999999999999</val>
          </value>
          <value t="str">
            <val>62.73%</val>
          </value>
          <value t="str">
            <val>291萬</val>
          </value>
          <value t="str">
            <val>+0.85</val>
          </value>
          <value t="str">
            <val>+3.51</val>
          </value>
          <value t="str">
            <val>+1.34</val>
          </value>
          <value>
            <val>-4</val>
          </value>
          <value>
            <val>0</val>
          </value>
        </values>
      </ddeItem>
      <ddeItem name="6187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237</val>
          </value>
          <value t="str">
            <val>2022/07/11</val>
          </value>
          <value t="str">
            <val>4.50</val>
          </value>
          <value>
            <val>5.98</val>
          </value>
          <value t="str">
            <val>6.84</val>
          </value>
          <value t="str">
            <val>1.83</val>
          </value>
          <value t="str">
            <val>萬潤</val>
          </value>
          <value t="str">
            <val>上櫃其他電子</val>
          </value>
          <value t="str">
            <val>被動元件、封測暨光電產業設備廠商</val>
          </value>
        </values>
      </ddeItem>
      <ddeItem name="6187.TW-CName,InvestorConferenceDate,DateofMeetingofShareHolders,TradingDate" advise="1">
        <values cols="4">
          <value t="str">
            <val>萬潤</val>
          </value>
          <value t="str">
            <val>2021/11/16</val>
          </value>
          <value t="str">
            <val>2022/06/09</val>
          </value>
          <value t="str">
            <val>2022/08/01</val>
          </value>
        </values>
      </ddeItem>
      <ddeItem name="6187.TW-ID,Name,MarketValue,Capital,NetIncomeGrowthRate,OperIncomeGrowthRate,FinancialStatementsTime,TFXRatio,MonthlyNetSalesYoY,RevenueMonth" advise="1">
        <values cols="10">
          <value t="str">
            <val>6187</val>
          </value>
          <value t="str">
            <val>萬潤</val>
          </value>
          <value t="str">
            <val>62.7</val>
          </value>
          <value t="str">
            <val>8.33</val>
          </value>
          <value t="str">
            <val>11.72</val>
          </value>
          <value t="str">
            <val>-9.54</val>
          </value>
          <value t="str">
            <val>2022/03</val>
          </value>
          <value t="str">
            <val>4.59</val>
          </value>
          <value t="str">
            <val>-1.21</val>
          </value>
          <value t="str">
            <val>2022/06</val>
          </value>
        </values>
      </ddeItem>
      <ddeItem name="6187.TW-OperatingProfitRatio,Price,PriceChangeRatio,InOutRatioNumber,Value,YearReturn,MonthReturn,WeekReturn,FinanceBalanceDif,ChipsField2" advise="1">
        <values cols="10">
          <value t="str">
            <val>22.83</val>
          </value>
          <value>
            <val>75.3</val>
          </value>
          <value>
            <val>-1.57</val>
          </value>
          <value t="str">
            <val>21.62%</val>
          </value>
          <value t="str">
            <val>2234萬</val>
          </value>
          <value t="str">
            <val>-41.63</val>
          </value>
          <value t="str">
            <val>+6.50</val>
          </value>
          <value t="str">
            <val>-4.68</val>
          </value>
          <value>
            <val>-37</val>
          </value>
          <value>
            <val>-117</val>
          </value>
        </values>
      </ddeItem>
      <ddeItem name="6188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709</val>
          </value>
          <value t="str">
            <val>2022/07/25</val>
          </value>
          <value t="str">
            <val>2.80</val>
          </value>
          <value>
            <val>6.75</val>
          </value>
          <value t="str">
            <val>3.82</val>
          </value>
          <value t="str">
            <val>0.93</val>
          </value>
          <value t="str">
            <val>廣明</val>
          </value>
          <value t="str">
            <val>上櫃電腦及週邊設備</val>
          </value>
          <value t="str">
            <val>廣達集團旗下的硬碟產品公司</val>
          </value>
        </values>
      </ddeItem>
      <ddeItem name="6188.TW-CName,InvestorConferenceDate,DateofMeetingofShareHolders,TradingDate" advise="1">
        <values cols="4">
          <value t="str">
            <val>廣明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6188.TW-ID,Name,MarketValue,Capital,NetIncomeGrowthRate,OperIncomeGrowthRate,FinancialStatementsTime,TFXRatio,MonthlyNetSalesYoY,RevenueMonth" advise="1">
        <values cols="10">
          <value t="str">
            <val>6188</val>
          </value>
          <value t="str">
            <val>廣明</val>
          </value>
          <value t="str">
            <val>115.5</val>
          </value>
          <value t="str">
            <val>27.84</val>
          </value>
          <value t="str">
            <val>37.01</val>
          </value>
          <value t="str">
            <val>15.42</val>
          </value>
          <value t="str">
            <val>2022/03</val>
          </value>
          <value t="str">
            <val>30.46</val>
          </value>
          <value t="str">
            <val>76.65</val>
          </value>
          <value t="str">
            <val>2022/06</val>
          </value>
        </values>
      </ddeItem>
      <ddeItem name="6188.TW-OperatingProfitRatio,Price,PriceChangeRatio,InOutRatioNumber,Value,YearReturn,MonthReturn,WeekReturn,FinanceBalanceDif,ChipsField2" advise="1">
        <values cols="10">
          <value t="str">
            <val>8.45</val>
          </value>
          <value>
            <val>41.5</val>
          </value>
          <value>
            <val>1.1000000000000001</val>
          </value>
          <value t="str">
            <val>53.07%</val>
          </value>
          <value t="str">
            <val>6721萬</val>
          </value>
          <value t="str">
            <val>+20.61</val>
          </value>
          <value t="str">
            <val>+22.78</val>
          </value>
          <value t="str">
            <val>+2.22</val>
          </value>
          <value>
            <val>-188</val>
          </value>
          <value>
            <val>0</val>
          </value>
        </values>
      </ddeItem>
      <ddeItem name="6190.TW-ChipsField3,ChipsField1,ChipsField25,CashAndStockDividend,CashDividendYieldRate,ProfitFourSeason,ProfitSingle,CName,ExchangeIndustry,CompanyPos" advise="1">
        <values cols="10">
          <value>
            <val>37</val>
          </value>
          <value>
            <val>231</val>
          </value>
          <value t="str">
            <val>2022/08/01</val>
          </value>
          <value t="str">
            <val>1.39</val>
          </value>
          <value>
            <val>3.99</val>
          </value>
          <value t="str">
            <val>1.97</val>
          </value>
          <value t="str">
            <val>0.57</val>
          </value>
          <value t="str">
            <val>萬泰科</val>
          </value>
          <value t="str">
            <val>上櫃通信網路</val>
          </value>
          <value t="str">
            <val>主要生產網通、醫療、車用等市場應用的線材供應商</val>
          </value>
        </values>
      </ddeItem>
      <ddeItem name="6190.TW-CName,InvestorConferenceDate,DateofMeetingofShareHolders,TradingDate" advise="1">
        <values cols="4">
          <value t="str">
            <val>萬泰科</val>
          </value>
          <value t="str">
            <val>2021/11/22</val>
          </value>
          <value t="str">
            <val>2022/06/08</val>
          </value>
          <value t="str">
            <val>2022/08/01</val>
          </value>
        </values>
      </ddeItem>
      <ddeItem name="6190.TW-ID,Name,MarketValue,Capital,NetIncomeGrowthRate,OperIncomeGrowthRate,FinancialStatementsTime,TFXRatio,MonthlyNetSalesYoY,RevenueMonth" advise="1">
        <values cols="10">
          <value t="str">
            <val>6190</val>
          </value>
          <value t="str">
            <val>萬泰科</val>
          </value>
          <value t="str">
            <val>56.1</val>
          </value>
          <value t="str">
            <val>16.16</val>
          </value>
          <value t="str">
            <val>111.51</val>
          </value>
          <value t="str">
            <val>47.08</val>
          </value>
          <value t="str">
            <val>2022/03</val>
          </value>
          <value t="str">
            <val>-1.37</val>
          </value>
          <value t="str">
            <val>30.62</val>
          </value>
          <value t="str">
            <val>2022/06</val>
          </value>
        </values>
      </ddeItem>
      <ddeItem name="6190.TW-OperatingProfitRatio,Price,PriceChangeRatio,InOutRatioNumber,Value,YearReturn,MonthReturn,WeekReturn,FinanceBalanceDif,ChipsField2" advise="1">
        <values cols="10">
          <value t="str">
            <val>4.75</val>
          </value>
          <value>
            <val>34.799999999999997</val>
          </value>
          <value>
            <val>0.72</val>
          </value>
          <value t="str">
            <val>46.50%</val>
          </value>
          <value t="str">
            <val>3467萬</val>
          </value>
          <value t="str">
            <val>+46.99</val>
          </value>
          <value t="str">
            <val>+12.96</val>
          </value>
          <value t="str">
            <val>+4.03</val>
          </value>
          <value>
            <val>-25</val>
          </value>
          <value>
            <val>0</val>
          </value>
        </values>
      </ddeItem>
      <ddeItem name="619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2022/07/12</val>
          </value>
          <value t="str">
            <val>0.25</val>
          </value>
          <value>
            <val>1.17</val>
          </value>
          <value t="str">
            <val>-0.20</val>
          </value>
          <value t="str">
            <val>-0.35</val>
          </value>
          <value t="str">
            <val>育富</val>
          </value>
          <value t="str">
            <val>上櫃電子零組件</val>
          </value>
          <value t="str">
            <val>台灣印刷電路板製造業者</val>
          </value>
        </values>
      </ddeItem>
      <ddeItem name="6194.TW-CName,InvestorConferenceDate,DateofMeetingofShareHolders,TradingDate" advise="1">
        <values cols="4">
          <value t="str">
            <val>育富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6194.TW-ID,Name,MarketValue,Capital,NetIncomeGrowthRate,OperIncomeGrowthRate,FinancialStatementsTime,TFXRatio,MonthlyNetSalesYoY,RevenueMonth" advise="1">
        <values cols="10">
          <value t="str">
            <val>6194</val>
          </value>
          <value t="str">
            <val>育富</val>
          </value>
          <value t="str">
            <val>12.8</val>
          </value>
          <value t="str">
            <val>6.00</val>
          </value>
          <value t="str">
            <val>-385.02</val>
          </value>
          <value t="str">
            <val>-915.06</val>
          </value>
          <value t="str">
            <val>2022/03</val>
          </value>
          <value t="str">
            <val>-43.47</val>
          </value>
          <value t="str">
            <val>-45.76</val>
          </value>
          <value t="str">
            <val>2022/06</val>
          </value>
        </values>
      </ddeItem>
      <ddeItem name="6194.TW-OperatingProfitRatio,Price,PriceChangeRatio,InOutRatioNumber,Value,YearReturn,MonthReturn,WeekReturn,FinanceBalanceDif,ChipsField2" advise="1">
        <values cols="10">
          <value t="str">
            <val>-10.67</val>
          </value>
          <value>
            <val>21.3</val>
          </value>
          <value>
            <val>0</val>
          </value>
          <value t="str">
            <val>67.86%</val>
          </value>
          <value t="str">
            <val>59.6萬</val>
          </value>
          <value t="str">
            <val>-22.70</val>
          </value>
          <value t="str">
            <val>-1.15</val>
          </value>
          <value t="str">
            <val>-0.23</val>
          </value>
          <value>
            <val>4</val>
          </value>
          <value>
            <val>0</val>
          </value>
        </values>
      </ddeItem>
      <ddeItem name="619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</val>
          </value>
          <value t="str">
            <val>2022/07/11</val>
          </value>
          <value t="str">
            <val>4.40</val>
          </value>
          <value>
            <val>9.1</val>
          </value>
          <value t="str">
            <val>5.19</val>
          </value>
          <value t="str">
            <val>1.59</val>
          </value>
          <value t="str">
            <val>詩肯</val>
          </value>
          <value t="str">
            <val>上櫃貿易百貨</val>
          </value>
          <value t="str">
            <val>台灣最大連鎖家具品牌通路商</val>
          </value>
        </values>
      </ddeItem>
      <ddeItem name="6195.TW-CName,InvestorConferenceDate,DateofMeetingofShareHolders,TradingDate" advise="1">
        <values cols="4">
          <value t="str">
            <val>詩肯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6195.TW-ID,Name,MarketValue,Capital,NetIncomeGrowthRate,OperIncomeGrowthRate,FinancialStatementsTime,TFXRatio,MonthlyNetSalesYoY,RevenueMonth" advise="1">
        <values cols="10">
          <value t="str">
            <val>6195</val>
          </value>
          <value t="str">
            <val>詩肯</val>
          </value>
          <value t="str">
            <val>24.3</val>
          </value>
          <value t="str">
            <val>5.02</val>
          </value>
          <value t="str">
            <val>-17.97</val>
          </value>
          <value t="str">
            <val>-14.85</val>
          </value>
          <value t="str">
            <val>2022/03</val>
          </value>
          <value t="str">
            <val>12.34</val>
          </value>
          <value t="str">
            <val>56.11</val>
          </value>
          <value t="str">
            <val>2022/06</val>
          </value>
        </values>
      </ddeItem>
      <ddeItem name="6195.TW-OperatingProfitRatio,Price,PriceChangeRatio,InOutRatioNumber,Value,YearReturn,MonthReturn,WeekReturn,FinanceBalanceDif,ChipsField2" advise="1">
        <values cols="10">
          <value t="str">
            <val>15.22</val>
          </value>
          <value>
            <val>48.35</val>
          </value>
          <value>
            <val>2</val>
          </value>
          <value t="str">
            <val>76.39%</val>
          </value>
          <value t="str">
            <val>346萬</val>
          </value>
          <value t="str">
            <val>+0.95</val>
          </value>
          <value t="str">
            <val>+10.97</val>
          </value>
          <value t="str">
            <val>+6.73</val>
          </value>
          <value>
            <val>1</val>
          </value>
          <value>
            <val>0</val>
          </value>
        </values>
      </ddeItem>
      <ddeItem name="619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-0.49</val>
          </value>
          <value t="str">
            <val>-0.14</val>
          </value>
          <value t="str">
            <val>凌泰</val>
          </value>
          <value t="str">
            <val>上櫃半導體</val>
          </value>
          <value t="str">
            <val>視訊暫存記憶體及訊號轉換IC設計廠商</val>
          </value>
        </values>
      </ddeItem>
      <ddeItem name="6198.TW-CName,InvestorConferenceDate,DateofMeetingofShareHolders,TradingDate" advise="1">
        <values cols="4">
          <value t="str">
            <val>凌泰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6198.TW-ID,Name,MarketValue,Capital,NetIncomeGrowthRate,OperIncomeGrowthRate,FinancialStatementsTime,TFXRatio,MonthlyNetSalesYoY,RevenueMonth" advise="1">
        <values cols="10">
          <value t="str">
            <val>6198</val>
          </value>
          <value t="str">
            <val>凌泰</val>
          </value>
          <value t="str">
            <val>6.8</val>
          </value>
          <value t="str">
            <val>2.26</val>
          </value>
          <value t="str">
            <val>-173.11</val>
          </value>
          <value t="str">
            <val>-212.94</val>
          </value>
          <value t="str">
            <val>2022/03</val>
          </value>
          <value t="str">
            <val>--</val>
          </value>
          <value t="str">
            <val>-100.00</val>
          </value>
          <value t="str">
            <val>2022/06</val>
          </value>
        </values>
      </ddeItem>
      <ddeItem name="6198.TW-OperatingProfitRatio,Price,PriceChangeRatio,InOutRatioNumber,Value,YearReturn,MonthReturn,WeekReturn,FinanceBalanceDif,ChipsField2" advise="1">
        <values cols="10">
          <value t="str">
            <val>-371.73</val>
          </value>
          <value>
            <val>29.95</val>
          </value>
          <value>
            <val>-0.66</val>
          </value>
          <value t="str">
            <val>100.00%</val>
          </value>
          <value t="str">
            <val>3.00萬</val>
          </value>
          <value t="str">
            <val>-13.06</val>
          </value>
          <value t="str">
            <val>-3.07</val>
          </value>
          <value t="str">
            <val>-2.60</val>
          </value>
          <value>
            <val>0</val>
          </value>
          <value>
            <val>0</val>
          </value>
        </values>
      </ddeItem>
      <ddeItem name="6199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-14</val>
          </value>
          <value t="str">
            <val>--</val>
          </value>
          <value t="str">
            <val>0.00</val>
          </value>
          <value>
            <val>0</val>
          </value>
          <value t="str">
            <val>1.26</val>
          </value>
          <value t="str">
            <val>0.54</val>
          </value>
          <value t="str">
            <val>天品</val>
          </value>
          <value t="str">
            <val>上櫃其他</val>
          </value>
          <value t="str">
            <val>專營基督徒塔位銷售及殯葬服務</val>
          </value>
        </values>
      </ddeItem>
      <ddeItem name="6199.TW-CName,InvestorConferenceDate,DateofMeetingofShareHolders,TradingDate" advise="1">
        <values cols="4">
          <value t="str">
            <val>天品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6199.TW-ID,Name,MarketValue,Capital,NetIncomeGrowthRate,OperIncomeGrowthRate,FinancialStatementsTime,TFXRatio,MonthlyNetSalesYoY,RevenueMonth" advise="1">
        <values cols="10">
          <value t="str">
            <val>6199</val>
          </value>
          <value t="str">
            <val>天品</val>
          </value>
          <value t="str">
            <val>17.0</val>
          </value>
          <value t="str">
            <val>6.18</val>
          </value>
          <value t="str">
            <val>1328.67</val>
          </value>
          <value t="str">
            <val>6484.91</val>
          </value>
          <value t="str">
            <val>2022/03</val>
          </value>
          <value t="str">
            <val>30.47</val>
          </value>
          <value t="str">
            <val>109.04</val>
          </value>
          <value t="str">
            <val>2022/06</val>
          </value>
        </values>
      </ddeItem>
      <ddeItem name="6199.TW-OperatingProfitRatio,Price,PriceChangeRatio,InOutRatioNumber,Value,YearReturn,MonthReturn,WeekReturn,FinanceBalanceDif,ChipsField2" advise="1">
        <values cols="10">
          <value t="str">
            <val>14.49</val>
          </value>
          <value>
            <val>27.45</val>
          </value>
          <value>
            <val>4.7699999999999996</val>
          </value>
          <value t="str">
            <val>63.51%</val>
          </value>
          <value t="str">
            <val>196萬</val>
          </value>
          <value t="str">
            <val>+67.89</val>
          </value>
          <value t="str">
            <val>0.00</val>
          </value>
          <value t="str">
            <val>+10.69</val>
          </value>
          <value>
            <val>0</val>
          </value>
          <value>
            <val>0</val>
          </value>
        </values>
      </ddeItem>
      <ddeItem name="6203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17</val>
          </value>
          <value t="str">
            <val>--</val>
          </value>
          <value t="str">
            <val>5.00</val>
          </value>
          <value>
            <val>9.2799999999999994</val>
          </value>
          <value t="str">
            <val>8.21</val>
          </value>
          <value t="str">
            <val>1.76</val>
          </value>
          <value t="str">
            <val>海韻電</val>
          </value>
          <value t="str">
            <val>上櫃電子零組件</val>
          </value>
          <value t="str">
            <val>台灣以PC高階應用為主之交換式電源供應器廠商</val>
          </value>
        </values>
      </ddeItem>
      <ddeItem name="6203.TW-CName,InvestorConferenceDate,DateofMeetingofShareHolders,TradingDate" advise="1">
        <values cols="4">
          <value t="str">
            <val>海韻電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6203.TW-ID,Name,MarketValue,Capital,NetIncomeGrowthRate,OperIncomeGrowthRate,FinancialStatementsTime,TFXRatio,MonthlyNetSalesYoY,RevenueMonth" advise="1">
        <values cols="10">
          <value t="str">
            <val>6203</val>
          </value>
          <value t="str">
            <val>海韻電</val>
          </value>
          <value t="str">
            <val>43.1</val>
          </value>
          <value t="str">
            <val>8.00</val>
          </value>
          <value t="str">
            <val>-40.55</val>
          </value>
          <value t="str">
            <val>-67.94</val>
          </value>
          <value t="str">
            <val>2022/03</val>
          </value>
          <value t="str">
            <val>-18.11</val>
          </value>
          <value t="str">
            <val>-47.33</val>
          </value>
          <value t="str">
            <val>2022/06</val>
          </value>
        </values>
      </ddeItem>
      <ddeItem name="6203.TW-OperatingProfitRatio,Price,PriceChangeRatio,InOutRatioNumber,Value,YearReturn,MonthReturn,WeekReturn,FinanceBalanceDif,ChipsField2" advise="1">
        <values cols="10">
          <value t="str">
            <val>15.29</val>
          </value>
          <value>
            <val>53.9</val>
          </value>
          <value>
            <val>-0.37</val>
          </value>
          <value t="str">
            <val>36.36%</val>
          </value>
          <value t="str">
            <val>244萬</val>
          </value>
          <value t="str">
            <val>-44.77</val>
          </value>
          <value t="str">
            <val>+5.69</val>
          </value>
          <value t="str">
            <val>-1.64</val>
          </value>
          <value>
            <val>-2</val>
          </value>
          <value>
            <val>0</val>
          </value>
        </values>
      </ddeItem>
      <ddeItem name="62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2022/03/24</val>
          </value>
          <value t="str">
            <val>5.20</val>
          </value>
          <value>
            <val>36.659999999999997</val>
          </value>
          <value t="str">
            <val>11.65</val>
          </value>
          <value t="str">
            <val>0.23</val>
          </value>
          <value t="str">
            <val>艾華</val>
          </value>
          <value t="str">
            <val>上櫃電子零組件</val>
          </value>
          <value t="str">
            <val>電腦週邊及音響用之可變電阻器廠商</val>
          </value>
        </values>
      </ddeItem>
      <ddeItem name="6204.TW-CName,InvestorConferenceDate,DateofMeetingofShareHolders,TradingDate" advise="1">
        <values cols="4">
          <value t="str">
            <val>艾華</val>
          </value>
          <value t="str">
            <val>2021/11/16</val>
          </value>
          <value t="str">
            <val>2022/05/24</val>
          </value>
          <value t="str">
            <val>2022/08/01</val>
          </value>
        </values>
      </ddeItem>
      <ddeItem name="6204.TW-ID,Name,MarketValue,Capital,NetIncomeGrowthRate,OperIncomeGrowthRate,FinancialStatementsTime,TFXRatio,MonthlyNetSalesYoY,RevenueMonth" advise="1">
        <values cols="10">
          <value t="str">
            <val>6204</val>
          </value>
          <value t="str">
            <val>艾華</val>
          </value>
          <value t="str">
            <val>12.7</val>
          </value>
          <value t="str">
            <val>2.31</val>
          </value>
          <value t="str">
            <val>-76.71</val>
          </value>
          <value t="str">
            <val>-122.46</val>
          </value>
          <value t="str">
            <val>2022/03</val>
          </value>
          <value t="str">
            <val>14.09</val>
          </value>
          <value t="str">
            <val>-44.94</val>
          </value>
          <value t="str">
            <val>2022/06</val>
          </value>
        </values>
      </ddeItem>
      <ddeItem name="6204.TW-OperatingProfitRatio,Price,PriceChangeRatio,InOutRatioNumber,Value,YearReturn,MonthReturn,WeekReturn,FinanceBalanceDif,ChipsField2" advise="1">
        <values cols="10">
          <value t="str">
            <val>-0.27</val>
          </value>
          <value>
            <val>55.1</val>
          </value>
          <value>
            <val>0.18</val>
          </value>
          <value t="str">
            <val>16.67%</val>
          </value>
          <value t="str">
            <val>33.1萬</val>
          </value>
          <value t="str">
            <val>-21.19</val>
          </value>
          <value t="str">
            <val>+14.32</val>
          </value>
          <value t="str">
            <val>+2.99</val>
          </value>
          <value>
            <val>1</val>
          </value>
          <value>
            <val>0</val>
          </value>
        </values>
      </ddeItem>
      <ddeItem name="62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33</val>
          </value>
          <value t="str">
            <val>2022/08/02</val>
          </value>
          <value t="str">
            <val>1.50</val>
          </value>
          <value>
            <val>5.43</val>
          </value>
          <value t="str">
            <val>3.20</val>
          </value>
          <value t="str">
            <val>0.54</val>
          </value>
          <value t="str">
            <val>雷科</val>
          </value>
          <value t="str">
            <val>上櫃電子零組件</val>
          </value>
          <value t="str">
            <val>台灣最大被動元件紙帶包材供應商</val>
          </value>
        </values>
      </ddeItem>
      <ddeItem name="6207.TW-CName,InvestorConferenceDate,DateofMeetingofShareHolders,TradingDate" advise="1">
        <values cols="4">
          <value t="str">
            <val>雷科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6207.TW-ID,Name,MarketValue,Capital,NetIncomeGrowthRate,OperIncomeGrowthRate,FinancialStatementsTime,TFXRatio,MonthlyNetSalesYoY,RevenueMonth" advise="1">
        <values cols="10">
          <value t="str">
            <val>6207</val>
          </value>
          <value t="str">
            <val>雷科</val>
          </value>
          <value t="str">
            <val>23.1</val>
          </value>
          <value t="str">
            <val>8.39</val>
          </value>
          <value t="str">
            <val>33.51</val>
          </value>
          <value t="str">
            <val>0.08</val>
          </value>
          <value t="str">
            <val>2022/03</val>
          </value>
          <value t="str">
            <val>16.56</val>
          </value>
          <value t="str">
            <val>25.67</val>
          </value>
          <value t="str">
            <val>2022/06</val>
          </value>
        </values>
      </ddeItem>
      <ddeItem name="6207.TW-OperatingProfitRatio,Price,PriceChangeRatio,InOutRatioNumber,Value,YearReturn,MonthReturn,WeekReturn,FinanceBalanceDif,ChipsField2" advise="1">
        <values cols="10">
          <value t="str">
            <val>9.24</val>
          </value>
          <value>
            <val>27.6</val>
          </value>
          <value>
            <val>1.85</val>
          </value>
          <value t="str">
            <val>64.63%</val>
          </value>
          <value t="str">
            <val>678萬</val>
          </value>
          <value t="str">
            <val>-13.82</val>
          </value>
          <value t="str">
            <val>+13.81</val>
          </value>
          <value t="str">
            <val>+3.56</val>
          </value>
          <value>
            <val>-17</val>
          </value>
          <value>
            <val>0</val>
          </value>
        </values>
      </ddeItem>
      <ddeItem name="62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2022/03/15</val>
          </value>
          <value t="str">
            <val>2.20</val>
          </value>
          <value>
            <val>4.53</val>
          </value>
          <value t="str">
            <val>3.57</val>
          </value>
          <value t="str">
            <val>0.96</val>
          </value>
          <value t="str">
            <val>日揚</val>
          </value>
          <value t="str">
            <val>上櫃電子零組件</val>
          </value>
          <value t="str">
            <val>台灣最大製程設備真空元件供應商</val>
          </value>
        </values>
      </ddeItem>
      <ddeItem name="6208.TW-CName,InvestorConferenceDate,DateofMeetingofShareHolders,TradingDate" advise="1">
        <values cols="4">
          <value t="str">
            <val>日揚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6208.TW-ID,Name,MarketValue,Capital,NetIncomeGrowthRate,OperIncomeGrowthRate,FinancialStatementsTime,TFXRatio,MonthlyNetSalesYoY,RevenueMonth" advise="1">
        <values cols="10">
          <value t="str">
            <val>6208</val>
          </value>
          <value t="str">
            <val>日揚</val>
          </value>
          <value t="str">
            <val>57.4</val>
          </value>
          <value t="str">
            <val>11.82</val>
          </value>
          <value t="str">
            <val>48.38</val>
          </value>
          <value t="str">
            <val>31.58</val>
          </value>
          <value t="str">
            <val>2022/03</val>
          </value>
          <value t="str">
            <val>31.30</val>
          </value>
          <value t="str">
            <val>34.49</val>
          </value>
          <value t="str">
            <val>2022/06</val>
          </value>
        </values>
      </ddeItem>
      <ddeItem name="6208.TW-OperatingProfitRatio,Price,PriceChangeRatio,InOutRatioNumber,Value,YearReturn,MonthReturn,WeekReturn,FinanceBalanceDif,ChipsField2" advise="1">
        <values cols="10">
          <value t="str">
            <val>15.37</val>
          </value>
          <value>
            <val>48.6</val>
          </value>
          <value>
            <val>-0.41</val>
          </value>
          <value t="str">
            <val>32.61%</val>
          </value>
          <value t="str">
            <val>224萬</val>
          </value>
          <value t="str">
            <val>+19.62</val>
          </value>
          <value t="str">
            <val>+8.48</val>
          </value>
          <value t="str">
            <val>-1.02</val>
          </value>
          <value>
            <val>-9</val>
          </value>
          <value>
            <val>0</val>
          </value>
        </values>
      </ddeItem>
      <ddeItem name="62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2022/08/11</val>
          </value>
          <value t="str">
            <val>3.00</val>
          </value>
          <value>
            <val>7.33</val>
          </value>
          <value t="str">
            <val>3.18</val>
          </value>
          <value t="str">
            <val>0.59</val>
          </value>
          <value t="str">
            <val>慶生</val>
          </value>
          <value t="str">
            <val>上櫃電子零組件</val>
          </value>
          <value t="str">
            <val>台灣中小型的多層PCB廠</val>
          </value>
        </values>
      </ddeItem>
      <ddeItem name="6210.TW-CName,InvestorConferenceDate,DateofMeetingofShareHolders,TradingDate" advise="1">
        <values cols="4">
          <value t="str">
            <val>慶生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6210.TW-ID,Name,MarketValue,Capital,NetIncomeGrowthRate,OperIncomeGrowthRate,FinancialStatementsTime,TFXRatio,MonthlyNetSalesYoY,RevenueMonth" advise="1">
        <values cols="10">
          <value t="str">
            <val>6210</val>
          </value>
          <value t="str">
            <val>慶生</val>
          </value>
          <value t="str">
            <val>14.3</val>
          </value>
          <value t="str">
            <val>3.50</val>
          </value>
          <value t="str">
            <val>64.24</val>
          </value>
          <value t="str">
            <val>25.77</val>
          </value>
          <value t="str">
            <val>2022/03</val>
          </value>
          <value t="str">
            <val>-11.02</val>
          </value>
          <value t="str">
            <val>-37.66</val>
          </value>
          <value t="str">
            <val>2022/06</val>
          </value>
        </values>
      </ddeItem>
      <ddeItem name="6210.TW-OperatingProfitRatio,Price,PriceChangeRatio,InOutRatioNumber,Value,YearReturn,MonthReturn,WeekReturn,FinanceBalanceDif,ChipsField2" advise="1">
        <values cols="10">
          <value t="str">
            <val>11.25</val>
          </value>
          <value>
            <val>40.9</val>
          </value>
          <value>
            <val>0.74</val>
          </value>
          <value t="str">
            <val>7.69%</val>
          </value>
          <value t="str">
            <val>53.0萬</val>
          </value>
          <value t="str">
            <val>+3.40</val>
          </value>
          <value t="str">
            <val>+0.99</val>
          </value>
          <value t="str">
            <val>+1.49</val>
          </value>
          <value>
            <val>0</val>
          </value>
          <value>
            <val>0</val>
          </value>
        </values>
      </ddeItem>
      <ddeItem name="62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4.75</val>
          </value>
          <value t="str">
            <val>1.17</val>
          </value>
          <value t="str">
            <val>理銘</val>
          </value>
          <value t="str">
            <val>上櫃建材營造</val>
          </value>
          <value t="str">
            <val>轉型為於新竹地區推案之建商</val>
          </value>
        </values>
      </ddeItem>
      <ddeItem name="6212.TW-CName,InvestorConferenceDate,DateofMeetingofShareHolders,TradingDate" advise="1">
        <values cols="4">
          <value t="str">
            <val>理銘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6212.TW-ID,Name,MarketValue,Capital,NetIncomeGrowthRate,OperIncomeGrowthRate,FinancialStatementsTime,TFXRatio,MonthlyNetSalesYoY,RevenueMonth" advise="1">
        <values cols="10">
          <value t="str">
            <val>6212</val>
          </value>
          <value t="str">
            <val>理銘</val>
          </value>
          <value t="str">
            <val>49.6</val>
          </value>
          <value t="str">
            <val>10.20</val>
          </value>
          <value t="str">
            <val>131.87</val>
          </value>
          <value t="str">
            <val>131.53</val>
          </value>
          <value t="str">
            <val>2022/03</val>
          </value>
          <value t="str">
            <val>120.25</val>
          </value>
          <value t="str">
            <val>120.25</val>
          </value>
          <value t="str">
            <val>2022/06</val>
          </value>
        </values>
      </ddeItem>
      <ddeItem name="6212.TW-OperatingProfitRatio,Price,PriceChangeRatio,InOutRatioNumber,Value,YearReturn,MonthReturn,WeekReturn,FinanceBalanceDif,ChipsField2" advise="1">
        <values cols="10">
          <value t="str">
            <val>17.19</val>
          </value>
          <value>
            <val>48.65</val>
          </value>
          <value>
            <val>0</val>
          </value>
          <value t="str">
            <val>100.00%</val>
          </value>
          <value t="str">
            <val>14.6萬</val>
          </value>
          <value t="str">
            <val>-16.27</val>
          </value>
          <value t="str">
            <val>-2.60</val>
          </value>
          <value t="str">
            <val>-0.71</val>
          </value>
          <value>
            <val>0</val>
          </value>
          <value>
            <val>0</val>
          </value>
        </values>
      </ddeItem>
      <ddeItem name="6217.TW-ChipsField3,ChipsField1,ChipsField25,CashAndStockDividend,CashDividendYieldRate,ProfitFourSeason,ProfitSingle,CName,ExchangeIndustry,CompanyPos" advise="1">
        <values cols="10">
          <value>
            <val>194</val>
          </value>
          <value>
            <val>1241</val>
          </value>
          <value t="str">
            <val>2022/07/22</val>
          </value>
          <value t="str">
            <val>1.67</val>
          </value>
          <value>
            <val>2.62</val>
          </value>
          <value t="str">
            <val>3.28</val>
          </value>
          <value t="str">
            <val>1.05</val>
          </value>
          <value t="str">
            <val>中探針</val>
          </value>
          <value t="str">
            <val>上櫃電子零組件</val>
          </value>
          <value t="str">
            <val>台灣第一家探針及探針式連接器製造廠</val>
          </value>
        </values>
      </ddeItem>
      <ddeItem name="6217.TW-CName,InvestorConferenceDate,DateofMeetingofShareHolders,TradingDate" advise="1">
        <values cols="4">
          <value t="str">
            <val>中探針</val>
          </value>
          <value t="str">
            <val>2022/01/10</val>
          </value>
          <value t="str">
            <val>2022/06/24</val>
          </value>
          <value t="str">
            <val>2022/08/01</val>
          </value>
        </values>
      </ddeItem>
      <ddeItem name="6217.TW-ID,Name,MarketValue,Capital,NetIncomeGrowthRate,OperIncomeGrowthRate,FinancialStatementsTime,TFXRatio,MonthlyNetSalesYoY,RevenueMonth" advise="1">
        <values cols="10">
          <value t="str">
            <val>6217</val>
          </value>
          <value t="str">
            <val>中探針</val>
          </value>
          <value t="str">
            <val>60.1</val>
          </value>
          <value t="str">
            <val>9.44</val>
          </value>
          <value t="str">
            <val>166.81</val>
          </value>
          <value t="str">
            <val>106.00</val>
          </value>
          <value t="str">
            <val>2022/03</val>
          </value>
          <value t="str">
            <val>-6.88</val>
          </value>
          <value t="str">
            <val>41.00</val>
          </value>
          <value t="str">
            <val>2022/06</val>
          </value>
        </values>
      </ddeItem>
      <ddeItem name="6217.TW-OperatingProfitRatio,Price,PriceChangeRatio,InOutRatioNumber,Value,YearReturn,MonthReturn,WeekReturn,FinanceBalanceDif,ChipsField2" advise="1">
        <values cols="10">
          <value t="str">
            <val>8.90</val>
          </value>
          <value>
            <val>63.7</val>
          </value>
          <value>
            <val>0.16</val>
          </value>
          <value t="str">
            <val>38.58%</val>
          </value>
          <value t="str">
            <val>8.95億</val>
          </value>
          <value t="str">
            <val>+58.93</val>
          </value>
          <value t="str">
            <val>+20.22</val>
          </value>
          <value t="str">
            <val>+2.74</val>
          </value>
          <value>
            <val>-282</val>
          </value>
          <value>
            <val>0</val>
          </value>
        </values>
      </ddeItem>
      <ddeItem name="62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1.00</val>
          </value>
          <value>
            <val>4.99</val>
          </value>
          <value t="str">
            <val>0.89</val>
          </value>
          <value t="str">
            <val>0.19</val>
          </value>
          <value t="str">
            <val>豪勉</val>
          </value>
          <value t="str">
            <val>上櫃通信網路</val>
          </value>
          <value t="str">
            <val>主要從事通訊網路系統整合服務與半導體封測設備代理銷售及安裝、維修</val>
          </value>
        </values>
      </ddeItem>
      <ddeItem name="6218.TW-CName,InvestorConferenceDate,DateofMeetingofShareHolders,TradingDate" advise="1">
        <values cols="4">
          <value t="str">
            <val>豪勉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6218.TW-ID,Name,MarketValue,Capital,NetIncomeGrowthRate,OperIncomeGrowthRate,FinancialStatementsTime,TFXRatio,MonthlyNetSalesYoY,RevenueMonth" advise="1">
        <values cols="10">
          <value t="str">
            <val>6218</val>
          </value>
          <value t="str">
            <val>豪勉</val>
          </value>
          <value t="str">
            <val>12.9</val>
          </value>
          <value t="str">
            <val>6.43</val>
          </value>
          <value t="str">
            <val>2719.14</val>
          </value>
          <value t="str">
            <val>265.98</val>
          </value>
          <value t="str">
            <val>2022/03</val>
          </value>
          <value t="str">
            <val>32.68</val>
          </value>
          <value t="str">
            <val>26.45</val>
          </value>
          <value t="str">
            <val>2022/06</val>
          </value>
        </values>
      </ddeItem>
      <ddeItem name="6218.TW-OperatingProfitRatio,Price,PriceChangeRatio,InOutRatioNumber,Value,YearReturn,MonthReturn,WeekReturn,FinanceBalanceDif,ChipsField2" advise="1">
        <values cols="10">
          <value t="str">
            <val>8.04</val>
          </value>
          <value>
            <val>20.05</val>
          </value>
          <value>
            <val>3.35</val>
          </value>
          <value t="str">
            <val>90.38%</val>
          </value>
          <value t="str">
            <val>534萬</val>
          </value>
          <value t="str">
            <val>+10.27</val>
          </value>
          <value t="str">
            <val>+6.93</val>
          </value>
          <value t="str">
            <val>+3.89</val>
          </value>
          <value>
            <val>3</val>
          </value>
          <value>
            <val>0</val>
          </value>
        </values>
      </ddeItem>
      <ddeItem name="621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</val>
          </value>
          <value t="str">
            <val>2022/07/05</val>
          </value>
          <value t="str">
            <val>0.25</val>
          </value>
          <value>
            <val>2.06</val>
          </value>
          <value t="str">
            <val>-1.28</val>
          </value>
          <value t="str">
            <val>-1.89</val>
          </value>
          <value t="str">
            <val>富旺</val>
          </value>
          <value t="str">
            <val>上櫃建材營造</val>
          </value>
          <value t="str">
            <val>以台中為核心擴展至全省跨區經營的建商</val>
          </value>
        </values>
      </ddeItem>
      <ddeItem name="6219.TW-CName,InvestorConferenceDate,DateofMeetingofShareHolders,TradingDate" advise="1">
        <values cols="4">
          <value t="str">
            <val>富旺</val>
          </value>
          <value t="str">
            <val>2021/02/23</val>
          </value>
          <value t="str">
            <val>2022/06/16</val>
          </value>
          <value t="str">
            <val>2022/08/01</val>
          </value>
        </values>
      </ddeItem>
      <ddeItem name="6219.TW-ID,Name,MarketValue,Capital,NetIncomeGrowthRate,OperIncomeGrowthRate,FinancialStatementsTime,TFXRatio,MonthlyNetSalesYoY,RevenueMonth" advise="1">
        <values cols="10">
          <value t="str">
            <val>6219</val>
          </value>
          <value t="str">
            <val>富旺</val>
          </value>
          <value t="str">
            <val>18.7</val>
          </value>
          <value t="str">
            <val>15.40</val>
          </value>
          <value t="str">
            <val>-1038.93</val>
          </value>
          <value t="str">
            <val>-501.73</val>
          </value>
          <value t="str">
            <val>2022/03</val>
          </value>
          <value t="str">
            <val>16.75</val>
          </value>
          <value t="str">
            <val>-93.80</val>
          </value>
          <value t="str">
            <val>2022/06</val>
          </value>
        </values>
      </ddeItem>
      <ddeItem name="6219.TW-OperatingProfitRatio,Price,PriceChangeRatio,InOutRatioNumber,Value,YearReturn,MonthReturn,WeekReturn,FinanceBalanceDif,ChipsField2" advise="1">
        <values cols="10">
          <value t="str">
            <val>-72.73</val>
          </value>
          <value>
            <val>12.15</val>
          </value>
          <value>
            <val>0</val>
          </value>
          <value t="str">
            <val>74.23%</val>
          </value>
          <value t="str">
            <val>943萬</val>
          </value>
          <value t="str">
            <val>-42.83</val>
          </value>
          <value t="str">
            <val>+0.45</val>
          </value>
          <value t="str">
            <val>-0.41</val>
          </value>
          <value>
            <val>-8</val>
          </value>
          <value>
            <val>0</val>
          </value>
        </values>
      </ddeItem>
      <ddeItem name="6220.TW-ChipsField3,ChipsField1,ChipsField25,CashAndStockDividend,CashDividendYieldRate,ProfitFourSeason,ProfitSingle,CName,ExchangeIndustry,CompanyPos" advise="1">
        <values cols="10">
          <value>
            <val>-143</val>
          </value>
          <value>
            <val>383</val>
          </value>
          <value t="str">
            <val>2022/07/11</val>
          </value>
          <value t="str">
            <val>0.13</val>
          </value>
          <value>
            <val>0.43</val>
          </value>
          <value t="str">
            <val>0.59</val>
          </value>
          <value t="str">
            <val>-0.15</val>
          </value>
          <value t="str">
            <val>岳豐</val>
          </value>
          <value t="str">
            <val>上櫃電子零組件</val>
          </value>
          <value t="str">
            <val>主要生產區域網路線材，並延伸至終端產品生產廠商</val>
          </value>
        </values>
      </ddeItem>
      <ddeItem name="6220.TW-CName,InvestorConferenceDate,DateofMeetingofShareHolders,TradingDate" advise="1">
        <values cols="4">
          <value t="str">
            <val>岳豐</val>
          </value>
          <value t="str">
            <val>2021/12/30</val>
          </value>
          <value t="str">
            <val>2022/06/21</val>
          </value>
          <value t="str">
            <val>2022/08/01</val>
          </value>
        </values>
      </ddeItem>
      <ddeItem name="6220.TW-ID,Name,MarketValue,Capital,NetIncomeGrowthRate,OperIncomeGrowthRate,FinancialStatementsTime,TFXRatio,MonthlyNetSalesYoY,RevenueMonth" advise="1">
        <values cols="10">
          <value t="str">
            <val>6220</val>
          </value>
          <value t="str">
            <val>岳豐</val>
          </value>
          <value t="str">
            <val>41.8</val>
          </value>
          <value t="str">
            <val>13.95</val>
          </value>
          <value t="str">
            <val>-717.78</val>
          </value>
          <value t="str">
            <val>-123.59</val>
          </value>
          <value t="str">
            <val>2022/03</val>
          </value>
          <value t="str">
            <val>26.57</val>
          </value>
          <value t="str">
            <val>23.48</val>
          </value>
          <value t="str">
            <val>2022/06</val>
          </value>
        </values>
      </ddeItem>
      <ddeItem name="6220.TW-OperatingProfitRatio,Price,PriceChangeRatio,InOutRatioNumber,Value,YearReturn,MonthReturn,WeekReturn,FinanceBalanceDif,ChipsField2" advise="1">
        <values cols="10">
          <value t="str">
            <val>-0.29</val>
          </value>
          <value>
            <val>30</val>
          </value>
          <value>
            <val>-1.48</val>
          </value>
          <value t="str">
            <val>44.45%</val>
          </value>
          <value t="str">
            <val>2.89億</val>
          </value>
          <value t="str">
            <val>+28.49</val>
          </value>
          <value t="str">
            <val>+31.73</val>
          </value>
          <value t="str">
            <val>+14.29</val>
          </value>
          <value>
            <val>1060</val>
          </value>
          <value>
            <val>0</val>
          </value>
        </values>
      </ddeItem>
      <ddeItem name="62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2.50</val>
          </value>
          <value>
            <val>4.76</val>
          </value>
          <value t="str">
            <val>3.61</val>
          </value>
          <value t="str">
            <val>0.99</val>
          </value>
          <value t="str">
            <val>晉泰</val>
          </value>
          <value t="str">
            <val>上櫃資訊服務</val>
          </value>
          <value t="str">
            <val>電子商務系統整合廠商</val>
          </value>
        </values>
      </ddeItem>
      <ddeItem name="6221.TW-CName,InvestorConferenceDate,DateofMeetingofShareHolders,TradingDate" advise="1">
        <values cols="4">
          <value t="str">
            <val>晉泰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6221.TW-ID,Name,MarketValue,Capital,NetIncomeGrowthRate,OperIncomeGrowthRate,FinancialStatementsTime,TFXRatio,MonthlyNetSalesYoY,RevenueMonth" advise="1">
        <values cols="10">
          <value t="str">
            <val>6221</val>
          </value>
          <value t="str">
            <val>晉泰</val>
          </value>
          <value t="str">
            <val>37.6</val>
          </value>
          <value t="str">
            <val>7.17</val>
          </value>
          <value t="str">
            <val>17.82</val>
          </value>
          <value t="str">
            <val>14.85</val>
          </value>
          <value t="str">
            <val>2022/03</val>
          </value>
          <value t="str">
            <val>27.93</val>
          </value>
          <value t="str">
            <val>75.17</val>
          </value>
          <value t="str">
            <val>2022/06</val>
          </value>
        </values>
      </ddeItem>
      <ddeItem name="6221.TW-OperatingProfitRatio,Price,PriceChangeRatio,InOutRatioNumber,Value,YearReturn,MonthReturn,WeekReturn,FinanceBalanceDif,ChipsField2" advise="1">
        <values cols="10">
          <value t="str">
            <val>8.18</val>
          </value>
          <value>
            <val>52.5</val>
          </value>
          <value>
            <val>2.74</val>
          </value>
          <value t="str">
            <val>79.12%</val>
          </value>
          <value t="str">
            <val>480萬</val>
          </value>
          <value t="str">
            <val>+15.75</val>
          </value>
          <value t="str">
            <val>+16.67</val>
          </value>
          <value t="str">
            <val>+5.63</val>
          </value>
          <value>
            <val>21</val>
          </value>
          <value>
            <val>0</val>
          </value>
        </values>
      </ddeItem>
      <ddeItem name="622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-0.51</val>
          </value>
          <value t="str">
            <val>-0.09</val>
          </value>
          <value t="str">
            <val>上揚</val>
          </value>
          <value t="str">
            <val>上櫃光電</val>
          </value>
          <value t="str">
            <val>轉型為LED照明產品及小家電事業</val>
          </value>
        </values>
      </ddeItem>
      <ddeItem name="6222.TW-CName,InvestorConferenceDate,DateofMeetingofShareHolders,TradingDate" advise="1">
        <values cols="4">
          <value t="str">
            <val>上揚</val>
          </value>
          <value t="str">
            <val>--</val>
          </value>
          <value t="str">
            <val>2022/06/30</val>
          </value>
          <value t="str">
            <val>2022/08/01</val>
          </value>
        </values>
      </ddeItem>
      <ddeItem name="6222.TW-ID,Name,MarketValue,Capital,NetIncomeGrowthRate,OperIncomeGrowthRate,FinancialStatementsTime,TFXRatio,MonthlyNetSalesYoY,RevenueMonth" advise="1">
        <values cols="10">
          <value t="str">
            <val>6222</val>
          </value>
          <value t="str">
            <val>上揚</val>
          </value>
          <value t="str">
            <val>6.3</val>
          </value>
          <value t="str">
            <val>4.06</val>
          </value>
          <value t="str">
            <val>-333.10</val>
          </value>
          <value t="str">
            <val>-513.77</val>
          </value>
          <value t="str">
            <val>2022/03</val>
          </value>
          <value t="str">
            <val>-60.76</val>
          </value>
          <value t="str">
            <val>-99.09</val>
          </value>
          <value t="str">
            <val>2022/06</val>
          </value>
        </values>
      </ddeItem>
      <ddeItem name="6222.TW-OperatingProfitRatio,Price,PriceChangeRatio,InOutRatioNumber,Value,YearReturn,MonthReturn,WeekReturn,FinanceBalanceDif,ChipsField2" advise="1">
        <values cols="10">
          <value t="str">
            <val>-103.08</val>
          </value>
          <value>
            <val>15.5</val>
          </value>
          <value>
            <val>-1.59</val>
          </value>
          <value t="str">
            <val>33.68%</val>
          </value>
          <value t="str">
            <val>157萬</val>
          </value>
          <value t="str">
            <val>-0.64</val>
          </value>
          <value t="str">
            <val>+8.77</val>
          </value>
          <value t="str">
            <val>+8.39</val>
          </value>
          <value>
            <val>0</val>
          </value>
          <value>
            <val>0</val>
          </value>
        </values>
      </ddeItem>
      <ddeItem name="6223.TW-ChipsField3,ChipsField1,ChipsField25,CashAndStockDividend,CashDividendYieldRate,ProfitFourSeason,ProfitSingle,CName,ExchangeIndustry,CompanyPos" advise="1">
        <values cols="10">
          <value>
            <val>134</val>
          </value>
          <value>
            <val>38</val>
          </value>
          <value t="str">
            <val>2022/07/14</val>
          </value>
          <value t="str">
            <val>4.00</val>
          </value>
          <value>
            <val>4.3499999999999996</val>
          </value>
          <value t="str">
            <val>9.21</val>
          </value>
          <value t="str">
            <val>3.25</val>
          </value>
          <value t="str">
            <val>旺矽</val>
          </value>
          <value t="str">
            <val>上櫃半導體</val>
          </value>
          <value t="str">
            <val>全球第一大懸臂式探針卡廠</val>
          </value>
        </values>
      </ddeItem>
      <ddeItem name="6223.TW-CName,InvestorConferenceDate,DateofMeetingofShareHolders,TradingDate" advise="1">
        <values cols="4">
          <value t="str">
            <val>旺矽</val>
          </value>
          <value t="str">
            <val>2021/06/09</val>
          </value>
          <value t="str">
            <val>2022/06/15</val>
          </value>
          <value t="str">
            <val>2022/08/01</val>
          </value>
        </values>
      </ddeItem>
      <ddeItem name="6223.TW-ID,Name,MarketValue,Capital,NetIncomeGrowthRate,OperIncomeGrowthRate,FinancialStatementsTime,TFXRatio,MonthlyNetSalesYoY,RevenueMonth" advise="1">
        <values cols="10">
          <value t="str">
            <val>6223</val>
          </value>
          <value t="str">
            <val>旺矽</val>
          </value>
          <value t="str">
            <val>86.6</val>
          </value>
          <value t="str">
            <val>9.41</val>
          </value>
          <value t="str">
            <val>121.06</val>
          </value>
          <value t="str">
            <val>95.20</val>
          </value>
          <value t="str">
            <val>2022/03</val>
          </value>
          <value t="str">
            <val>2.18</val>
          </value>
          <value t="str">
            <val>15.50</val>
          </value>
          <value t="str">
            <val>2022/06</val>
          </value>
        </values>
      </ddeItem>
      <ddeItem name="6223.TW-OperatingProfitRatio,Price,PriceChangeRatio,InOutRatioNumber,Value,YearReturn,MonthReturn,WeekReturn,FinanceBalanceDif,ChipsField2" advise="1">
        <values cols="10">
          <value t="str">
            <val>17.04</val>
          </value>
          <value>
            <val>92</val>
          </value>
          <value>
            <val>0.55000000000000004</val>
          </value>
          <value t="str">
            <val>53.88%</val>
          </value>
          <value t="str">
            <val>6566萬</val>
          </value>
          <value t="str">
            <val>-37.71</val>
          </value>
          <value t="str">
            <val>+22.77</val>
          </value>
          <value t="str">
            <val>+1.32</val>
          </value>
          <value>
            <val>-26</val>
          </value>
          <value>
            <val>0</val>
          </value>
        </values>
      </ddeItem>
      <ddeItem name="62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22</val>
          </value>
          <value t="str">
            <val>--</val>
          </value>
          <value t="str">
            <val>3.35</val>
          </value>
          <value>
            <val>8.89</val>
          </value>
          <value t="str">
            <val>6.47</val>
          </value>
          <value t="str">
            <val>1.78</val>
          </value>
          <value t="str">
            <val>茂綸</val>
          </value>
          <value t="str">
            <val>上櫃電子通路</val>
          </value>
          <value t="str">
            <val>台灣唯一代理Altair產品線的IC通路商</val>
          </value>
        </values>
      </ddeItem>
      <ddeItem name="6227.TW-CName,InvestorConferenceDate,DateofMeetingofShareHolders,TradingDate" advise="1">
        <values cols="4">
          <value t="str">
            <val>茂綸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6227.TW-ID,Name,MarketValue,Capital,NetIncomeGrowthRate,OperIncomeGrowthRate,FinancialStatementsTime,TFXRatio,MonthlyNetSalesYoY,RevenueMonth" advise="1">
        <values cols="10">
          <value t="str">
            <val>6227</val>
          </value>
          <value t="str">
            <val>茂綸</val>
          </value>
          <value t="str">
            <val>28.7</val>
          </value>
          <value t="str">
            <val>7.61</val>
          </value>
          <value t="str">
            <val>104.44</val>
          </value>
          <value t="str">
            <val>87.03</val>
          </value>
          <value t="str">
            <val>2022/03</val>
          </value>
          <value t="str">
            <val>-19.40</val>
          </value>
          <value t="str">
            <val>-3.38</val>
          </value>
          <value t="str">
            <val>2022/06</val>
          </value>
        </values>
      </ddeItem>
      <ddeItem name="6227.TW-OperatingProfitRatio,Price,PriceChangeRatio,InOutRatioNumber,Value,YearReturn,MonthReturn,WeekReturn,FinanceBalanceDif,ChipsField2" advise="1">
        <values cols="10">
          <value t="str">
            <val>4.26</val>
          </value>
          <value>
            <val>37.700000000000003</val>
          </value>
          <value>
            <val>0</val>
          </value>
          <value t="str">
            <val>58.68%</val>
          </value>
          <value t="str">
            <val>467萬</val>
          </value>
          <value t="str">
            <val>+28.45</val>
          </value>
          <value t="str">
            <val>+6.35</val>
          </value>
          <value t="str">
            <val>+1.62</val>
          </value>
          <value>
            <val>5</val>
          </value>
          <value>
            <val>0</val>
          </value>
        </values>
      </ddeItem>
      <ddeItem name="62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--</val>
          </value>
          <value t="str">
            <val>0.00</val>
          </value>
          <value>
            <val>0</val>
          </value>
          <value t="str">
            <val>-0.32</val>
          </value>
          <value t="str">
            <val>-0.16</val>
          </value>
          <value t="str">
            <val>全譜</val>
          </value>
          <value t="str">
            <val>上櫃電腦及週邊設備</val>
          </value>
          <value t="str">
            <val>台灣底片掃瞄器及生物研究影像設備製造廠</val>
          </value>
        </values>
      </ddeItem>
      <ddeItem name="6228.TW-CName,InvestorConferenceDate,DateofMeetingofShareHolders,TradingDate" advise="1">
        <values cols="4">
          <value t="str">
            <val>全譜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6228.TW-ID,Name,MarketValue,Capital,NetIncomeGrowthRate,OperIncomeGrowthRate,FinancialStatementsTime,TFXRatio,MonthlyNetSalesYoY,RevenueMonth" advise="1">
        <values cols="10">
          <value t="str">
            <val>6228</val>
          </value>
          <value t="str">
            <val>全譜</val>
          </value>
          <value t="str">
            <val>6.5</val>
          </value>
          <value t="str">
            <val>4.00</val>
          </value>
          <value t="str">
            <val>-911.44</val>
          </value>
          <value t="str">
            <val>-874.74</val>
          </value>
          <value t="str">
            <val>2022/03</val>
          </value>
          <value t="str">
            <val>-70.92</val>
          </value>
          <value t="str">
            <val>-67.50</val>
          </value>
          <value t="str">
            <val>2022/06</val>
          </value>
        </values>
      </ddeItem>
      <ddeItem name="6228.TW-OperatingProfitRatio,Price,PriceChangeRatio,InOutRatioNumber,Value,YearReturn,MonthReturn,WeekReturn,FinanceBalanceDif,ChipsField2" advise="1">
        <values cols="10">
          <value t="str">
            <val>-105.87</val>
          </value>
          <value>
            <val>16.149999999999999</val>
          </value>
          <value>
            <val>9.86</val>
          </value>
          <value t="str">
            <val>100.00%</val>
          </value>
          <value t="str">
            <val>281萬</val>
          </value>
          <value t="str">
            <val>+46.82</val>
          </value>
          <value t="str">
            <val>+24.23</val>
          </value>
          <value t="str">
            <val>+5.90</val>
          </value>
          <value>
            <val>0</val>
          </value>
          <value>
            <val>0</val>
          </value>
        </values>
      </ddeItem>
      <ddeItem name="62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2022/07/13</val>
          </value>
          <value t="str">
            <val>2.50</val>
          </value>
          <value>
            <val>8.77</val>
          </value>
          <value t="str">
            <val>4.91</val>
          </value>
          <value t="str">
            <val>0.98</val>
          </value>
          <value t="str">
            <val>研通</val>
          </value>
          <value t="str">
            <val>上櫃半導體</val>
          </value>
          <value t="str">
            <val>台灣消費性IC韌體設計領導廠商</val>
          </value>
        </values>
      </ddeItem>
      <ddeItem name="6229.TW-CName,InvestorConferenceDate,DateofMeetingofShareHolders,TradingDate" advise="1">
        <values cols="4">
          <value t="str">
            <val>研通</val>
          </value>
          <value t="str">
            <val>2022/07/25</val>
          </value>
          <value t="str">
            <val>2022/06/20</val>
          </value>
          <value t="str">
            <val>2022/08/01</val>
          </value>
        </values>
      </ddeItem>
      <ddeItem name="6229.TW-ID,Name,MarketValue,Capital,NetIncomeGrowthRate,OperIncomeGrowthRate,FinancialStatementsTime,TFXRatio,MonthlyNetSalesYoY,RevenueMonth" advise="1">
        <values cols="10">
          <value t="str">
            <val>6229</val>
          </value>
          <value t="str">
            <val>研通</val>
          </value>
          <value t="str">
            <val>10.2</val>
          </value>
          <value t="str">
            <val>3.56</val>
          </value>
          <value t="str">
            <val>76.14</val>
          </value>
          <value t="str">
            <val>7.55</val>
          </value>
          <value t="str">
            <val>2022/03</val>
          </value>
          <value t="str">
            <val>-7.47</val>
          </value>
          <value t="str">
            <val>-26.30</val>
          </value>
          <value t="str">
            <val>2022/06</val>
          </value>
        </values>
      </ddeItem>
      <ddeItem name="6229.TW-OperatingProfitRatio,Price,PriceChangeRatio,InOutRatioNumber,Value,YearReturn,MonthReturn,WeekReturn,FinanceBalanceDif,ChipsField2" advise="1">
        <values cols="10">
          <value t="str">
            <val>4.17</val>
          </value>
          <value>
            <val>28.5</val>
          </value>
          <value>
            <val>1.79</val>
          </value>
          <value t="str">
            <val>61.90%</val>
          </value>
          <value t="str">
            <val>418萬</val>
          </value>
          <value t="str">
            <val>-34.57</val>
          </value>
          <value t="str">
            <val>+11.90</val>
          </value>
          <value t="str">
            <val>-0.87</val>
          </value>
          <value>
            <val>-5</val>
          </value>
          <value>
            <val>0</val>
          </value>
        </values>
      </ddeItem>
      <ddeItem name="62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</val>
          </value>
          <value t="str">
            <val>2022/07/12</val>
          </value>
          <value t="str">
            <val>5.20</val>
          </value>
          <value>
            <val>7.08</val>
          </value>
          <value t="str">
            <val>7.13</val>
          </value>
          <value t="str">
            <val>1.93</val>
          </value>
          <value t="str">
            <val>系微</val>
          </value>
          <value t="str">
            <val>上櫃資訊服務</val>
          </value>
          <value t="str">
            <val>NB及IA產品的BIOS廠商</val>
          </value>
        </values>
      </ddeItem>
      <ddeItem name="6231.TW-CName,InvestorConferenceDate,DateofMeetingofShareHolders,TradingDate" advise="1">
        <values cols="4">
          <value t="str">
            <val>系微</val>
          </value>
          <value t="str">
            <val>2022/03/11</val>
          </value>
          <value t="str">
            <val>2022/06/14</val>
          </value>
          <value t="str">
            <val>2022/08/01</val>
          </value>
        </values>
      </ddeItem>
      <ddeItem name="6231.TW-ID,Name,MarketValue,Capital,NetIncomeGrowthRate,OperIncomeGrowthRate,FinancialStatementsTime,TFXRatio,MonthlyNetSalesYoY,RevenueMonth" advise="1">
        <values cols="10">
          <value t="str">
            <val>6231</val>
          </value>
          <value t="str">
            <val>系微</val>
          </value>
          <value t="str">
            <val>27.9</val>
          </value>
          <value t="str">
            <val>3.80</val>
          </value>
          <value t="str">
            <val>161.21</val>
          </value>
          <value t="str">
            <val>143.32</val>
          </value>
          <value t="str">
            <val>2022/03</val>
          </value>
          <value t="str">
            <val>37.64</val>
          </value>
          <value t="str">
            <val>17.54</val>
          </value>
          <value t="str">
            <val>2022/06</val>
          </value>
        </values>
      </ddeItem>
      <ddeItem name="6231.TW-OperatingProfitRatio,Price,PriceChangeRatio,InOutRatioNumber,Value,YearReturn,MonthReturn,WeekReturn,FinanceBalanceDif,ChipsField2" advise="1">
        <values cols="10">
          <value t="str">
            <val>25.65</val>
          </value>
          <value>
            <val>73.400000000000006</val>
          </value>
          <value>
            <val>-0.81</val>
          </value>
          <value t="str">
            <val>43.04%</val>
          </value>
          <value t="str">
            <val>625萬</val>
          </value>
          <value t="str">
            <val>-17.84</val>
          </value>
          <value t="str">
            <val>+12.65</val>
          </value>
          <value t="str">
            <val>-3.42</val>
          </value>
          <value>
            <val>0</val>
          </value>
          <value>
            <val>0</val>
          </value>
        </values>
      </ddeItem>
      <ddeItem name="62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128</val>
          </value>
          <value t="str">
            <val>--</val>
          </value>
          <value t="str">
            <val>0.00</val>
          </value>
          <value>
            <val>0</val>
          </value>
          <value t="str">
            <val>0.72</val>
          </value>
          <value t="str">
            <val>0.17</val>
          </value>
          <value t="str">
            <val>旺玖</val>
          </value>
          <value t="str">
            <val>上櫃半導體</val>
          </value>
          <value t="str">
            <val>USB控制IC設計廠商，並切入MEMS領域</val>
          </value>
        </values>
      </ddeItem>
      <ddeItem name="6233.TW-CName,InvestorConferenceDate,DateofMeetingofShareHolders,TradingDate" advise="1">
        <values cols="4">
          <value t="str">
            <val>旺玖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6233.TW-ID,Name,MarketValue,Capital,NetIncomeGrowthRate,OperIncomeGrowthRate,FinancialStatementsTime,TFXRatio,MonthlyNetSalesYoY,RevenueMonth" advise="1">
        <values cols="10">
          <value t="str">
            <val>6233</val>
          </value>
          <value t="str">
            <val>旺玖</val>
          </value>
          <value t="str">
            <val>19.1</val>
          </value>
          <value t="str">
            <val>7.96</val>
          </value>
          <value t="str">
            <val>-18.01</val>
          </value>
          <value t="str">
            <val>-55.60</val>
          </value>
          <value t="str">
            <val>2022/03</val>
          </value>
          <value t="str">
            <val>0.66</val>
          </value>
          <value t="str">
            <val>7.90</val>
          </value>
          <value t="str">
            <val>2022/06</val>
          </value>
        </values>
      </ddeItem>
      <ddeItem name="6233.TW-OperatingProfitRatio,Price,PriceChangeRatio,InOutRatioNumber,Value,YearReturn,MonthReturn,WeekReturn,FinanceBalanceDif,ChipsField2" advise="1">
        <values cols="10">
          <value t="str">
            <val>5.54</val>
          </value>
          <value>
            <val>23.95</val>
          </value>
          <value>
            <val>0.42</val>
          </value>
          <value t="str">
            <val>36.67%</val>
          </value>
          <value t="str">
            <val>502萬</val>
          </value>
          <value t="str">
            <val>-50.21</val>
          </value>
          <value t="str">
            <val>+9.86</val>
          </value>
          <value t="str">
            <val>-1.84</val>
          </value>
          <value>
            <val>-25</val>
          </value>
          <value>
            <val>0</val>
          </value>
        </values>
      </ddeItem>
      <ddeItem name="62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2022/08/16</val>
          </value>
          <value t="str">
            <val>0.75</val>
          </value>
          <value>
            <val>3.99</val>
          </value>
          <value t="str">
            <val>2.11</val>
          </value>
          <value t="str">
            <val>1.09</val>
          </value>
          <value t="str">
            <val>高僑</val>
          </value>
          <value t="str">
            <val>上櫃光電</val>
          </value>
          <value t="str">
            <val>經營自動化設備及PCB微型鑽頭的公司</val>
          </value>
        </values>
      </ddeItem>
      <ddeItem name="6234.TW-CName,InvestorConferenceDate,DateofMeetingofShareHolders,TradingDate" advise="1">
        <values cols="4">
          <value t="str">
            <val>高僑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6234.TW-ID,Name,MarketValue,Capital,NetIncomeGrowthRate,OperIncomeGrowthRate,FinancialStatementsTime,TFXRatio,MonthlyNetSalesYoY,RevenueMonth" advise="1">
        <values cols="10">
          <value t="str">
            <val>6234</val>
          </value>
          <value t="str">
            <val>高僑</val>
          </value>
          <value t="str">
            <val>18.9</val>
          </value>
          <value t="str">
            <val>10.04</val>
          </value>
          <value t="str">
            <val>374.06</val>
          </value>
          <value t="str">
            <val>286.56</val>
          </value>
          <value t="str">
            <val>2022/03</val>
          </value>
          <value t="str">
            <val>46.10</val>
          </value>
          <value t="str">
            <val>11.30</val>
          </value>
          <value t="str">
            <val>2022/06</val>
          </value>
        </values>
      </ddeItem>
      <ddeItem name="6234.TW-OperatingProfitRatio,Price,PriceChangeRatio,InOutRatioNumber,Value,YearReturn,MonthReturn,WeekReturn,FinanceBalanceDif,ChipsField2" advise="1">
        <values cols="10">
          <value t="str">
            <val>14.19</val>
          </value>
          <value>
            <val>18.8</val>
          </value>
          <value>
            <val>1.62</val>
          </value>
          <value t="str">
            <val>84.52%</val>
          </value>
          <value t="str">
            <val>159萬</val>
          </value>
          <value t="str">
            <val>-9.77</val>
          </value>
          <value t="str">
            <val>+4.16</val>
          </value>
          <value t="str">
            <val>+1.90</val>
          </value>
          <value>
            <val>-1</val>
          </value>
          <value>
            <val>0</val>
          </value>
        </values>
      </ddeItem>
      <ddeItem name="623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-0.08</val>
          </value>
          <value t="str">
            <val>0.02</val>
          </value>
          <value t="str">
            <val>康呈</val>
          </value>
          <value t="str">
            <val>上櫃其他</val>
          </value>
          <value t="str">
            <val>轉型以醫美、生物科技及預防醫學為核心的公司</val>
          </value>
        </values>
      </ddeItem>
      <ddeItem name="6236.TW-CName,InvestorConferenceDate,DateofMeetingofShareHolders,TradingDate" advise="1">
        <values cols="4">
          <value t="str">
            <val>康呈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6236.TW-ID,Name,MarketValue,Capital,NetIncomeGrowthRate,OperIncomeGrowthRate,FinancialStatementsTime,TFXRatio,MonthlyNetSalesYoY,RevenueMonth" advise="1">
        <values cols="10">
          <value t="str">
            <val>6236</val>
          </value>
          <value t="str">
            <val>康呈</val>
          </value>
          <value t="str">
            <val>6.0</val>
          </value>
          <value t="str">
            <val>3.17</val>
          </value>
          <value t="str">
            <val>125.06</val>
          </value>
          <value t="str">
            <val>73.07</val>
          </value>
          <value t="str">
            <val>2022/03</val>
          </value>
          <value t="str">
            <val>42.96</val>
          </value>
          <value t="str">
            <val>232.79</val>
          </value>
          <value t="str">
            <val>2022/06</val>
          </value>
        </values>
      </ddeItem>
      <ddeItem name="6236.TW-OperatingProfitRatio,Price,PriceChangeRatio,InOutRatioNumber,Value,YearReturn,MonthReturn,WeekReturn,FinanceBalanceDif,ChipsField2" advise="1">
        <values cols="10">
          <value t="str">
            <val>-12.24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+114.85</val>
          </value>
          <value t="str">
            <val>+2.96</val>
          </value>
          <value t="str">
            <val>+1.87</val>
          </value>
          <value>
            <val>0</val>
          </value>
          <value>
            <val>0</val>
          </value>
        </values>
      </ddeItem>
      <ddeItem name="6237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-433</val>
          </value>
          <value t="str">
            <val>2022/07/05</val>
          </value>
          <value t="str">
            <val>1.00</val>
          </value>
          <value>
            <val>1.64</val>
          </value>
          <value t="str">
            <val>4.58</val>
          </value>
          <value t="str">
            <val>-0.05</val>
          </value>
          <value t="str">
            <val>驊訊</val>
          </value>
          <value t="str">
            <val>上櫃半導體</val>
          </value>
          <value t="str">
            <val>全球前三大音效晶片設計廠商</val>
          </value>
        </values>
      </ddeItem>
      <ddeItem name="6237.TW-CName,InvestorConferenceDate,DateofMeetingofShareHolders,TradingDate" advise="1">
        <values cols="4">
          <value t="str">
            <val>驊訊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6237.TW-ID,Name,MarketValue,Capital,NetIncomeGrowthRate,OperIncomeGrowthRate,FinancialStatementsTime,TFXRatio,MonthlyNetSalesYoY,RevenueMonth" advise="1">
        <values cols="10">
          <value t="str">
            <val>6237</val>
          </value>
          <value t="str">
            <val>驊訊</val>
          </value>
          <value t="str">
            <val>47.8</val>
          </value>
          <value t="str">
            <val>7.86</val>
          </value>
          <value t="str">
            <val>-103.99</val>
          </value>
          <value t="str">
            <val>-121.68</val>
          </value>
          <value t="str">
            <val>2022/03</val>
          </value>
          <value t="str">
            <val>9.49</val>
          </value>
          <value t="str">
            <val>-44.00</val>
          </value>
          <value t="str">
            <val>2022/06</val>
          </value>
        </values>
      </ddeItem>
      <ddeItem name="6237.TW-OperatingProfitRatio,Price,PriceChangeRatio,InOutRatioNumber,Value,YearReturn,MonthReturn,WeekReturn,FinanceBalanceDif,ChipsField2" advise="1">
        <values cols="10">
          <value t="str">
            <val>-7.94</val>
          </value>
          <value>
            <val>60.8</val>
          </value>
          <value>
            <val>0.5</val>
          </value>
          <value t="str">
            <val>50.36%</val>
          </value>
          <value t="str">
            <val>6.44億</val>
          </value>
          <value t="str">
            <val>-56.61</val>
          </value>
          <value t="str">
            <val>+33.02</val>
          </value>
          <value t="str">
            <val>+13.43</val>
          </value>
          <value>
            <val>-142</val>
          </value>
          <value>
            <val>0</val>
          </value>
        </values>
      </ddeItem>
      <ddeItem name="62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0.00</val>
          </value>
          <value>
            <val>0</val>
          </value>
          <value t="str">
            <val>0.78</val>
          </value>
          <value t="str">
            <val>-0.10</val>
          </value>
          <value t="str">
            <val>松崗</val>
          </value>
          <value t="str">
            <val>上櫃其他</val>
          </value>
          <value t="str">
            <val>主要從事不動產租賃</val>
          </value>
        </values>
      </ddeItem>
      <ddeItem name="6240.TW-CName,InvestorConferenceDate,DateofMeetingofShareHolders,TradingDate" advise="1">
        <values cols="4">
          <value t="str">
            <val>松崗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6240.TW-ID,Name,MarketValue,Capital,NetIncomeGrowthRate,OperIncomeGrowthRate,FinancialStatementsTime,TFXRatio,MonthlyNetSalesYoY,RevenueMonth" advise="1">
        <values cols="10">
          <value t="str">
            <val>6240</val>
          </value>
          <value t="str">
            <val>松崗</val>
          </value>
          <value t="str">
            <val>4.6</val>
          </value>
          <value t="str">
            <val>2.29</val>
          </value>
          <value t="str">
            <val>-142.52</val>
          </value>
          <value t="str">
            <val>57.44</val>
          </value>
          <value t="str">
            <val>2022/03</val>
          </value>
          <value t="str">
            <val>1.04</val>
          </value>
          <value t="str">
            <val>-2.65</val>
          </value>
          <value t="str">
            <val>2022/06</val>
          </value>
        </values>
      </ddeItem>
      <ddeItem name="6240.TW-OperatingProfitRatio,Price,PriceChangeRatio,InOutRatioNumber,Value,YearReturn,MonthReturn,WeekReturn,FinanceBalanceDif,ChipsField2" advise="1">
        <values cols="10">
          <value t="str">
            <val>-15.10</val>
          </value>
          <value>
            <val>19.95</val>
          </value>
          <value>
            <val>1.01</val>
          </value>
          <value t="str">
            <val>71.43%</val>
          </value>
          <value t="str">
            <val>28.0萬</val>
          </value>
          <value t="str">
            <val>+35.71</val>
          </value>
          <value t="str">
            <val>+4.18</val>
          </value>
          <value t="str">
            <val>-0.25</val>
          </value>
          <value>
            <val>-1</val>
          </value>
          <value>
            <val>0</val>
          </value>
        </values>
      </ddeItem>
      <ddeItem name="62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183</val>
          </value>
          <value t="str">
            <val>--</val>
          </value>
          <value t="str">
            <val>0.00</val>
          </value>
          <value>
            <val>0</val>
          </value>
          <value t="str">
            <val>-2.63</val>
          </value>
          <value t="str">
            <val>0.02</val>
          </value>
          <value t="str">
            <val>易通展</val>
          </value>
          <value t="str">
            <val>上櫃通信網路</val>
          </value>
          <value t="str">
            <val>企業級及電信級無線網路通訊產品代工廠</val>
          </value>
        </values>
      </ddeItem>
      <ddeItem name="6241.TW-CName,InvestorConferenceDate,DateofMeetingofShareHolders,TradingDate" advise="1">
        <values cols="4">
          <value t="str">
            <val>易通展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6241.TW-ID,Name,MarketValue,Capital,NetIncomeGrowthRate,OperIncomeGrowthRate,FinancialStatementsTime,TFXRatio,MonthlyNetSalesYoY,RevenueMonth" advise="1">
        <values cols="10">
          <value t="str">
            <val>6241</val>
          </value>
          <value t="str">
            <val>易通展</val>
          </value>
          <value t="str">
            <val>8.6</val>
          </value>
          <value t="str">
            <val>3.37</val>
          </value>
          <value t="str">
            <val>105.29</val>
          </value>
          <value t="str">
            <val>104.16</val>
          </value>
          <value t="str">
            <val>2022/03</val>
          </value>
          <value t="str">
            <val>25.44</val>
          </value>
          <value t="str">
            <val>41962.30</val>
          </value>
          <value t="str">
            <val>2022/06</val>
          </value>
        </values>
      </ddeItem>
      <ddeItem name="6241.TW-OperatingProfitRatio,Price,PriceChangeRatio,InOutRatioNumber,Value,YearReturn,MonthReturn,WeekReturn,FinanceBalanceDif,ChipsField2" advise="1">
        <values cols="10">
          <value t="str">
            <val>0.21</val>
          </value>
          <value>
            <val>25.4</val>
          </value>
          <value>
            <val>9.9600000000000009</val>
          </value>
          <value t="str">
            <val>93.67%</val>
          </value>
          <value t="str">
            <val>4027萬</val>
          </value>
          <value t="str">
            <val>+27.00</val>
          </value>
          <value t="str">
            <val>+34.75</val>
          </value>
          <value t="str">
            <val>+15.19</val>
          </value>
          <value>
            <val>0</val>
          </value>
          <value>
            <val>0</val>
          </value>
        </values>
      </ddeItem>
      <ddeItem name="62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</val>
          </value>
          <value t="str">
            <val>2022/07/04</val>
          </value>
          <value t="str">
            <val>2.00</val>
          </value>
          <value>
            <val>3.99</val>
          </value>
          <value t="str">
            <val>2.49</val>
          </value>
          <value t="str">
            <val>0.63</val>
          </value>
          <value t="str">
            <val>立康</val>
          </value>
          <value t="str">
            <val>上櫃生技醫療</val>
          </value>
          <value t="str">
            <val>中草藥生產及經營觀光工廠之廠商</val>
          </value>
        </values>
      </ddeItem>
      <ddeItem name="6242.TW-CName,InvestorConferenceDate,DateofMeetingofShareHolders,TradingDate" advise="1">
        <values cols="4">
          <value t="str">
            <val>立康</val>
          </value>
          <value t="str">
            <val>2021/12/27</val>
          </value>
          <value t="str">
            <val>2022/05/24</val>
          </value>
          <value t="str">
            <val>2022/08/01</val>
          </value>
        </values>
      </ddeItem>
      <ddeItem name="6242.TW-ID,Name,MarketValue,Capital,NetIncomeGrowthRate,OperIncomeGrowthRate,FinancialStatementsTime,TFXRatio,MonthlyNetSalesYoY,RevenueMonth" advise="1">
        <values cols="10">
          <value t="str">
            <val>6242</val>
          </value>
          <value t="str">
            <val>立康</val>
          </value>
          <value t="str">
            <val>11.7</val>
          </value>
          <value t="str">
            <val>2.33</val>
          </value>
          <value t="str">
            <val>39.01</val>
          </value>
          <value t="str">
            <val>24.47</val>
          </value>
          <value t="str">
            <val>2022/03</val>
          </value>
          <value t="str">
            <val>12.69</val>
          </value>
          <value t="str">
            <val>282.79</val>
          </value>
          <value t="str">
            <val>2022/06</val>
          </value>
        </values>
      </ddeItem>
      <ddeItem name="6242.TW-OperatingProfitRatio,Price,PriceChangeRatio,InOutRatioNumber,Value,YearReturn,MonthReturn,WeekReturn,FinanceBalanceDif,ChipsField2" advise="1">
        <values cols="10">
          <value t="str">
            <val>17.61</val>
          </value>
          <value>
            <val>50.1</val>
          </value>
          <value>
            <val>0.2</val>
          </value>
          <value t="str">
            <val>54.55%</val>
          </value>
          <value t="str">
            <val>165萬</val>
          </value>
          <value t="str">
            <val>+27.22</val>
          </value>
          <value t="str">
            <val>+10.05</val>
          </value>
          <value t="str">
            <val>+1.11</val>
          </value>
          <value>
            <val>0</val>
          </value>
          <value>
            <val>0</val>
          </value>
        </values>
      </ddeItem>
      <ddeItem name="6244.TW-ChipsField3,ChipsField1,ChipsField25,CashAndStockDividend,CashDividendYieldRate,ProfitFourSeason,ProfitSingle,CName,ExchangeIndustry,CompanyPos" advise="1">
        <values cols="10">
          <value>
            <val>-30</val>
          </value>
          <value>
            <val>1469</val>
          </value>
          <value t="str">
            <val>2022/07/28</val>
          </value>
          <value t="str">
            <val>0.20</val>
          </value>
          <value>
            <val>0.68</val>
          </value>
          <value t="str">
            <val>0.49</val>
          </value>
          <value t="str">
            <val>0.12</val>
          </value>
          <value t="str">
            <val>茂迪</val>
          </value>
          <value t="str">
            <val>上櫃光電</val>
          </value>
          <value t="str">
            <val>全球前十大太陽能電池模組廠</val>
          </value>
        </values>
      </ddeItem>
      <ddeItem name="6244.TW-CName,InvestorConferenceDate,DateofMeetingofShareHolders,TradingDate" advise="1">
        <values cols="4">
          <value t="str">
            <val>茂迪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6244.TW-ID,Name,MarketValue,Capital,NetIncomeGrowthRate,OperIncomeGrowthRate,FinancialStatementsTime,TFXRatio,MonthlyNetSalesYoY,RevenueMonth" advise="1">
        <values cols="10">
          <value t="str">
            <val>6244</val>
          </value>
          <value t="str">
            <val>茂迪</val>
          </value>
          <value t="str">
            <val>113.8</val>
          </value>
          <value t="str">
            <val>38.70</val>
          </value>
          <value t="str">
            <val>268.92</val>
          </value>
          <value t="str">
            <val>243.11</val>
          </value>
          <value t="str">
            <val>2022/03</val>
          </value>
          <value t="str">
            <val>8.76</val>
          </value>
          <value t="str">
            <val>-39.55</val>
          </value>
          <value t="str">
            <val>2022/06</val>
          </value>
        </values>
      </ddeItem>
      <ddeItem name="6244.TW-OperatingProfitRatio,Price,PriceChangeRatio,InOutRatioNumber,Value,YearReturn,MonthReturn,WeekReturn,FinanceBalanceDif,ChipsField2" advise="1">
        <values cols="10">
          <value t="str">
            <val>2.71</val>
          </value>
          <value>
            <val>29.4</val>
          </value>
          <value>
            <val>-1.34</val>
          </value>
          <value t="str">
            <val>38.87%</val>
          </value>
          <value t="str">
            <val>7868萬</val>
          </value>
          <value t="str">
            <val>-7.23</val>
          </value>
          <value t="str">
            <val>+5.39</val>
          </value>
          <value t="str">
            <val>+5.77</val>
          </value>
          <value>
            <val>0</val>
          </value>
          <value>
            <val>0</val>
          </value>
        </values>
      </ddeItem>
      <ddeItem name="6245.TW-ChipsField3,ChipsField1,ChipsField25,CashAndStockDividend,CashDividendYieldRate,ProfitFourSeason,ProfitSingle,CName,ExchangeIndustry,CompanyPos" advise="1">
        <values cols="10">
          <value>
            <val>131</val>
          </value>
          <value>
            <val>1465</val>
          </value>
          <value t="str">
            <val>2022/08/29</val>
          </value>
          <value t="str">
            <val>3.00</val>
          </value>
          <value>
            <val>4.26</val>
          </value>
          <value t="str">
            <val>4.70</val>
          </value>
          <value t="str">
            <val>0.95</val>
          </value>
          <value t="str">
            <val>立端</val>
          </value>
          <value t="str">
            <val>上櫃通信網路</val>
          </value>
          <value t="str">
            <val>專攻網路安全設備廠商</val>
          </value>
        </values>
      </ddeItem>
      <ddeItem name="6245.TW-CName,InvestorConferenceDate,DateofMeetingofShareHolders,TradingDate" advise="1">
        <values cols="4">
          <value t="str">
            <val>立端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6245.TW-ID,Name,MarketValue,Capital,NetIncomeGrowthRate,OperIncomeGrowthRate,FinancialStatementsTime,TFXRatio,MonthlyNetSalesYoY,RevenueMonth" advise="1">
        <values cols="10">
          <value t="str">
            <val>6245</val>
          </value>
          <value t="str">
            <val>立端</val>
          </value>
          <value t="str">
            <val>83.1</val>
          </value>
          <value t="str">
            <val>11.80</val>
          </value>
          <value t="str">
            <val>-0.78</val>
          </value>
          <value t="str">
            <val>-13.76</val>
          </value>
          <value t="str">
            <val>2022/03</val>
          </value>
          <value t="str">
            <val>-4.48</val>
          </value>
          <value t="str">
            <val>44.56</val>
          </value>
          <value t="str">
            <val>2022/06</val>
          </value>
        </values>
      </ddeItem>
      <ddeItem name="6245.TW-OperatingProfitRatio,Price,PriceChangeRatio,InOutRatioNumber,Value,YearReturn,MonthReturn,WeekReturn,FinanceBalanceDif,ChipsField2" advise="1">
        <values cols="10">
          <value t="str">
            <val>6.47</val>
          </value>
          <value>
            <val>70.400000000000006</val>
          </value>
          <value>
            <val>3.07</val>
          </value>
          <value t="str">
            <val>54.00%</val>
          </value>
          <value t="str">
            <val>6.81億</val>
          </value>
          <value t="str">
            <val>+27.95</val>
          </value>
          <value t="str">
            <val>+13.37</val>
          </value>
          <value t="str">
            <val>+4.45</val>
          </value>
          <value>
            <val>-180</val>
          </value>
          <value>
            <val>100</val>
          </value>
        </values>
      </ddeItem>
      <ddeItem name="62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0.40</val>
          </value>
          <value t="str">
            <val>-0.16</val>
          </value>
          <value t="str">
            <val>臺龍</val>
          </value>
          <value t="str">
            <val>上櫃光電</val>
          </value>
          <value t="str">
            <val>中小尺寸背光模組及LED燈條生產廠商</val>
          </value>
        </values>
      </ddeItem>
      <ddeItem name="6246.TW-CName,InvestorConferenceDate,DateofMeetingofShareHolders,TradingDate" advise="1">
        <values cols="4">
          <value t="str">
            <val>臺龍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6246.TW-ID,Name,MarketValue,Capital,NetIncomeGrowthRate,OperIncomeGrowthRate,FinancialStatementsTime,TFXRatio,MonthlyNetSalesYoY,RevenueMonth" advise="1">
        <values cols="10">
          <value t="str">
            <val>6246</val>
          </value>
          <value t="str">
            <val>臺龍</val>
          </value>
          <value t="str">
            <val>5.2</val>
          </value>
          <value t="str">
            <val>3.71</val>
          </value>
          <value t="str">
            <val>-149.46</val>
          </value>
          <value t="str">
            <val>-108.98</val>
          </value>
          <value t="str">
            <val>2022/03</val>
          </value>
          <value t="str">
            <val>28.60</val>
          </value>
          <value t="str">
            <val>51.35</val>
          </value>
          <value t="str">
            <val>2022/06</val>
          </value>
        </values>
      </ddeItem>
      <ddeItem name="6246.TW-OperatingProfitRatio,Price,PriceChangeRatio,InOutRatioNumber,Value,YearReturn,MonthReturn,WeekReturn,FinanceBalanceDif,ChipsField2" advise="1">
        <values cols="10">
          <value t="str">
            <val>-0.27</val>
          </value>
          <value>
            <val>13.9</val>
          </value>
          <value>
            <val>-1.07</val>
          </value>
          <value t="str">
            <val>30.00%</val>
          </value>
          <value t="str">
            <val>15.3萬</val>
          </value>
          <value t="str">
            <val>-15.76</val>
          </value>
          <value t="str">
            <val>+4.51</val>
          </value>
          <value t="str">
            <val>-1.07</val>
          </value>
          <value>
            <val>-18</val>
          </value>
          <value>
            <val>0</val>
          </value>
        </values>
      </ddeItem>
      <ddeItem name="62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-1.93</val>
          </value>
          <value t="str">
            <val>-0.78</val>
          </value>
          <value t="str">
            <val>淇譽電</val>
          </value>
          <value t="str">
            <val>上櫃其他電子</val>
          </value>
          <value t="str">
            <val>亞洲最大專業音響喇叭製造商</val>
          </value>
        </values>
      </ddeItem>
      <ddeItem name="6247.TW-CName,InvestorConferenceDate,DateofMeetingofShareHolders,TradingDate" advise="1">
        <values cols="4">
          <value t="str">
            <val>淇譽電</val>
          </value>
          <value t="str">
            <val>--</val>
          </value>
          <value t="str">
            <val>2022/06/28</val>
          </value>
          <value t="str">
            <val>2022/08/01</val>
          </value>
        </values>
      </ddeItem>
      <ddeItem name="6247.TW-ID,Name,MarketValue,Capital,NetIncomeGrowthRate,OperIncomeGrowthRate,FinancialStatementsTime,TFXRatio,MonthlyNetSalesYoY,RevenueMonth" advise="1">
        <values cols="10">
          <value t="str">
            <val>6247</val>
          </value>
          <value t="str">
            <val>淇譽電</val>
          </value>
          <value t="str">
            <val>6.1</val>
          </value>
          <value t="str">
            <val>6.03</val>
          </value>
          <value t="str">
            <val>-181.75</val>
          </value>
          <value t="str">
            <val>-49.87</val>
          </value>
          <value t="str">
            <val>2022/03</val>
          </value>
          <value t="str">
            <val>46.38</val>
          </value>
          <value t="str">
            <val>5.00</val>
          </value>
          <value t="str">
            <val>2022/06</val>
          </value>
        </values>
      </ddeItem>
      <ddeItem name="6247.TW-OperatingProfitRatio,Price,PriceChangeRatio,InOutRatioNumber,Value,YearReturn,MonthReturn,WeekReturn,FinanceBalanceDif,ChipsField2" advise="1">
        <values cols="10">
          <value t="str">
            <val>-35.01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+2.01</val>
          </value>
          <value t="str">
            <val>+4.64</val>
          </value>
          <value t="str">
            <val>+0.50</val>
          </value>
          <value>
            <val>0</val>
          </value>
          <value>
            <val>0</val>
          </value>
        </values>
      </ddeItem>
      <ddeItem name="624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2022/06/09</val>
          </value>
          <value t="str">
            <val>1.20</val>
          </value>
          <value>
            <val>6</val>
          </value>
          <value t="str">
            <val>1.81</val>
          </value>
          <value t="str">
            <val>0.48</val>
          </value>
          <value t="str">
            <val>沛波</val>
          </value>
          <value t="str">
            <val>上櫃鋼鐵</val>
          </value>
          <value t="str">
            <val>轉型鋼筋加工業務</val>
          </value>
        </values>
      </ddeItem>
      <ddeItem name="6248.TW-CName,InvestorConferenceDate,DateofMeetingofShareHolders,TradingDate" advise="1">
        <values cols="4">
          <value t="str">
            <val>沛波</val>
          </value>
          <value t="str">
            <val>--</val>
          </value>
          <value t="str">
            <val>2022/04/28</val>
          </value>
          <value t="str">
            <val>2022/08/01</val>
          </value>
        </values>
      </ddeItem>
      <ddeItem name="6248.TW-ID,Name,MarketValue,Capital,NetIncomeGrowthRate,OperIncomeGrowthRate,FinancialStatementsTime,TFXRatio,MonthlyNetSalesYoY,RevenueMonth" advise="1">
        <values cols="10">
          <value t="str">
            <val>6248</val>
          </value>
          <value t="str">
            <val>沛波</val>
          </value>
          <value t="str">
            <val>12.1</val>
          </value>
          <value t="str">
            <val>6.07</val>
          </value>
          <value t="str">
            <val>73.17</val>
          </value>
          <value t="str">
            <val>51.35</val>
          </value>
          <value t="str">
            <val>2022/03</val>
          </value>
          <value t="str">
            <val>-0.19</val>
          </value>
          <value t="str">
            <val>46.83</val>
          </value>
          <value t="str">
            <val>2022/06</val>
          </value>
        </values>
      </ddeItem>
      <ddeItem name="6248.TW-OperatingProfitRatio,Price,PriceChangeRatio,InOutRatioNumber,Value,YearReturn,MonthReturn,WeekReturn,FinanceBalanceDif,ChipsField2" advise="1">
        <values cols="10">
          <value t="str">
            <val>1.86</val>
          </value>
          <value>
            <val>20</val>
          </value>
          <value>
            <val>1.52</val>
          </value>
          <value t="str">
            <val>68.42%</val>
          </value>
          <value t="str">
            <val>228萬</val>
          </value>
          <value t="str">
            <val>-10.51</val>
          </value>
          <value t="str">
            <val>+1.52</val>
          </value>
          <value t="str">
            <val>+1.52</val>
          </value>
          <value>
            <val>-4</val>
          </value>
          <value>
            <val>0</val>
          </value>
        </values>
      </ddeItem>
      <ddeItem name="625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2022/04/22</val>
          </value>
          <value t="str">
            <val>0.19</val>
          </value>
          <value>
            <val>0.67</val>
          </value>
          <value t="str">
            <val>0.42</val>
          </value>
          <value t="str">
            <val>0.41</val>
          </value>
          <value t="str">
            <val>百徽</val>
          </value>
          <value t="str">
            <val>上櫃電子零組件</val>
          </value>
          <value t="str">
            <val>主要代理電磁波防制元件和電源相關元件</val>
          </value>
        </values>
      </ddeItem>
      <ddeItem name="6259.TW-CName,InvestorConferenceDate,DateofMeetingofShareHolders,TradingDate" advise="1">
        <values cols="4">
          <value t="str">
            <val>百徽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6259.TW-ID,Name,MarketValue,Capital,NetIncomeGrowthRate,OperIncomeGrowthRate,FinancialStatementsTime,TFXRatio,MonthlyNetSalesYoY,RevenueMonth" advise="1">
        <values cols="10">
          <value t="str">
            <val>6259</val>
          </value>
          <value t="str">
            <val>百徽</val>
          </value>
          <value t="str">
            <val>5.2</val>
          </value>
          <value t="str">
            <val>1.89</val>
          </value>
          <value t="str">
            <val>762.90</val>
          </value>
          <value t="str">
            <val>-89.83</val>
          </value>
          <value t="str">
            <val>2022/03</val>
          </value>
          <value t="str">
            <val>-22.74</val>
          </value>
          <value t="str">
            <val>183.10</val>
          </value>
          <value t="str">
            <val>2022/06</val>
          </value>
        </values>
      </ddeItem>
      <ddeItem name="6259.TW-OperatingProfitRatio,Price,PriceChangeRatio,InOutRatioNumber,Value,YearReturn,MonthReturn,WeekReturn,FinanceBalanceDif,ChipsField2" advise="1">
        <values cols="10">
          <value t="str">
            <val>0.17</val>
          </value>
          <value>
            <val>28.15</val>
          </value>
          <value>
            <val>1.44</val>
          </value>
          <value t="str">
            <val>50.88%</val>
          </value>
          <value t="str">
            <val>319萬</val>
          </value>
          <value t="str">
            <val>+62.70</val>
          </value>
          <value t="str">
            <val>+0.72</val>
          </value>
          <value t="str">
            <val>-1.23</val>
          </value>
          <value>
            <val>0</val>
          </value>
          <value>
            <val>0</val>
          </value>
        </values>
      </ddeItem>
      <ddeItem name="6261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17</val>
          </value>
          <value t="str">
            <val>--</val>
          </value>
          <value t="str">
            <val>5.00</val>
          </value>
          <value>
            <val>7.31</val>
          </value>
          <value t="str">
            <val>8.65</val>
          </value>
          <value t="str">
            <val>2.24</val>
          </value>
          <value t="str">
            <val>久元</val>
          </value>
          <value t="str">
            <val>上櫃半導體</val>
          </value>
          <value t="str">
            <val>專業半導體及光電產品切割、研磨、挑揀、測試代工廠</val>
          </value>
        </values>
      </ddeItem>
      <ddeItem name="6261.TW-CName,InvestorConferenceDate,DateofMeetingofShareHolders,TradingDate" advise="1">
        <values cols="4">
          <value t="str">
            <val>久元</val>
          </value>
          <value t="str">
            <val>2021/12/23</val>
          </value>
          <value t="str">
            <val>2022/06/15</val>
          </value>
          <value t="str">
            <val>2022/08/01</val>
          </value>
        </values>
      </ddeItem>
      <ddeItem name="6261.TW-ID,Name,MarketValue,Capital,NetIncomeGrowthRate,OperIncomeGrowthRate,FinancialStatementsTime,TFXRatio,MonthlyNetSalesYoY,RevenueMonth" advise="1">
        <values cols="10">
          <value t="str">
            <val>6261</val>
          </value>
          <value t="str">
            <val>久元</val>
          </value>
          <value t="str">
            <val>87.9</val>
          </value>
          <value t="str">
            <val>12.85</val>
          </value>
          <value t="str">
            <val>12.02</val>
          </value>
          <value t="str">
            <val>29.47</val>
          </value>
          <value t="str">
            <val>2022/03</val>
          </value>
          <value t="str">
            <val>6.77</val>
          </value>
          <value t="str">
            <val>-2.53</val>
          </value>
          <value t="str">
            <val>2022/06</val>
          </value>
        </values>
      </ddeItem>
      <ddeItem name="6261.TW-OperatingProfitRatio,Price,PriceChangeRatio,InOutRatioNumber,Value,YearReturn,MonthReturn,WeekReturn,FinanceBalanceDif,ChipsField2" advise="1">
        <values cols="10">
          <value t="str">
            <val>31.13</val>
          </value>
          <value>
            <val>68.400000000000006</val>
          </value>
          <value>
            <val>0.74</val>
          </value>
          <value t="str">
            <val>41.94%</val>
          </value>
          <value t="str">
            <val>641萬</val>
          </value>
          <value t="str">
            <val>-21.70</val>
          </value>
          <value t="str">
            <val>+9.44</val>
          </value>
          <value t="str">
            <val>+0.44</val>
          </value>
          <value>
            <val>-9</val>
          </value>
          <value>
            <val>0</val>
          </value>
        </values>
      </ddeItem>
      <ddeItem name="62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2022/07/28</val>
          </value>
          <value t="str">
            <val>4.70</val>
          </value>
          <value>
            <val>6.18</val>
          </value>
          <value t="str">
            <val>5.37</val>
          </value>
          <value t="str">
            <val>1.25</val>
          </value>
          <value t="str">
            <val>普萊德</val>
          </value>
          <value t="str">
            <val>上櫃通信網路</val>
          </value>
          <value t="str">
            <val>以PLANET品牌行銷的網通設備廠</val>
          </value>
        </values>
      </ddeItem>
      <ddeItem name="6263.TW-CName,InvestorConferenceDate,DateofMeetingofShareHolders,TradingDate" advise="1">
        <values cols="4">
          <value t="str">
            <val>普萊德</val>
          </value>
          <value t="str">
            <val>2021/11/24</val>
          </value>
          <value t="str">
            <val>2022/05/27</val>
          </value>
          <value t="str">
            <val>2022/08/01</val>
          </value>
        </values>
      </ddeItem>
      <ddeItem name="6263.TW-ID,Name,MarketValue,Capital,NetIncomeGrowthRate,OperIncomeGrowthRate,FinancialStatementsTime,TFXRatio,MonthlyNetSalesYoY,RevenueMonth" advise="1">
        <values cols="10">
          <value t="str">
            <val>6263</val>
          </value>
          <value t="str">
            <val>普萊德</val>
          </value>
          <value t="str">
            <val>47.5</val>
          </value>
          <value t="str">
            <val>6.25</val>
          </value>
          <value t="str">
            <val>22.77</val>
          </value>
          <value t="str">
            <val>14.33</val>
          </value>
          <value t="str">
            <val>2022/03</val>
          </value>
          <value t="str">
            <val>12.89</val>
          </value>
          <value t="str">
            <val>46.12</val>
          </value>
          <value t="str">
            <val>2022/06</val>
          </value>
        </values>
      </ddeItem>
      <ddeItem name="6263.TW-OperatingProfitRatio,Price,PriceChangeRatio,InOutRatioNumber,Value,YearReturn,MonthReturn,WeekReturn,FinanceBalanceDif,ChipsField2" advise="1">
        <values cols="10">
          <value t="str">
            <val>24.71</val>
          </value>
          <value>
            <val>76</val>
          </value>
          <value>
            <val>0.13</val>
          </value>
          <value t="str">
            <val>16.67%</val>
          </value>
          <value t="str">
            <val>327萬</val>
          </value>
          <value t="str">
            <val>+26.35</val>
          </value>
          <value t="str">
            <val>+11.51</val>
          </value>
          <value t="str">
            <val>+2.21</val>
          </value>
          <value>
            <val>0</val>
          </value>
          <value>
            <val>0</val>
          </value>
        </values>
      </ddeItem>
      <ddeItem name="62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-0.60</val>
          </value>
          <value t="str">
            <val>-0.28</val>
          </value>
          <value t="str">
            <val>富裔</val>
          </value>
          <value t="str">
            <val>上櫃建材營造</val>
          </value>
          <value t="str">
            <val>入主德士通，以雙北及基隆地區為主的營建公司</val>
          </value>
        </values>
      </ddeItem>
      <ddeItem name="6264.TW-CName,InvestorConferenceDate,DateofMeetingofShareHolders,TradingDate" advise="1">
        <values cols="4">
          <value t="str">
            <val>富裔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6264.TW-ID,Name,MarketValue,Capital,NetIncomeGrowthRate,OperIncomeGrowthRate,FinancialStatementsTime,TFXRatio,MonthlyNetSalesYoY,RevenueMonth" advise="1">
        <values cols="10">
          <value t="str">
            <val>6264</val>
          </value>
          <value t="str">
            <val>富裔</val>
          </value>
          <value t="str">
            <val>9.5</val>
          </value>
          <value t="str">
            <val>11.64</val>
          </value>
          <value t="str">
            <val>-308.43</val>
          </value>
          <value t="str">
            <val>-4275.87</val>
          </value>
          <value t="str">
            <val>2022/03</val>
          </value>
          <value t="str">
            <val>-65.95</val>
          </value>
          <value t="str">
            <val>-76.25</val>
          </value>
          <value t="str">
            <val>2022/06</val>
          </value>
        </values>
      </ddeItem>
      <ddeItem name="6264.TW-OperatingProfitRatio,Price,PriceChangeRatio,InOutRatioNumber,Value,YearReturn,MonthReturn,WeekReturn,FinanceBalanceDif,ChipsField2" advise="1">
        <values cols="10">
          <value t="str">
            <val>-30.63</val>
          </value>
          <value>
            <val>8.1300000000000008</val>
          </value>
          <value>
            <val>0</val>
          </value>
          <value t="str">
            <val>25.00%</val>
          </value>
          <value t="str">
            <val>16.2萬</val>
          </value>
          <value t="str">
            <val>-15.14</val>
          </value>
          <value t="str">
            <val>-2.05</val>
          </value>
          <value t="str">
            <val>+0.37</val>
          </value>
          <value>
            <val>0</val>
          </value>
          <value>
            <val>0</val>
          </value>
        </values>
      </ddeItem>
      <ddeItem name="62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257</val>
          </value>
          <value t="str">
            <val>--</val>
          </value>
          <value t="str">
            <val>0.00</val>
          </value>
          <value>
            <val>0</val>
          </value>
          <value t="str">
            <val>0.69</val>
          </value>
          <value t="str">
            <val>0.09</val>
          </value>
          <value t="str">
            <val>方土昶</val>
          </value>
          <value t="str">
            <val>上櫃電子通路</val>
          </value>
          <value t="str">
            <val>IC零組件通路商，並跨足保健食品</val>
          </value>
        </values>
      </ddeItem>
      <ddeItem name="6265.TW-CName,InvestorConferenceDate,DateofMeetingofShareHolders,TradingDate" advise="1">
        <values cols="4">
          <value t="str">
            <val>方土昶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6265.TW-ID,Name,MarketValue,Capital,NetIncomeGrowthRate,OperIncomeGrowthRate,FinancialStatementsTime,TFXRatio,MonthlyNetSalesYoY,RevenueMonth" advise="1">
        <values cols="10">
          <value t="str">
            <val>6265</val>
          </value>
          <value t="str">
            <val>方土昶</val>
          </value>
          <value t="str">
            <val>13.8</val>
          </value>
          <value t="str">
            <val>11.82</val>
          </value>
          <value t="str">
            <val>111.54</val>
          </value>
          <value t="str">
            <val>-135.82</val>
          </value>
          <value t="str">
            <val>2022/03</val>
          </value>
          <value t="str">
            <val>25.71</val>
          </value>
          <value t="str">
            <val>21.94</val>
          </value>
          <value t="str">
            <val>2022/06</val>
          </value>
        </values>
      </ddeItem>
      <ddeItem name="6265.TW-OperatingProfitRatio,Price,PriceChangeRatio,InOutRatioNumber,Value,YearReturn,MonthReturn,WeekReturn,FinanceBalanceDif,ChipsField2" advise="1">
        <values cols="10">
          <value t="str">
            <val>-0.43</val>
          </value>
          <value>
            <val>11.65</val>
          </value>
          <value>
            <val>0</val>
          </value>
          <value t="str">
            <val>55.59%</val>
          </value>
          <value t="str">
            <val>741萬</val>
          </value>
          <value t="str">
            <val>+12.02</val>
          </value>
          <value t="str">
            <val>+12.56</val>
          </value>
          <value t="str">
            <val>-2.51</val>
          </value>
          <value>
            <val>13</val>
          </value>
          <value>
            <val>0</val>
          </value>
        </values>
      </ddeItem>
      <ddeItem name="6266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422</val>
          </value>
          <value t="str">
            <val>2022/06/20</val>
          </value>
          <value t="str">
            <val>1.38</val>
          </value>
          <value>
            <val>5.59</val>
          </value>
          <value t="str">
            <val>1.84</val>
          </value>
          <value t="str">
            <val>0.60</val>
          </value>
          <value t="str">
            <val>泰詠</val>
          </value>
          <value t="str">
            <val>上櫃電子零組件</val>
          </value>
          <value t="str">
            <val>台灣專業SMT加工及組裝測試廠商</val>
          </value>
        </values>
      </ddeItem>
      <ddeItem name="6266.TW-CName,InvestorConferenceDate,DateofMeetingofShareHolders,TradingDate" advise="1">
        <values cols="4">
          <value t="str">
            <val>泰詠</val>
          </value>
          <value t="str">
            <val>--</val>
          </value>
          <value t="str">
            <val>2022/05/20</val>
          </value>
          <value t="str">
            <val>2022/08/01</val>
          </value>
        </values>
      </ddeItem>
      <ddeItem name="6266.TW-ID,Name,MarketValue,Capital,NetIncomeGrowthRate,OperIncomeGrowthRate,FinancialStatementsTime,TFXRatio,MonthlyNetSalesYoY,RevenueMonth" advise="1">
        <values cols="10">
          <value t="str">
            <val>6266</val>
          </value>
          <value t="str">
            <val>泰詠</val>
          </value>
          <value t="str">
            <val>27.0</val>
          </value>
          <value t="str">
            <val>10.94</val>
          </value>
          <value t="str">
            <val>64.36</val>
          </value>
          <value t="str">
            <val>58.11</val>
          </value>
          <value t="str">
            <val>2022/03</val>
          </value>
          <value t="str">
            <val>40.38</val>
          </value>
          <value t="str">
            <val>46.36</val>
          </value>
          <value t="str">
            <val>2022/06</val>
          </value>
        </values>
      </ddeItem>
      <ddeItem name="6266.TW-OperatingProfitRatio,Price,PriceChangeRatio,InOutRatioNumber,Value,YearReturn,MonthReturn,WeekReturn,FinanceBalanceDif,ChipsField2" advise="1">
        <values cols="10">
          <value t="str">
            <val>9.65</val>
          </value>
          <value>
            <val>24.7</val>
          </value>
          <value>
            <val>1.86</val>
          </value>
          <value t="str">
            <val>50.21%</val>
          </value>
          <value t="str">
            <val>2917萬</val>
          </value>
          <value t="str">
            <val>+31.07</val>
          </value>
          <value t="str">
            <val>+28.31</val>
          </value>
          <value t="str">
            <val>+4.22</val>
          </value>
          <value>
            <val>-178</val>
          </value>
          <value>
            <val>0</val>
          </value>
        </values>
      </ddeItem>
      <ddeItem name="62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2022/07/28</val>
          </value>
          <value t="str">
            <val>2.00</val>
          </value>
          <value>
            <val>8.93</val>
          </value>
          <value t="str">
            <val>2.53</val>
          </value>
          <value t="str">
            <val>0.59</val>
          </value>
          <value t="str">
            <val>倍微</val>
          </value>
          <value t="str">
            <val>上櫃電子通路</val>
          </value>
          <value t="str">
            <val>台灣最大編碼型快閃記憶體(Nor Flash)通路商</val>
          </value>
        </values>
      </ddeItem>
      <ddeItem name="6270.TW-CName,InvestorConferenceDate,DateofMeetingofShareHolders,TradingDate" advise="1">
        <values cols="4">
          <value t="str">
            <val>倍微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6270.TW-ID,Name,MarketValue,Capital,NetIncomeGrowthRate,OperIncomeGrowthRate,FinancialStatementsTime,TFXRatio,MonthlyNetSalesYoY,RevenueMonth" advise="1">
        <values cols="10">
          <value t="str">
            <val>6270</val>
          </value>
          <value t="str">
            <val>倍微</val>
          </value>
          <value t="str">
            <val>16.2</val>
          </value>
          <value t="str">
            <val>7.21</val>
          </value>
          <value t="str">
            <val>40.21</val>
          </value>
          <value t="str">
            <val>41.01</val>
          </value>
          <value t="str">
            <val>2022/03</val>
          </value>
          <value t="str">
            <val>8.60</val>
          </value>
          <value t="str">
            <val>11.69</val>
          </value>
          <value t="str">
            <val>2022/06</val>
          </value>
        </values>
      </ddeItem>
      <ddeItem name="6270.TW-OperatingProfitRatio,Price,PriceChangeRatio,InOutRatioNumber,Value,YearReturn,MonthReturn,WeekReturn,FinanceBalanceDif,ChipsField2" advise="1">
        <values cols="10">
          <value t="str">
            <val>4.18</val>
          </value>
          <value>
            <val>22.4</val>
          </value>
          <value>
            <val>0.9</val>
          </value>
          <value t="str">
            <val>78.95%</val>
          </value>
          <value t="str">
            <val>89.4萬</val>
          </value>
          <value t="str">
            <val>+23.30</val>
          </value>
          <value t="str">
            <val>+7.54</val>
          </value>
          <value t="str">
            <val>+2.36</val>
          </value>
          <value>
            <val>-2</val>
          </value>
          <value>
            <val>0</val>
          </value>
        </values>
      </ddeItem>
      <ddeItem name="6274.TW-ChipsField3,ChipsField1,ChipsField25,CashAndStockDividend,CashDividendYieldRate,ProfitFourSeason,ProfitSingle,CName,ExchangeIndustry,CompanyPos" advise="1">
        <values cols="10">
          <value>
            <val>5</val>
          </value>
          <value>
            <val>-827</val>
          </value>
          <value t="str">
            <val>2022/04/14</val>
          </value>
          <value t="str">
            <val>5.00</val>
          </value>
          <value>
            <val>9.58</val>
          </value>
          <value t="str">
            <val>6.13</val>
          </value>
          <value t="str">
            <val>1.08</val>
          </value>
          <value t="str">
            <val>台燿</val>
          </value>
          <value t="str">
            <val>上櫃電子零組件</val>
          </value>
          <value t="str">
            <val>台灣前五大銅箔基板廠之一</val>
          </value>
        </values>
      </ddeItem>
      <ddeItem name="6274.TW-CName,InvestorConferenceDate,DateofMeetingofShareHolders,TradingDate" advise="1">
        <values cols="4">
          <value t="str">
            <val>台燿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6274.TW-ID,Name,MarketValue,Capital,NetIncomeGrowthRate,OperIncomeGrowthRate,FinancialStatementsTime,TFXRatio,MonthlyNetSalesYoY,RevenueMonth" advise="1">
        <values cols="10">
          <value t="str">
            <val>6274</val>
          </value>
          <value t="str">
            <val>台燿</val>
          </value>
          <value t="str">
            <val>140.5</val>
          </value>
          <value t="str">
            <val>26.92</val>
          </value>
          <value t="str">
            <val>-25.08</val>
          </value>
          <value t="str">
            <val>-25.07</val>
          </value>
          <value t="str">
            <val>2022/06</val>
          </value>
          <value t="str">
            <val>-10.21</val>
          </value>
          <value t="str">
            <val>-20.35</val>
          </value>
          <value t="str">
            <val>2022/06</val>
          </value>
        </values>
      </ddeItem>
      <ddeItem name="6274.TW-OperatingProfitRatio,Price,PriceChangeRatio,InOutRatioNumber,Value,YearReturn,MonthReturn,WeekReturn,FinanceBalanceDif,ChipsField2" advise="1">
        <values cols="10">
          <value t="str">
            <val>8.85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-52.99</val>
          </value>
          <value t="str">
            <val>-11.68</val>
          </value>
          <value t="str">
            <val>-8.58</val>
          </value>
          <value>
            <val>83</val>
          </value>
          <value>
            <val>0</val>
          </value>
        </values>
      </ddeItem>
      <ddeItem name="627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2022/08/05</val>
          </value>
          <value t="str">
            <val>2.20</val>
          </value>
          <value>
            <val>6.88</val>
          </value>
          <value t="str">
            <val>2.73</val>
          </value>
          <value t="str">
            <val>0.61</val>
          </value>
          <value t="str">
            <val>元山</val>
          </value>
          <value t="str">
            <val>上櫃電子零組件</val>
          </value>
          <value t="str">
            <val>以小家電起家，並跨入交直流無刷馬達散熱風扇廠商</val>
          </value>
        </values>
      </ddeItem>
      <ddeItem name="6275.TW-CName,InvestorConferenceDate,DateofMeetingofShareHolders,TradingDate" advise="1">
        <values cols="4">
          <value t="str">
            <val>元山</val>
          </value>
          <value t="str">
            <val>2022/07/21</val>
          </value>
          <value t="str">
            <val>2022/05/31</val>
          </value>
          <value t="str">
            <val>2022/08/01</val>
          </value>
        </values>
      </ddeItem>
      <ddeItem name="6275.TW-ID,Name,MarketValue,Capital,NetIncomeGrowthRate,OperIncomeGrowthRate,FinancialStatementsTime,TFXRatio,MonthlyNetSalesYoY,RevenueMonth" advise="1">
        <values cols="10">
          <value t="str">
            <val>6275</val>
          </value>
          <value t="str">
            <val>元山</val>
          </value>
          <value t="str">
            <val>22.5</val>
          </value>
          <value t="str">
            <val>7.02</val>
          </value>
          <value t="str">
            <val>-16.47</val>
          </value>
          <value t="str">
            <val>-64.43</val>
          </value>
          <value t="str">
            <val>2022/03</val>
          </value>
          <value t="str">
            <val>-18.61</val>
          </value>
          <value t="str">
            <val>3.38</val>
          </value>
          <value t="str">
            <val>2022/06</val>
          </value>
        </values>
      </ddeItem>
      <ddeItem name="6275.TW-OperatingProfitRatio,Price,PriceChangeRatio,InOutRatioNumber,Value,YearReturn,MonthReturn,WeekReturn,FinanceBalanceDif,ChipsField2" advise="1">
        <values cols="10">
          <value t="str">
            <val>2.60</val>
          </value>
          <value>
            <val>32</val>
          </value>
          <value>
            <val>2.2400000000000002</val>
          </value>
          <value t="str">
            <val>50.70%</val>
          </value>
          <value t="str">
            <val>4135萬</val>
          </value>
          <value t="str">
            <val>+11.89</val>
          </value>
          <value t="str">
            <val>+4.40</val>
          </value>
          <value t="str">
            <val>+1.11</val>
          </value>
          <value>
            <val>6</val>
          </value>
          <value>
            <val>0</val>
          </value>
        </values>
      </ddeItem>
      <ddeItem name="62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2022/03/31</val>
          </value>
          <value t="str">
            <val>1.00</val>
          </value>
          <value>
            <val>5.9</val>
          </value>
          <value t="str">
            <val>-0.72</val>
          </value>
          <value t="str">
            <val>-0.30</val>
          </value>
          <value t="str">
            <val>安鈦克</val>
          </value>
          <value t="str">
            <val>上櫃電腦及週邊設備</val>
          </value>
          <value t="str">
            <val>產品主要應用於DIY PC之電源供應器與機殼廠</val>
          </value>
        </values>
      </ddeItem>
      <ddeItem name="6276.TW-CName,InvestorConferenceDate,DateofMeetingofShareHolders,TradingDate" advise="1">
        <values cols="4">
          <value t="str">
            <val>安鈦克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6276.TW-ID,Name,MarketValue,Capital,NetIncomeGrowthRate,OperIncomeGrowthRate,FinancialStatementsTime,TFXRatio,MonthlyNetSalesYoY,RevenueMonth" advise="1">
        <values cols="10">
          <value t="str">
            <val>6276</val>
          </value>
          <value t="str">
            <val>安鈦克</val>
          </value>
          <value t="str">
            <val>5.3</val>
          </value>
          <value t="str">
            <val>3.15</val>
          </value>
          <value t="str">
            <val>-119.88</val>
          </value>
          <value t="str">
            <val>-131.83</val>
          </value>
          <value t="str">
            <val>2022/03</val>
          </value>
          <value t="str">
            <val>-20.03</val>
          </value>
          <value t="str">
            <val>-21.31</val>
          </value>
          <value t="str">
            <val>2022/06</val>
          </value>
        </values>
      </ddeItem>
      <ddeItem name="6276.TW-OperatingProfitRatio,Price,PriceChangeRatio,InOutRatioNumber,Value,YearReturn,MonthReturn,WeekReturn,FinanceBalanceDif,ChipsField2" advise="1">
        <values cols="10">
          <value t="str">
            <val>-4.05</val>
          </value>
          <value>
            <val>16.95</val>
          </value>
          <value>
            <val>3.99</val>
          </value>
          <value t="str">
            <val>54.97%</val>
          </value>
          <value t="str">
            <val>1347萬</val>
          </value>
          <value t="str">
            <val>-47.23</val>
          </value>
          <value t="str">
            <val>+6.94</val>
          </value>
          <value t="str">
            <val>+1.50</val>
          </value>
          <value>
            <val>22</val>
          </value>
          <value>
            <val>0</val>
          </value>
        </values>
      </ddeItem>
      <ddeItem name="6279.TW-ChipsField3,ChipsField1,ChipsField25,CashAndStockDividend,CashDividendYieldRate,ProfitFourSeason,ProfitSingle,CName,ExchangeIndustry,CompanyPos" advise="1">
        <values cols="10">
          <value>
            <val>-66</val>
          </value>
          <value>
            <val>550</val>
          </value>
          <value t="str">
            <val>--</val>
          </value>
          <value t="str">
            <val>5.00</val>
          </value>
          <value>
            <val>3.28</val>
          </value>
          <value t="str">
            <val>7.74</val>
          </value>
          <value t="str">
            <val>2.07</val>
          </value>
          <value t="str">
            <val>胡連</val>
          </value>
          <value t="str">
            <val>上櫃電子零組件</val>
          </value>
          <value t="str">
            <val>兩岸最大汽車端子製造商</val>
          </value>
        </values>
      </ddeItem>
      <ddeItem name="6279.TW-CName,InvestorConferenceDate,DateofMeetingofShareHolders,TradingDate" advise="1">
        <values cols="4">
          <value t="str">
            <val>胡連</val>
          </value>
          <value t="str">
            <val>2021/04/14</val>
          </value>
          <value t="str">
            <val>2022/06/17</val>
          </value>
          <value t="str">
            <val>2022/08/01</val>
          </value>
        </values>
      </ddeItem>
      <ddeItem name="6279.TW-ID,Name,MarketValue,Capital,NetIncomeGrowthRate,OperIncomeGrowthRate,FinancialStatementsTime,TFXRatio,MonthlyNetSalesYoY,RevenueMonth" advise="1">
        <values cols="10">
          <value t="str">
            <val>6279</val>
          </value>
          <value t="str">
            <val>胡連</val>
          </value>
          <value t="str">
            <val>152.0</val>
          </value>
          <value t="str">
            <val>9.97</val>
          </value>
          <value t="str">
            <val>-7.92</val>
          </value>
          <value t="str">
            <val>-27.68</val>
          </value>
          <value t="str">
            <val>2022/03</val>
          </value>
          <value t="str">
            <val>15.85</val>
          </value>
          <value t="str">
            <val>37.88</val>
          </value>
          <value t="str">
            <val>2022/06</val>
          </value>
        </values>
      </ddeItem>
      <ddeItem name="6279.TW-OperatingProfitRatio,Price,PriceChangeRatio,InOutRatioNumber,Value,YearReturn,MonthReturn,WeekReturn,FinanceBalanceDif,ChipsField2" advise="1">
        <values cols="10">
          <value t="str">
            <val>15.70</val>
          </value>
          <value>
            <val>152.5</val>
          </value>
          <value>
            <val>0.66</val>
          </value>
          <value t="str">
            <val>44.30%</val>
          </value>
          <value t="str">
            <val>1.78億</val>
          </value>
          <value t="str">
            <val>+16.39</val>
          </value>
          <value t="str">
            <val>+22.00</val>
          </value>
          <value t="str">
            <val>+0.99</val>
          </value>
          <value>
            <val>-108</val>
          </value>
          <value>
            <val>0</val>
          </value>
        </values>
      </ddeItem>
      <ddeItem name="6284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60</val>
          </value>
          <value t="str">
            <val>2022/08/04</val>
          </value>
          <value t="str">
            <val>1.20</val>
          </value>
          <value>
            <val>2.4</val>
          </value>
          <value t="str">
            <val>4.14</val>
          </value>
          <value t="str">
            <val>1.02</val>
          </value>
          <value t="str">
            <val>佳邦</val>
          </value>
          <value t="str">
            <val>上櫃電子零組件</val>
          </value>
          <value t="str">
            <val>電子保護元件及天線產品之領導廠商</val>
          </value>
        </values>
      </ddeItem>
      <ddeItem name="6284.TW-CName,InvestorConferenceDate,DateofMeetingofShareHolders,TradingDate" advise="1">
        <values cols="4">
          <value t="str">
            <val>佳邦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6284.TW-ID,Name,MarketValue,Capital,NetIncomeGrowthRate,OperIncomeGrowthRate,FinancialStatementsTime,TFXRatio,MonthlyNetSalesYoY,RevenueMonth" advise="1">
        <values cols="10">
          <value t="str">
            <val>6284</val>
          </value>
          <value t="str">
            <val>佳邦</val>
          </value>
          <value t="str">
            <val>69.9</val>
          </value>
          <value t="str">
            <val>14.02</val>
          </value>
          <value t="str">
            <val>15.06</val>
          </value>
          <value t="str">
            <val>-16.09</val>
          </value>
          <value t="str">
            <val>2022/03</val>
          </value>
          <value t="str">
            <val>0.67</val>
          </value>
          <value t="str">
            <val>-2.96</val>
          </value>
          <value t="str">
            <val>2022/06</val>
          </value>
        </values>
      </ddeItem>
      <ddeItem name="6284.TW-OperatingProfitRatio,Price,PriceChangeRatio,InOutRatioNumber,Value,YearReturn,MonthReturn,WeekReturn,FinanceBalanceDif,ChipsField2" advise="1">
        <values cols="10">
          <value t="str">
            <val>7.68</val>
          </value>
          <value>
            <val>49.9</val>
          </value>
          <value>
            <val>-0.6</val>
          </value>
          <value t="str">
            <val>45.16%</val>
          </value>
          <value t="str">
            <val>465萬</val>
          </value>
          <value t="str">
            <val>-24.53</val>
          </value>
          <value t="str">
            <val>+15.91</val>
          </value>
          <value t="str">
            <val>-1.77</val>
          </value>
          <value>
            <val>7</val>
          </value>
          <value>
            <val>0</val>
          </value>
        </values>
      </ddeItem>
      <ddeItem name="62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0.45</val>
          </value>
          <value t="str">
            <val>0.15</val>
          </value>
          <value t="str">
            <val>元隆</val>
          </value>
          <value t="str">
            <val>上櫃半導體</val>
          </value>
          <value t="str">
            <val>台灣功率半導體及類比IC晶圓代工廠</val>
          </value>
        </values>
      </ddeItem>
      <ddeItem name="6287.TW-CName,InvestorConferenceDate,DateofMeetingofShareHolders,TradingDate" advise="1">
        <values cols="4">
          <value t="str">
            <val>元隆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6287.TW-ID,Name,MarketValue,Capital,NetIncomeGrowthRate,OperIncomeGrowthRate,FinancialStatementsTime,TFXRatio,MonthlyNetSalesYoY,RevenueMonth" advise="1">
        <values cols="10">
          <value t="str">
            <val>6287</val>
          </value>
          <value t="str">
            <val>元隆</val>
          </value>
          <value t="str">
            <val>32.9</val>
          </value>
          <value t="str">
            <val>43.81</val>
          </value>
          <value t="str">
            <val>378.17</val>
          </value>
          <value t="str">
            <val>403.28</val>
          </value>
          <value t="str">
            <val>2022/03</val>
          </value>
          <value t="str">
            <val>-12.73</val>
          </value>
          <value t="str">
            <val>13.87</val>
          </value>
          <value t="str">
            <val>2022/06</val>
          </value>
        </values>
      </ddeItem>
      <ddeItem name="6287.TW-OperatingProfitRatio,Price,PriceChangeRatio,InOutRatioNumber,Value,YearReturn,MonthReturn,WeekReturn,FinanceBalanceDif,ChipsField2" advise="1">
        <values cols="10">
          <value t="str">
            <val>11.13</val>
          </value>
          <value>
            <val>7.52</val>
          </value>
          <value>
            <val>0.4</val>
          </value>
          <value t="str">
            <val>25.00%</val>
          </value>
          <value t="str">
            <val>3.01萬</val>
          </value>
          <value t="str">
            <val>-55.76</val>
          </value>
          <value t="str">
            <val>+0.27</val>
          </value>
          <value t="str">
            <val>-0.40</val>
          </value>
          <value>
            <val>0</val>
          </value>
          <value>
            <val>0</val>
          </value>
        </values>
      </ddeItem>
      <ddeItem name="6290.TW-ChipsField3,ChipsField1,ChipsField25,CashAndStockDividend,CashDividendYieldRate,ProfitFourSeason,ProfitSingle,CName,ExchangeIndustry,CompanyPos" advise="1">
        <values cols="10">
          <value>
            <val>32</val>
          </value>
          <value>
            <val>91</val>
          </value>
          <value t="str">
            <val>2022/07/28</val>
          </value>
          <value t="str">
            <val>2.00</val>
          </value>
          <value>
            <val>3.69</val>
          </value>
          <value t="str">
            <val>2.75</val>
          </value>
          <value t="str">
            <val>1.00</val>
          </value>
          <value t="str">
            <val>良維</val>
          </value>
          <value t="str">
            <val>上櫃電子零組件</val>
          </value>
          <value t="str">
            <val>全球最大的TV電源供應商</val>
          </value>
        </values>
      </ddeItem>
      <ddeItem name="6290.TW-CName,InvestorConferenceDate,DateofMeetingofShareHolders,TradingDate" advise="1">
        <values cols="4">
          <value t="str">
            <val>良維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6290.TW-ID,Name,MarketValue,Capital,NetIncomeGrowthRate,OperIncomeGrowthRate,FinancialStatementsTime,TFXRatio,MonthlyNetSalesYoY,RevenueMonth" advise="1">
        <values cols="10">
          <value t="str">
            <val>6290</val>
          </value>
          <value t="str">
            <val>良維</val>
          </value>
          <value t="str">
            <val>80.1</val>
          </value>
          <value t="str">
            <val>14.78</val>
          </value>
          <value t="str">
            <val>-24.44</val>
          </value>
          <value t="str">
            <val>-69.91</val>
          </value>
          <value t="str">
            <val>2022/03</val>
          </value>
          <value t="str">
            <val>15.91</val>
          </value>
          <value t="str">
            <val>10.35</val>
          </value>
          <value t="str">
            <val>2022/06</val>
          </value>
        </values>
      </ddeItem>
      <ddeItem name="6290.TW-OperatingProfitRatio,Price,PriceChangeRatio,InOutRatioNumber,Value,YearReturn,MonthReturn,WeekReturn,FinanceBalanceDif,ChipsField2" advise="1">
        <values cols="10">
          <value t="str">
            <val>3.64</val>
          </value>
          <value>
            <val>54.2</val>
          </value>
          <value>
            <val>0.18</val>
          </value>
          <value t="str">
            <val>50.38%</val>
          </value>
          <value t="str">
            <val>5942萬</val>
          </value>
          <value t="str">
            <val>-14.29</val>
          </value>
          <value t="str">
            <val>+12.38</val>
          </value>
          <value t="str">
            <val>+3.88</val>
          </value>
          <value>
            <val>-106</val>
          </value>
          <value>
            <val>0</val>
          </value>
        </values>
      </ddeItem>
      <ddeItem name="62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2.39</val>
          </value>
          <value t="str">
            <val>1.07</val>
          </value>
          <value t="str">
            <val>沛亨</val>
          </value>
          <value t="str">
            <val>上櫃半導體</val>
          </value>
          <value t="str">
            <val>台灣老牌電源管理IC業者</val>
          </value>
        </values>
      </ddeItem>
      <ddeItem name="6291.TW-CName,InvestorConferenceDate,DateofMeetingofShareHolders,TradingDate" advise="1">
        <values cols="4">
          <value t="str">
            <val>沛亨</val>
          </value>
          <value t="str">
            <val>--</val>
          </value>
          <value t="str">
            <val>2022/05/20</val>
          </value>
          <value t="str">
            <val>2022/08/01</val>
          </value>
        </values>
      </ddeItem>
      <ddeItem name="6291.TW-ID,Name,MarketValue,Capital,NetIncomeGrowthRate,OperIncomeGrowthRate,FinancialStatementsTime,TFXRatio,MonthlyNetSalesYoY,RevenueMonth" advise="1">
        <values cols="10">
          <value t="str">
            <val>6291</val>
          </value>
          <value t="str">
            <val>沛亨</val>
          </value>
          <value t="str">
            <val>31.5</val>
          </value>
          <value t="str">
            <val>6.30</val>
          </value>
          <value t="str">
            <val>70.44</val>
          </value>
          <value t="str">
            <val>150.50</val>
          </value>
          <value t="str">
            <val>2022/03</val>
          </value>
          <value t="str">
            <val>5.62</val>
          </value>
          <value t="str">
            <val>64.17</val>
          </value>
          <value t="str">
            <val>2022/06</val>
          </value>
        </values>
      </ddeItem>
      <ddeItem name="6291.TW-OperatingProfitRatio,Price,PriceChangeRatio,InOutRatioNumber,Value,YearReturn,MonthReturn,WeekReturn,FinanceBalanceDif,ChipsField2" advise="1">
        <values cols="10">
          <value t="str">
            <val>14.03</val>
          </value>
          <value>
            <val>50</val>
          </value>
          <value>
            <val>0</val>
          </value>
          <value t="str">
            <val>42.86%</val>
          </value>
          <value t="str">
            <val>70.0萬</val>
          </value>
          <value t="str">
            <val>+18.48</val>
          </value>
          <value t="str">
            <val>-6.54</val>
          </value>
          <value t="str">
            <val>0.00</val>
          </value>
          <value>
            <val>5</val>
          </value>
          <value>
            <val>0</val>
          </value>
        </values>
      </ddeItem>
      <ddeItem name="62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2022/07/12</val>
          </value>
          <value t="str">
            <val>3.60</val>
          </value>
          <value>
            <val>8.23</val>
          </value>
          <value t="str">
            <val>5.47</val>
          </value>
          <value t="str">
            <val>1.72</val>
          </value>
          <value t="str">
            <val>迅德</val>
          </value>
          <value t="str">
            <val>上櫃電子零組件</val>
          </value>
          <value t="str">
            <val>專注生產工業用變壓器產品之廠商</val>
          </value>
        </values>
      </ddeItem>
      <ddeItem name="6292.TW-CName,InvestorConferenceDate,DateofMeetingofShareHolders,TradingDate" advise="1">
        <values cols="4">
          <value t="str">
            <val>迅德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6292.TW-ID,Name,MarketValue,Capital,NetIncomeGrowthRate,OperIncomeGrowthRate,FinancialStatementsTime,TFXRatio,MonthlyNetSalesYoY,RevenueMonth" advise="1">
        <values cols="10">
          <value t="str">
            <val>6292</val>
          </value>
          <value t="str">
            <val>迅德</val>
          </value>
          <value t="str">
            <val>20.5</val>
          </value>
          <value t="str">
            <val>4.69</val>
          </value>
          <value t="str">
            <val>36.62</val>
          </value>
          <value t="str">
            <val>24.67</val>
          </value>
          <value t="str">
            <val>2022/03</val>
          </value>
          <value t="str">
            <val>-9.44</val>
          </value>
          <value t="str">
            <val>42.21</val>
          </value>
          <value t="str">
            <val>2022/06</val>
          </value>
        </values>
      </ddeItem>
      <ddeItem name="6292.TW-OperatingProfitRatio,Price,PriceChangeRatio,InOutRatioNumber,Value,YearReturn,MonthReturn,WeekReturn,FinanceBalanceDif,ChipsField2" advise="1">
        <values cols="10">
          <value t="str">
            <val>13.91</val>
          </value>
          <value>
            <val>43.75</val>
          </value>
          <value>
            <val>-0.46</val>
          </value>
          <value t="str">
            <val>41.03%</val>
          </value>
          <value t="str">
            <val>180萬</val>
          </value>
          <value t="str">
            <val>+20.05</val>
          </value>
          <value t="str">
            <val>+1.76</val>
          </value>
          <value t="str">
            <val>-1.24</val>
          </value>
          <value>
            <val>0</val>
          </value>
          <value>
            <val>0</val>
          </value>
        </values>
      </ddeItem>
      <ddeItem name="629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2022/04/14</val>
          </value>
          <value t="str">
            <val>9.50</val>
          </value>
          <value>
            <val>8.56</val>
          </value>
          <value t="str">
            <val>10.23</val>
          </value>
          <value t="str">
            <val>1.63</val>
          </value>
          <value t="str">
            <val>智基</val>
          </value>
          <value t="str">
            <val>上櫃文化創意</val>
          </value>
          <value t="str">
            <val>以公職、技術人員、研究所入學考試為主補教業者</val>
          </value>
        </values>
      </ddeItem>
      <ddeItem name="6294.TW-CName,InvestorConferenceDate,DateofMeetingofShareHolders,TradingDate" advise="1">
        <values cols="4">
          <value t="str">
            <val>智基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6294.TW-ID,Name,MarketValue,Capital,NetIncomeGrowthRate,OperIncomeGrowthRate,FinancialStatementsTime,TFXRatio,MonthlyNetSalesYoY,RevenueMonth" advise="1">
        <values cols="10">
          <value t="str">
            <val>6294</val>
          </value>
          <value t="str">
            <val>智基</val>
          </value>
          <value t="str">
            <val>27.3</val>
          </value>
          <value t="str">
            <val>2.46</val>
          </value>
          <value t="str">
            <val>-39.99</val>
          </value>
          <value t="str">
            <val>-39.05</val>
          </value>
          <value t="str">
            <val>2022/03</val>
          </value>
          <value t="str">
            <val>3.20</val>
          </value>
          <value t="str">
            <val>7.94</val>
          </value>
          <value t="str">
            <val>2022/06</val>
          </value>
        </values>
      </ddeItem>
      <ddeItem name="6294.TW-OperatingProfitRatio,Price,PriceChangeRatio,InOutRatioNumber,Value,YearReturn,MonthReturn,WeekReturn,FinanceBalanceDif,ChipsField2" advise="1">
        <values cols="10">
          <value t="str">
            <val>21.79</val>
          </value>
          <value>
            <val>111</val>
          </value>
          <value>
            <val>0</val>
          </value>
          <value t="str">
            <val>50.00%</val>
          </value>
          <value t="str">
            <val>22.3萬</val>
          </value>
          <value t="str">
            <val>-14.11</val>
          </value>
          <value t="str">
            <val>+15.03</val>
          </value>
          <value t="str">
            <val>-0.89</val>
          </value>
          <value>
            <val>1</val>
          </value>
          <value>
            <val>0</val>
          </value>
        </values>
      </ddeItem>
      <ddeItem name="64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-1.04</val>
          </value>
          <value t="str">
            <val>-0.29</val>
          </value>
          <value t="str">
            <val>通訊-KY</val>
          </value>
          <value t="str">
            <val>上櫃資訊服務</val>
          </value>
          <value t="str">
            <val>大陸手機應用及遊戲軟體平台通路商</val>
          </value>
        </values>
      </ddeItem>
      <ddeItem name="6404.TW-CName,InvestorConferenceDate,DateofMeetingofShareHolders,TradingDate" advise="1">
        <values cols="4">
          <value t="str">
            <val>通訊-KY</val>
          </value>
          <value t="str">
            <val>2021/10/26</val>
          </value>
          <value t="str">
            <val>2022/06/08</val>
          </value>
          <value t="str">
            <val>2022/08/01</val>
          </value>
        </values>
      </ddeItem>
      <ddeItem name="6404.TW-ID,Name,MarketValue,Capital,NetIncomeGrowthRate,OperIncomeGrowthRate,FinancialStatementsTime,TFXRatio,MonthlyNetSalesYoY,RevenueMonth" advise="1">
        <values cols="10">
          <value t="str">
            <val>6404</val>
          </value>
          <value t="str">
            <val>通訊-KY</val>
          </value>
          <value t="str">
            <val>2.9</val>
          </value>
          <value t="str">
            <val>2.02</val>
          </value>
          <value t="str">
            <val>74.38</val>
          </value>
          <value t="str">
            <val>68.61</val>
          </value>
          <value t="str">
            <val>2022/03</val>
          </value>
          <value t="str">
            <val>7.89</val>
          </value>
          <value t="str">
            <val>-71.41</val>
          </value>
          <value t="str">
            <val>2022/06</val>
          </value>
        </values>
      </ddeItem>
      <ddeItem name="6404.TW-OperatingProfitRatio,Price,PriceChangeRatio,InOutRatioNumber,Value,YearReturn,MonthReturn,WeekReturn,FinanceBalanceDif,ChipsField2" advise="1">
        <values cols="10">
          <value t="str">
            <val>-395.74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-2.78</val>
          </value>
          <value t="str">
            <val>+7.27</val>
          </value>
          <value t="str">
            <val>+1.72</val>
          </value>
          <value>
            <val>0</val>
          </value>
          <value>
            <val>0</val>
          </value>
        </values>
      </ddeItem>
      <ddeItem name="6411.TW-ChipsField3,ChipsField1,ChipsField25,CashAndStockDividend,CashDividendYieldRate,ProfitFourSeason,ProfitSingle,CName,ExchangeIndustry,CompanyPos" advise="1">
        <values cols="10">
          <value>
            <val>14</val>
          </value>
          <value>
            <val>59</val>
          </value>
          <value t="str">
            <val>2022/08/15</val>
          </value>
          <value t="str">
            <val>7.16</val>
          </value>
          <value>
            <val>6.23</val>
          </value>
          <value t="str">
            <val>10.31</val>
          </value>
          <value t="str">
            <val>2.23</val>
          </value>
          <value t="str">
            <val>晶焱</val>
          </value>
          <value t="str">
            <val>上櫃半導體</val>
          </value>
          <value t="str">
            <val>台灣首家靜電放電防護IC設計公司</val>
          </value>
        </values>
      </ddeItem>
      <ddeItem name="6411.TW-CName,InvestorConferenceDate,DateofMeetingofShareHolders,TradingDate" advise="1">
        <values cols="4">
          <value t="str">
            <val>晶焱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6411.TW-ID,Name,MarketValue,Capital,NetIncomeGrowthRate,OperIncomeGrowthRate,FinancialStatementsTime,TFXRatio,MonthlyNetSalesYoY,RevenueMonth" advise="1">
        <values cols="10">
          <value t="str">
            <val>6411</val>
          </value>
          <value t="str">
            <val>晶焱</val>
          </value>
          <value t="str">
            <val>111.9</val>
          </value>
          <value t="str">
            <val>9.25</val>
          </value>
          <value t="str">
            <val>1.89</val>
          </value>
          <value t="str">
            <val>-20.42</val>
          </value>
          <value t="str">
            <val>2022/03</val>
          </value>
          <value t="str">
            <val>-2.08</val>
          </value>
          <value t="str">
            <val>-0.23</val>
          </value>
          <value t="str">
            <val>2022/06</val>
          </value>
        </values>
      </ddeItem>
      <ddeItem name="6411.TW-OperatingProfitRatio,Price,PriceChangeRatio,InOutRatioNumber,Value,YearReturn,MonthReturn,WeekReturn,FinanceBalanceDif,ChipsField2" advise="1">
        <values cols="10">
          <value t="str">
            <val>21.37</val>
          </value>
          <value>
            <val>115</val>
          </value>
          <value>
            <val>-1.71</val>
          </value>
          <value t="str">
            <val>34.67%</val>
          </value>
          <value t="str">
            <val>5339萬</val>
          </value>
          <value t="str">
            <val>-20.12</val>
          </value>
          <value t="str">
            <val>+9.00</val>
          </value>
          <value t="str">
            <val>-4.17</val>
          </value>
          <value>
            <val>-19</val>
          </value>
          <value>
            <val>0</val>
          </value>
        </values>
      </ddeItem>
      <ddeItem name="641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2022/07/25</val>
          </value>
          <value t="str">
            <val>1.50</val>
          </value>
          <value>
            <val>2.0299999999999998</val>
          </value>
          <value t="str">
            <val>3.03</val>
          </value>
          <value t="str">
            <val>0.54</val>
          </value>
          <value t="str">
            <val>韋僑</val>
          </value>
          <value t="str">
            <val>上櫃通信網路</val>
          </value>
          <value t="str">
            <val>台灣RFID Tag製造商</val>
          </value>
        </values>
      </ddeItem>
      <ddeItem name="6417.TW-CName,InvestorConferenceDate,DateofMeetingofShareHolders,TradingDate" advise="1">
        <values cols="4">
          <value t="str">
            <val>韋僑</val>
          </value>
          <value t="str">
            <val>2021/11/18</val>
          </value>
          <value t="str">
            <val>2022/05/27</val>
          </value>
          <value t="str">
            <val>2022/08/01</val>
          </value>
        </values>
      </ddeItem>
      <ddeItem name="6417.TW-ID,Name,MarketValue,Capital,NetIncomeGrowthRate,OperIncomeGrowthRate,FinancialStatementsTime,TFXRatio,MonthlyNetSalesYoY,RevenueMonth" advise="1">
        <values cols="10">
          <value t="str">
            <val>6417</val>
          </value>
          <value t="str">
            <val>韋僑</val>
          </value>
          <value t="str">
            <val>31.2</val>
          </value>
          <value t="str">
            <val>4.23</val>
          </value>
          <value t="str">
            <val>6.68</val>
          </value>
          <value t="str">
            <val>-20.10</val>
          </value>
          <value t="str">
            <val>2022/03</val>
          </value>
          <value t="str">
            <val>-1.49</val>
          </value>
          <value t="str">
            <val>13.48</val>
          </value>
          <value t="str">
            <val>2022/06</val>
          </value>
        </values>
      </ddeItem>
      <ddeItem name="6417.TW-OperatingProfitRatio,Price,PriceChangeRatio,InOutRatioNumber,Value,YearReturn,MonthReturn,WeekReturn,FinanceBalanceDif,ChipsField2" advise="1">
        <values cols="10">
          <value t="str">
            <val>8.82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+2.21</val>
          </value>
          <value t="str">
            <val>+2.35</val>
          </value>
          <value t="str">
            <val>0.00</val>
          </value>
          <value>
            <val>0</val>
          </value>
          <value>
            <val>0</val>
          </value>
        </values>
      </ddeItem>
      <ddeItem name="64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-0.53</val>
          </value>
          <value t="str">
            <val>-0.05</val>
          </value>
          <value t="str">
            <val>詠昇</val>
          </value>
          <value t="str">
            <val>上櫃電子零組件</val>
          </value>
          <value t="str">
            <val>PC、TV、NB、3C用連接器生產廠</val>
          </value>
        </values>
      </ddeItem>
      <ddeItem name="6418.TW-CName,InvestorConferenceDate,DateofMeetingofShareHolders,TradingDate" advise="1">
        <values cols="4">
          <value t="str">
            <val>詠昇</val>
          </value>
          <value t="str">
            <val>2021/12/21</val>
          </value>
          <value t="str">
            <val>2022/06/09</val>
          </value>
          <value t="str">
            <val>2022/08/01</val>
          </value>
        </values>
      </ddeItem>
      <ddeItem name="6418.TW-ID,Name,MarketValue,Capital,NetIncomeGrowthRate,OperIncomeGrowthRate,FinancialStatementsTime,TFXRatio,MonthlyNetSalesYoY,RevenueMonth" advise="1">
        <values cols="10">
          <value t="str">
            <val>6418</val>
          </value>
          <value t="str">
            <val>詠昇</val>
          </value>
          <value t="str">
            <val>5.0</val>
          </value>
          <value t="str">
            <val>3.45</val>
          </value>
          <value t="str">
            <val>76.46</val>
          </value>
          <value t="str">
            <val>121.08</val>
          </value>
          <value t="str">
            <val>2022/03</val>
          </value>
          <value t="str">
            <val>-14.56</val>
          </value>
          <value t="str">
            <val>-14.95</val>
          </value>
          <value t="str">
            <val>2022/06</val>
          </value>
        </values>
      </ddeItem>
      <ddeItem name="6418.TW-OperatingProfitRatio,Price,PriceChangeRatio,InOutRatioNumber,Value,YearReturn,MonthReturn,WeekReturn,FinanceBalanceDif,ChipsField2" advise="1">
        <values cols="10">
          <value t="str">
            <val>0.89</val>
          </value>
          <value>
            <val>14.4</val>
          </value>
          <value>
            <val>1.05</val>
          </value>
          <value t="str">
            <val>41.07%</val>
          </value>
          <value t="str">
            <val>80.7萬</val>
          </value>
          <value t="str">
            <val>+6.41</val>
          </value>
          <value t="str">
            <val>+10.77</val>
          </value>
          <value t="str">
            <val>-1.37</val>
          </value>
          <value>
            <val>10</val>
          </value>
          <value>
            <val>0</val>
          </value>
        </values>
      </ddeItem>
      <ddeItem name="641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5.50</val>
          </value>
          <value t="str">
            <val>1.29</val>
          </value>
          <value t="str">
            <val>京晨科</val>
          </value>
          <value t="str">
            <val>上櫃光電</val>
          </value>
          <value t="str">
            <val>台灣網路視訊監控系統商</val>
          </value>
        </values>
      </ddeItem>
      <ddeItem name="6419.TW-CName,InvestorConferenceDate,DateofMeetingofShareHolders,TradingDate" advise="1">
        <values cols="4">
          <value t="str">
            <val>京晨科</val>
          </value>
          <value t="str">
            <val>--</val>
          </value>
          <value t="str">
            <val>2022/06/30</val>
          </value>
          <value t="str">
            <val>2022/08/01</val>
          </value>
        </values>
      </ddeItem>
      <ddeItem name="6419.TW-ID,Name,MarketValue,Capital,NetIncomeGrowthRate,OperIncomeGrowthRate,FinancialStatementsTime,TFXRatio,MonthlyNetSalesYoY,RevenueMonth" advise="1">
        <values cols="10">
          <value t="str">
            <val>6419</val>
          </value>
          <value t="str">
            <val>京晨科</val>
          </value>
          <value t="str">
            <val>4.0</val>
          </value>
          <value t="str">
            <val>1.32</val>
          </value>
          <value t="str">
            <val>93.46</val>
          </value>
          <value t="str">
            <val>-14.04</val>
          </value>
          <value t="str">
            <val>2022/03</val>
          </value>
          <value t="str">
            <val>-5.23</val>
          </value>
          <value t="str">
            <val>-41.61</val>
          </value>
          <value t="str">
            <val>2022/06</val>
          </value>
        </values>
      </ddeItem>
      <ddeItem name="6419.TW-OperatingProfitRatio,Price,PriceChangeRatio,InOutRatioNumber,Value,YearReturn,MonthReturn,WeekReturn,FinanceBalanceDif,ChipsField2" advise="1">
        <values cols="10">
          <value t="str">
            <val>-13.29</val>
          </value>
          <value>
            <val>30.6</val>
          </value>
          <value>
            <val>0.49</val>
          </value>
          <value t="str">
            <val>61.90%</val>
          </value>
          <value t="str">
            <val>63.4萬</val>
          </value>
          <value t="str">
            <val>+37.22</val>
          </value>
          <value t="str">
            <val>-1.29</val>
          </value>
          <value t="str">
            <val>+1.83</val>
          </value>
          <value>
            <val>0</val>
          </value>
          <value>
            <val>0</val>
          </value>
        </values>
      </ddeItem>
      <ddeItem name="64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2022/07/15</val>
          </value>
          <value t="str">
            <val>0.50</val>
          </value>
          <value>
            <val>2.2799999999999998</val>
          </value>
          <value t="str">
            <val>-0.06</val>
          </value>
          <value t="str">
            <val>0.63</val>
          </value>
          <value t="str">
            <val>易發</val>
          </value>
          <value t="str">
            <val>上櫃電機機械</val>
          </value>
          <value t="str">
            <val>深耕面板製程設備，並跨足半導體及動力電池設備之廠商</val>
          </value>
        </values>
      </ddeItem>
      <ddeItem name="6425.TW-CName,InvestorConferenceDate,DateofMeetingofShareHolders,TradingDate" advise="1">
        <values cols="4">
          <value t="str">
            <val>易發</val>
          </value>
          <value t="str">
            <val>--</val>
          </value>
          <value t="str">
            <val>2022/05/18</val>
          </value>
          <value t="str">
            <val>2022/08/01</val>
          </value>
        </values>
      </ddeItem>
      <ddeItem name="6425.TW-ID,Name,MarketValue,Capital,NetIncomeGrowthRate,OperIncomeGrowthRate,FinancialStatementsTime,TFXRatio,MonthlyNetSalesYoY,RevenueMonth" advise="1">
        <values cols="10">
          <value t="str">
            <val>6425</val>
          </value>
          <value t="str">
            <val>易發</val>
          </value>
          <value t="str">
            <val>9.6</val>
          </value>
          <value t="str">
            <val>4.36</val>
          </value>
          <value t="str">
            <val>134.34</val>
          </value>
          <value t="str">
            <val>117.33</val>
          </value>
          <value t="str">
            <val>2022/03</val>
          </value>
          <value t="str">
            <val>15.23</val>
          </value>
          <value t="str">
            <val>14.73</val>
          </value>
          <value t="str">
            <val>2022/06</val>
          </value>
        </values>
      </ddeItem>
      <ddeItem name="6425.TW-OperatingProfitRatio,Price,PriceChangeRatio,InOutRatioNumber,Value,YearReturn,MonthReturn,WeekReturn,FinanceBalanceDif,ChipsField2" advise="1">
        <values cols="10">
          <value t="str">
            <val>3.52</val>
          </value>
          <value>
            <val>21.95</val>
          </value>
          <value>
            <val>0.69</val>
          </value>
          <value t="str">
            <val>80.00%</val>
          </value>
          <value t="str">
            <val>10.9萬</val>
          </value>
          <value t="str">
            <val>-4.44</val>
          </value>
          <value t="str">
            <val>+2.07</val>
          </value>
          <value t="str">
            <val>+0.23</val>
          </value>
          <value>
            <val>1</val>
          </value>
          <value>
            <val>0</val>
          </value>
        </values>
      </ddeItem>
      <ddeItem name="64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2022/08/17</val>
          </value>
          <value t="str">
            <val>1.60</val>
          </value>
          <value>
            <val>4.92</val>
          </value>
          <value t="str">
            <val>2.92</val>
          </value>
          <value t="str">
            <val>0.75</val>
          </value>
          <value t="str">
            <val>今展科</val>
          </value>
          <value t="str">
            <val>上櫃電子零組件</val>
          </value>
          <value t="str">
            <val>全球知名TV控制板電感供應商</val>
          </value>
        </values>
      </ddeItem>
      <ddeItem name="6432.TW-CName,InvestorConferenceDate,DateofMeetingofShareHolders,TradingDate" advise="1">
        <values cols="4">
          <value t="str">
            <val>今展科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6432.TW-ID,Name,MarketValue,Capital,NetIncomeGrowthRate,OperIncomeGrowthRate,FinancialStatementsTime,TFXRatio,MonthlyNetSalesYoY,RevenueMonth" advise="1">
        <values cols="10">
          <value t="str">
            <val>6432</val>
          </value>
          <value t="str">
            <val>今展科</val>
          </value>
          <value t="str">
            <val>9.9</val>
          </value>
          <value t="str">
            <val>3.06</val>
          </value>
          <value t="str">
            <val>2.40</val>
          </value>
          <value t="str">
            <val>-56.94</val>
          </value>
          <value t="str">
            <val>2022/03</val>
          </value>
          <value t="str">
            <val>-13.77</val>
          </value>
          <value t="str">
            <val>-31.62</val>
          </value>
          <value t="str">
            <val>2022/06</val>
          </value>
        </values>
      </ddeItem>
      <ddeItem name="6432.TW-OperatingProfitRatio,Price,PriceChangeRatio,InOutRatioNumber,Value,YearReturn,MonthReturn,WeekReturn,FinanceBalanceDif,ChipsField2" advise="1">
        <values cols="10">
          <value t="str">
            <val>4.12</val>
          </value>
          <value>
            <val>32.5</val>
          </value>
          <value>
            <val>-1.22</val>
          </value>
          <value t="str">
            <val>25.26%</val>
          </value>
          <value t="str">
            <val>349萬</val>
          </value>
          <value t="str">
            <val>-24.79</val>
          </value>
          <value t="str">
            <val>+19.71</val>
          </value>
          <value t="str">
            <val>0.00</val>
          </value>
          <value>
            <val>1</val>
          </value>
          <value>
            <val>0</val>
          </value>
        </values>
      </ddeItem>
      <ddeItem name="64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2022/07/25</val>
          </value>
          <value t="str">
            <val>7.20</val>
          </value>
          <value>
            <val>6.26</val>
          </value>
          <value t="str">
            <val>16.25</val>
          </value>
          <value t="str">
            <val>5.26</val>
          </value>
          <value t="str">
            <val>大中</val>
          </value>
          <value t="str">
            <val>上櫃半導體</val>
          </value>
          <value t="str">
            <val>茂達旗下功率半導體元件及HV IC設計公司</val>
          </value>
        </values>
      </ddeItem>
      <ddeItem name="6435.TW-CName,InvestorConferenceDate,DateofMeetingofShareHolders,TradingDate" advise="1">
        <values cols="4">
          <value t="str">
            <val>大中</val>
          </value>
          <value t="str">
            <val>2022/05/19</val>
          </value>
          <value t="str">
            <val>2022/06/24</val>
          </value>
          <value t="str">
            <val>2022/08/01</val>
          </value>
        </values>
      </ddeItem>
      <ddeItem name="6435.TW-ID,Name,MarketValue,Capital,NetIncomeGrowthRate,OperIncomeGrowthRate,FinancialStatementsTime,TFXRatio,MonthlyNetSalesYoY,RevenueMonth" advise="1">
        <values cols="10">
          <value t="str">
            <val>6435</val>
          </value>
          <value t="str">
            <val>大中</val>
          </value>
          <value t="str">
            <val>38.4</val>
          </value>
          <value t="str">
            <val>3.34</val>
          </value>
          <value t="str">
            <val>151.73</val>
          </value>
          <value t="str">
            <val>157.20</val>
          </value>
          <value t="str">
            <val>2022/03</val>
          </value>
          <value t="str">
            <val>-24.01</val>
          </value>
          <value t="str">
            <val>16.45</val>
          </value>
          <value t="str">
            <val>2022/06</val>
          </value>
        </values>
      </ddeItem>
      <ddeItem name="6435.TW-OperatingProfitRatio,Price,PriceChangeRatio,InOutRatioNumber,Value,YearReturn,MonthReturn,WeekReturn,FinanceBalanceDif,ChipsField2" advise="1">
        <values cols="10">
          <value t="str">
            <val>20.29</val>
          </value>
          <value>
            <val>115</val>
          </value>
          <value>
            <val>-0.86</val>
          </value>
          <value t="str">
            <val>46.08%</val>
          </value>
          <value t="str">
            <val>4539萬</val>
          </value>
          <value t="str">
            <val>-6.78</val>
          </value>
          <value t="str">
            <val>+3.49</val>
          </value>
          <value t="str">
            <val>-0.86</val>
          </value>
          <value>
            <val>-124</val>
          </value>
          <value>
            <val>0</val>
          </value>
        </values>
      </ddeItem>
      <ddeItem name="64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</val>
          </value>
          <value t="str">
            <val>--</val>
          </value>
          <value t="str">
            <val>0.00</val>
          </value>
          <value>
            <val>0</val>
          </value>
          <value t="str">
            <val>-1.98</val>
          </value>
          <value t="str">
            <val>-0.11</val>
          </value>
          <value t="str">
            <val>廣錠</val>
          </value>
          <value t="str">
            <val>上櫃電腦及週邊設備</val>
          </value>
          <value t="str">
            <val>廣積旗下博奕機台兼儲能設備製造商</val>
          </value>
        </values>
      </ddeItem>
      <ddeItem name="6441.TW-CName,InvestorConferenceDate,DateofMeetingofShareHolders,TradingDate" advise="1">
        <values cols="4">
          <value t="str">
            <val>廣錠</val>
          </value>
          <value t="str">
            <val>--</val>
          </value>
          <value t="str">
            <val>2022/05/24</val>
          </value>
          <value t="str">
            <val>2022/08/01</val>
          </value>
        </values>
      </ddeItem>
      <ddeItem name="6441.TW-ID,Name,MarketValue,Capital,NetIncomeGrowthRate,OperIncomeGrowthRate,FinancialStatementsTime,TFXRatio,MonthlyNetSalesYoY,RevenueMonth" advise="1">
        <values cols="10">
          <value t="str">
            <val>6441</val>
          </value>
          <value t="str">
            <val>廣錠</val>
          </value>
          <value t="str">
            <val>17.6</val>
          </value>
          <value t="str">
            <val>4.33</val>
          </value>
          <value t="str">
            <val>89.50</val>
          </value>
          <value t="str">
            <val>54.85</val>
          </value>
          <value t="str">
            <val>2022/03</val>
          </value>
          <value t="str">
            <val>83.81</val>
          </value>
          <value t="str">
            <val>-77.15</val>
          </value>
          <value t="str">
            <val>2022/06</val>
          </value>
        </values>
      </ddeItem>
      <ddeItem name="6441.TW-OperatingProfitRatio,Price,PriceChangeRatio,InOutRatioNumber,Value,YearReturn,MonthReturn,WeekReturn,FinanceBalanceDif,ChipsField2" advise="1">
        <values cols="10">
          <value t="str">
            <val>-18.64</val>
          </value>
          <value>
            <val>40.700000000000003</val>
          </value>
          <value>
            <val>-0.25</val>
          </value>
          <value t="str">
            <val>71.43%</val>
          </value>
          <value t="str">
            <val>85.4萬</val>
          </value>
          <value t="str">
            <val>-32.37</val>
          </value>
          <value t="str">
            <val>+7.11</val>
          </value>
          <value t="str">
            <val>-2.98</val>
          </value>
          <value>
            <val>1</val>
          </value>
          <value>
            <val>0</val>
          </value>
        </values>
      </ddeItem>
      <ddeItem name="6446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20</val>
          </value>
          <value t="str">
            <val>--</val>
          </value>
          <value t="str">
            <val>0.00</val>
          </value>
          <value>
            <val>0</val>
          </value>
          <value t="str">
            <val>-10.11</val>
          </value>
          <value t="str">
            <val>-1.96</val>
          </value>
          <value t="str">
            <val>藥華藥</val>
          </value>
          <value t="str">
            <val>上櫃生技醫療</val>
          </value>
          <value t="str">
            <val>罕見真性紅血球增生症藥物研發廠商</val>
          </value>
        </values>
      </ddeItem>
      <ddeItem name="6446.TW-CName,InvestorConferenceDate,DateofMeetingofShareHolders,TradingDate" advise="1">
        <values cols="4">
          <value t="str">
            <val>藥華藥</val>
          </value>
          <value t="str">
            <val>2022/05/16</val>
          </value>
          <value t="str">
            <val>2022/05/27</val>
          </value>
          <value t="str">
            <val>2022/08/01</val>
          </value>
        </values>
      </ddeItem>
      <ddeItem name="6446.TW-ID,Name,MarketValue,Capital,NetIncomeGrowthRate,OperIncomeGrowthRate,FinancialStatementsTime,TFXRatio,MonthlyNetSalesYoY,RevenueMonth" advise="1">
        <values cols="10">
          <value t="str">
            <val>6446</val>
          </value>
          <value t="str">
            <val>藥華藥</val>
          </value>
          <value t="str">
            <val>1612.9</val>
          </value>
          <value t="str">
            <val>28.51</val>
          </value>
          <value t="str">
            <val>20.83</val>
          </value>
          <value t="str">
            <val>10.71</val>
          </value>
          <value t="str">
            <val>2022/03</val>
          </value>
          <value t="str">
            <val>-20.43</val>
          </value>
          <value t="str">
            <val>1023.76</val>
          </value>
          <value t="str">
            <val>2022/06</val>
          </value>
        </values>
      </ddeItem>
      <ddeItem name="6446.TW-OperatingProfitRatio,Price,PriceChangeRatio,InOutRatioNumber,Value,YearReturn,MonthReturn,WeekReturn,FinanceBalanceDif,ChipsField2" advise="1">
        <values cols="10">
          <value t="str">
            <val>-221.24</val>
          </value>
          <value>
            <val>566</val>
          </value>
          <value>
            <val>-0.53</val>
          </value>
          <value t="str">
            <val>44.36%</val>
          </value>
          <value t="str">
            <val>9.45億</val>
          </value>
          <value t="str">
            <val>+528.89</val>
          </value>
          <value t="str">
            <val>+13.54</val>
          </value>
          <value t="str">
            <val>+7.81</val>
          </value>
          <value>
            <val>0</val>
          </value>
          <value>
            <val>203</val>
          </value>
        </values>
      </ddeItem>
      <ddeItem name="6457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24</val>
          </value>
          <value t="str">
            <val>2022/08/04</val>
          </value>
          <value t="str">
            <val>10.89</val>
          </value>
          <value>
            <val>12.84</val>
          </value>
          <value t="str">
            <val>12.36</val>
          </value>
          <value t="str">
            <val>2.51</val>
          </value>
          <value t="str">
            <val>紘康</val>
          </value>
          <value t="str">
            <val>上櫃半導體</val>
          </value>
          <value t="str">
            <val>台灣MCU暨電池管理IC設計廠</val>
          </value>
        </values>
      </ddeItem>
      <ddeItem name="6457.TW-CName,InvestorConferenceDate,DateofMeetingofShareHolders,TradingDate" advise="1">
        <values cols="4">
          <value t="str">
            <val>紘康</val>
          </value>
          <value t="str">
            <val>2021/04/08</val>
          </value>
          <value t="str">
            <val>2022/06/24</val>
          </value>
          <value t="str">
            <val>2022/08/01</val>
          </value>
        </values>
      </ddeItem>
      <ddeItem name="6457.TW-ID,Name,MarketValue,Capital,NetIncomeGrowthRate,OperIncomeGrowthRate,FinancialStatementsTime,TFXRatio,MonthlyNetSalesYoY,RevenueMonth" advise="1">
        <values cols="10">
          <value t="str">
            <val>6457</val>
          </value>
          <value t="str">
            <val>紘康</val>
          </value>
          <value t="str">
            <val>27.0</val>
          </value>
          <value t="str">
            <val>3.19</val>
          </value>
          <value t="str">
            <val>-8.96</val>
          </value>
          <value t="str">
            <val>-38.87</val>
          </value>
          <value t="str">
            <val>2022/03</val>
          </value>
          <value t="str">
            <val>-13.04</val>
          </value>
          <value t="str">
            <val>-40.01</val>
          </value>
          <value t="str">
            <val>2022/06</val>
          </value>
        </values>
      </ddeItem>
      <ddeItem name="6457.TW-OperatingProfitRatio,Price,PriceChangeRatio,InOutRatioNumber,Value,YearReturn,MonthReturn,WeekReturn,FinanceBalanceDif,ChipsField2" advise="1">
        <values cols="10">
          <value t="str">
            <val>24.60</val>
          </value>
          <value>
            <val>84.8</val>
          </value>
          <value>
            <val>1.68</val>
          </value>
          <value t="str">
            <val>54.19%</val>
          </value>
          <value t="str">
            <val>1320萬</val>
          </value>
          <value t="str">
            <val>-51.26</val>
          </value>
          <value t="str">
            <val>+11.43</val>
          </value>
          <value t="str">
            <val>0.00</val>
          </value>
          <value>
            <val>2</val>
          </value>
          <value>
            <val>0</val>
          </value>
        </values>
      </ddeItem>
      <ddeItem name="64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215</val>
          </value>
          <value t="str">
            <val>--</val>
          </value>
          <value t="str">
            <val>0.00</val>
          </value>
          <value>
            <val>0</val>
          </value>
          <value t="str">
            <val>-2.90</val>
          </value>
          <value t="str">
            <val>-0.60</val>
          </value>
          <value t="str">
            <val>益得</val>
          </value>
          <value t="str">
            <val>上櫃生技醫療</val>
          </value>
          <value t="str">
            <val>健喬旗下哮喘定量噴霧吸入劑研發廠商</val>
          </value>
        </values>
      </ddeItem>
      <ddeItem name="6461.TW-CName,InvestorConferenceDate,DateofMeetingofShareHolders,TradingDate" advise="1">
        <values cols="4">
          <value t="str">
            <val>益得</val>
          </value>
          <value t="str">
            <val>2021/07/12</val>
          </value>
          <value t="str">
            <val>2022/05/24</val>
          </value>
          <value t="str">
            <val>2022/08/01</val>
          </value>
        </values>
      </ddeItem>
      <ddeItem name="6461.TW-ID,Name,MarketValue,Capital,NetIncomeGrowthRate,OperIncomeGrowthRate,FinancialStatementsTime,TFXRatio,MonthlyNetSalesYoY,RevenueMonth" advise="1">
        <values cols="10">
          <value t="str">
            <val>6461</val>
          </value>
          <value t="str">
            <val>益得</val>
          </value>
          <value t="str">
            <val>38.4</val>
          </value>
          <value t="str">
            <val>11.63</val>
          </value>
          <value t="str">
            <val>-1.94</val>
          </value>
          <value t="str">
            <val>-2.10</val>
          </value>
          <value t="str">
            <val>2022/03</val>
          </value>
          <value t="str">
            <val>-57.60</val>
          </value>
          <value t="str">
            <val>59.66</val>
          </value>
          <value t="str">
            <val>2022/06</val>
          </value>
        </values>
      </ddeItem>
      <ddeItem name="6461.TW-OperatingProfitRatio,Price,PriceChangeRatio,InOutRatioNumber,Value,YearReturn,MonthReturn,WeekReturn,FinanceBalanceDif,ChipsField2" advise="1">
        <values cols="10">
          <value t="str">
            <val>-595.84</val>
          </value>
          <value>
            <val>33</val>
          </value>
          <value>
            <val>-0.75</val>
          </value>
          <value t="str">
            <val>47.89%</val>
          </value>
          <value t="str">
            <val>2.85億</val>
          </value>
          <value t="str">
            <val>+59.81</val>
          </value>
          <value t="str">
            <val>+20.66</val>
          </value>
          <value t="str">
            <val>+2.64</val>
          </value>
          <value>
            <val>-180</val>
          </value>
          <value>
            <val>0</val>
          </value>
        </values>
      </ddeItem>
      <ddeItem name="6462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39</val>
          </value>
          <value t="str">
            <val>2022/07/14</val>
          </value>
          <value t="str">
            <val>10.00</val>
          </value>
          <value>
            <val>12.21</val>
          </value>
          <value t="str">
            <val>-4.10</val>
          </value>
          <value t="str">
            <val>-0.04</val>
          </value>
          <value t="str">
            <val>神盾</val>
          </value>
          <value t="str">
            <val>上櫃半導體</val>
          </value>
          <value t="str">
            <val>台灣指紋辨識晶片龍頭</val>
          </value>
        </values>
      </ddeItem>
      <ddeItem name="6462.TW-CName,InvestorConferenceDate,DateofMeetingofShareHolders,TradingDate" advise="1">
        <values cols="4">
          <value t="str">
            <val>神盾</val>
          </value>
          <value t="str">
            <val>2022/05/13</val>
          </value>
          <value t="str">
            <val>2022/06/22</val>
          </value>
          <value t="str">
            <val>2022/08/01</val>
          </value>
        </values>
      </ddeItem>
      <ddeItem name="6462.TW-ID,Name,MarketValue,Capital,NetIncomeGrowthRate,OperIncomeGrowthRate,FinancialStatementsTime,TFXRatio,MonthlyNetSalesYoY,RevenueMonth" advise="1">
        <values cols="10">
          <value t="str">
            <val>6462</val>
          </value>
          <value t="str">
            <val>神盾</val>
          </value>
          <value t="str">
            <val>56.7</val>
          </value>
          <value t="str">
            <val>6.93</val>
          </value>
          <value t="str">
            <val>-108.68</val>
          </value>
          <value t="str">
            <val>-309.15</val>
          </value>
          <value t="str">
            <val>2022/03</val>
          </value>
          <value t="str">
            <val>-43.13</val>
          </value>
          <value t="str">
            <val>-17.48</val>
          </value>
          <value t="str">
            <val>2022/06</val>
          </value>
        </values>
      </ddeItem>
      <ddeItem name="6462.TW-OperatingProfitRatio,Price,PriceChangeRatio,InOutRatioNumber,Value,YearReturn,MonthReturn,WeekReturn,FinanceBalanceDif,ChipsField2" advise="1">
        <values cols="10">
          <value t="str">
            <val>-5.66</val>
          </value>
          <value>
            <val>81.900000000000006</val>
          </value>
          <value>
            <val>1.24</val>
          </value>
          <value t="str">
            <val>63.22%</val>
          </value>
          <value t="str">
            <val>708萬</val>
          </value>
          <value t="str">
            <val>-38.82</val>
          </value>
          <value t="str">
            <val>+9.05</val>
          </value>
          <value t="str">
            <val>-0.36</val>
          </value>
          <value>
            <val>-2</val>
          </value>
          <value>
            <val>0</val>
          </value>
        </values>
      </ddeItem>
      <ddeItem name="64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20</val>
          </value>
          <value t="str">
            <val>--</val>
          </value>
          <value t="str">
            <val>0.00</val>
          </value>
          <value>
            <val>0</val>
          </value>
          <value t="str">
            <val>-1.71</val>
          </value>
          <value t="str">
            <val>-0.64</val>
          </value>
          <value t="str">
            <val>威潤</val>
          </value>
          <value t="str">
            <val>上櫃通信網路</val>
          </value>
          <value t="str">
            <val>以自有品牌「ATrack」行銷衛星定位監控系統廠商</val>
          </value>
        </values>
      </ddeItem>
      <ddeItem name="6465.TW-CName,InvestorConferenceDate,DateofMeetingofShareHolders,TradingDate" advise="1">
        <values cols="4">
          <value t="str">
            <val>威潤</val>
          </value>
          <value t="str">
            <val>--</val>
          </value>
          <value t="str">
            <val>2022/06/02</val>
          </value>
          <value t="str">
            <val>2022/08/01</val>
          </value>
        </values>
      </ddeItem>
      <ddeItem name="6465.TW-ID,Name,MarketValue,Capital,NetIncomeGrowthRate,OperIncomeGrowthRate,FinancialStatementsTime,TFXRatio,MonthlyNetSalesYoY,RevenueMonth" advise="1">
        <values cols="10">
          <value t="str">
            <val>6465</val>
          </value>
          <value t="str">
            <val>威潤</val>
          </value>
          <value t="str">
            <val>6.1</val>
          </value>
          <value t="str">
            <val>3.23</val>
          </value>
          <value t="str">
            <val>-31.45</val>
          </value>
          <value t="str">
            <val>-44.19</val>
          </value>
          <value t="str">
            <val>2022/03</val>
          </value>
          <value t="str">
            <val>-13.14</val>
          </value>
          <value t="str">
            <val>-41.32</val>
          </value>
          <value t="str">
            <val>2022/06</val>
          </value>
        </values>
      </ddeItem>
      <ddeItem name="6465.TW-OperatingProfitRatio,Price,PriceChangeRatio,InOutRatioNumber,Value,YearReturn,MonthReturn,WeekReturn,FinanceBalanceDif,ChipsField2" advise="1">
        <values cols="10">
          <value t="str">
            <val>-31.56</val>
          </value>
          <value>
            <val>18.8</val>
          </value>
          <value>
            <val>-2.34</val>
          </value>
          <value t="str">
            <val>16.39%</val>
          </value>
          <value t="str">
            <val>127萬</val>
          </value>
          <value t="str">
            <val>-34.58</val>
          </value>
          <value t="str">
            <val>+0.53</val>
          </value>
          <value t="str">
            <val>-0.27</val>
          </value>
          <value>
            <val>-19</val>
          </value>
          <value>
            <val>0</val>
          </value>
        </values>
      </ddeItem>
      <ddeItem name="6469.TW-ChipsField3,ChipsField1,ChipsField25,CashAndStockDividend,CashDividendYieldRate,ProfitFourSeason,ProfitSingle,CName,ExchangeIndustry,CompanyPos" advise="1">
        <values cols="10">
          <value>
            <val>98</val>
          </value>
          <value>
            <val>242</val>
          </value>
          <value t="str">
            <val>2022/06/29</val>
          </value>
          <value t="str">
            <val>5.14</val>
          </value>
          <value>
            <val>1.61</val>
          </value>
          <value t="str">
            <val>6.87</val>
          </value>
          <value t="str">
            <val>1.67</val>
          </value>
          <value t="str">
            <val>大樹</val>
          </value>
          <value t="str">
            <val>上櫃生技醫療</val>
          </value>
          <value t="str">
            <val>醫藥品連鎖通路商，為全台最大婦幼處方藥局</val>
          </value>
        </values>
      </ddeItem>
      <ddeItem name="6469.TW-CName,InvestorConferenceDate,DateofMeetingofShareHolders,TradingDate" advise="1">
        <values cols="4">
          <value t="str">
            <val>大樹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6469.TW-ID,Name,MarketValue,Capital,NetIncomeGrowthRate,OperIncomeGrowthRate,FinancialStatementsTime,TFXRatio,MonthlyNetSalesYoY,RevenueMonth" advise="1">
        <values cols="10">
          <value t="str">
            <val>6469</val>
          </value>
          <value t="str">
            <val>大樹</val>
          </value>
          <value t="str">
            <val>226.2</val>
          </value>
          <value t="str">
            <val>7.09</val>
          </value>
          <value t="str">
            <val>64.12</val>
          </value>
          <value t="str">
            <val>78.15</val>
          </value>
          <value t="str">
            <val>2022/03</val>
          </value>
          <value t="str">
            <val>-18.05</val>
          </value>
          <value t="str">
            <val>28.84</val>
          </value>
          <value t="str">
            <val>2022/06</val>
          </value>
        </values>
      </ddeItem>
      <ddeItem name="6469.TW-OperatingProfitRatio,Price,PriceChangeRatio,InOutRatioNumber,Value,YearReturn,MonthReturn,WeekReturn,FinanceBalanceDif,ChipsField2" advise="1">
        <values cols="10">
          <value t="str">
            <val>4.36</val>
          </value>
          <value>
            <val>319</val>
          </value>
          <value>
            <val>0.63</val>
          </value>
          <value t="str">
            <val>57.47%</val>
          </value>
          <value t="str">
            <val>4.18億</val>
          </value>
          <value t="str">
            <val>+74.61</val>
          </value>
          <value t="str">
            <val>+13.12</val>
          </value>
          <value t="str">
            <val>+1.75</val>
          </value>
          <value>
            <val>-29</val>
          </value>
          <value>
            <val>0</val>
          </value>
        </values>
      </ddeItem>
      <ddeItem name="6470.TW-ChipsField3,ChipsField1,ChipsField25,CashAndStockDividend,CashDividendYieldRate,ProfitFourSeason,ProfitSingle,CName,ExchangeIndustry,CompanyPos" advise="1">
        <values cols="10">
          <value>
            <val>5</val>
          </value>
          <value>
            <val>39</val>
          </value>
          <value t="str">
            <val>2022/06/09</val>
          </value>
          <value t="str">
            <val>2.69</val>
          </value>
          <value>
            <val>3.68</val>
          </value>
          <value t="str">
            <val>3.84</val>
          </value>
          <value t="str">
            <val>1.21</val>
          </value>
          <value t="str">
            <val>宇智</val>
          </value>
          <value t="str">
            <val>上櫃通信網路</val>
          </value>
          <value t="str">
            <val>台灣無線網路設備廠商</val>
          </value>
        </values>
      </ddeItem>
      <ddeItem name="6470.TW-CName,InvestorConferenceDate,DateofMeetingofShareHolders,TradingDate" advise="1">
        <values cols="4">
          <value t="str">
            <val>宇智</val>
          </value>
          <value t="str">
            <val>2021/05/18</val>
          </value>
          <value t="str">
            <val>2022/06/01</val>
          </value>
          <value t="str">
            <val>2022/08/01</val>
          </value>
        </values>
      </ddeItem>
      <ddeItem name="6470.TW-ID,Name,MarketValue,Capital,NetIncomeGrowthRate,OperIncomeGrowthRate,FinancialStatementsTime,TFXRatio,MonthlyNetSalesYoY,RevenueMonth" advise="1">
        <values cols="10">
          <value t="str">
            <val>6470</val>
          </value>
          <value t="str">
            <val>宇智</val>
          </value>
          <value t="str">
            <val>23.9</val>
          </value>
          <value t="str">
            <val>3.27</val>
          </value>
          <value t="str">
            <val>52.74</val>
          </value>
          <value t="str">
            <val>-6.04</val>
          </value>
          <value t="str">
            <val>2022/03</val>
          </value>
          <value t="str">
            <val>-0.29</val>
          </value>
          <value t="str">
            <val>100.38</val>
          </value>
          <value t="str">
            <val>2022/06</val>
          </value>
        </values>
      </ddeItem>
      <ddeItem name="6470.TW-OperatingProfitRatio,Price,PriceChangeRatio,InOutRatioNumber,Value,YearReturn,MonthReturn,WeekReturn,FinanceBalanceDif,ChipsField2" advise="1">
        <values cols="10">
          <value t="str">
            <val>6.40</val>
          </value>
          <value>
            <val>73</val>
          </value>
          <value>
            <val>-1.22</val>
          </value>
          <value t="str">
            <val>34.44%</val>
          </value>
          <value t="str">
            <val>2.06億</val>
          </value>
          <value t="str">
            <val>+61.43</val>
          </value>
          <value t="str">
            <val>+19.48</val>
          </value>
          <value t="str">
            <val>+3.99</val>
          </value>
          <value>
            <val>116</val>
          </value>
          <value>
            <val>0</val>
          </value>
        </values>
      </ddeItem>
      <ddeItem name="6472.TW-ChipsField3,ChipsField1,ChipsField25,CashAndStockDividend,CashDividendYieldRate,ProfitFourSeason,ProfitSingle,CName,ExchangeIndustry,CompanyPos" advise="1">
        <values cols="10">
          <value>
            <val>8</val>
          </value>
          <value>
            <val>-293</val>
          </value>
          <value t="str">
            <val>2022/07/07</val>
          </value>
          <value t="str">
            <val>4.50</val>
          </value>
          <value>
            <val>2.0299999999999998</val>
          </value>
          <value t="str">
            <val>9.19</val>
          </value>
          <value t="str">
            <val>2.62</val>
          </value>
          <value t="str">
            <val>保瑞</val>
          </value>
          <value t="str">
            <val>上櫃生技醫療</val>
          </value>
          <value t="str">
            <val>專注於改良劑型新藥研發公司</val>
          </value>
        </values>
      </ddeItem>
      <ddeItem name="6472.TW-CName,InvestorConferenceDate,DateofMeetingofShareHolders,TradingDate" advise="1">
        <values cols="4">
          <value t="str">
            <val>保瑞</val>
          </value>
          <value t="str">
            <val>2021/05/13</val>
          </value>
          <value t="str">
            <val>2022/08/30</val>
          </value>
          <value t="str">
            <val>2022/08/01</val>
          </value>
        </values>
      </ddeItem>
      <ddeItem name="6472.TW-ID,Name,MarketValue,Capital,NetIncomeGrowthRate,OperIncomeGrowthRate,FinancialStatementsTime,TFXRatio,MonthlyNetSalesYoY,RevenueMonth" advise="1">
        <values cols="10">
          <value t="str">
            <val>6472</val>
          </value>
          <value t="str">
            <val>保瑞</val>
          </value>
          <value t="str">
            <val>152.1</val>
          </value>
          <value t="str">
            <val>6.85</val>
          </value>
          <value t="str">
            <val>-46.42</val>
          </value>
          <value t="str">
            <val>-44.07</val>
          </value>
          <value t="str">
            <val>2022/03</val>
          </value>
          <value t="str">
            <val>-20.11</val>
          </value>
          <value t="str">
            <val>9.45</val>
          </value>
          <value t="str">
            <val>2022/06</val>
          </value>
        </values>
      </ddeItem>
      <ddeItem name="6472.TW-OperatingProfitRatio,Price,PriceChangeRatio,InOutRatioNumber,Value,YearReturn,MonthReturn,WeekReturn,FinanceBalanceDif,ChipsField2" advise="1">
        <values cols="10">
          <value t="str">
            <val>22.52</val>
          </value>
          <value>
            <val>222</val>
          </value>
          <value>
            <val>-5.93</val>
          </value>
          <value t="str">
            <val>31.41%</val>
          </value>
          <value t="str">
            <val>5.01億</val>
          </value>
          <value t="str">
            <val>+2.02</val>
          </value>
          <value t="str">
            <val>-8.08</val>
          </value>
          <value t="str">
            <val>-7.88</val>
          </value>
          <value>
            <val>-7</val>
          </value>
          <value>
            <val>0</val>
          </value>
        </values>
      </ddeItem>
      <ddeItem name="648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1.00</val>
          </value>
          <value>
            <val>2.25</val>
          </value>
          <value t="str">
            <val>1.73</val>
          </value>
          <value t="str">
            <val>0.75</val>
          </value>
          <value t="str">
            <val>弘煜科</val>
          </value>
          <value t="str">
            <val>上櫃文化創意</val>
          </value>
          <value t="str">
            <val>智冠、宇峻轉投資的網頁及手機遊戲廠</val>
          </value>
        </values>
      </ddeItem>
      <ddeItem name="6482.TW-CName,InvestorConferenceDate,DateofMeetingofShareHolders,TradingDate" advise="1">
        <values cols="4">
          <value t="str">
            <val>弘煜科</val>
          </value>
          <value t="str">
            <val>--</val>
          </value>
          <value t="str">
            <val>2022/06/13</val>
          </value>
          <value t="str">
            <val>2022/08/01</val>
          </value>
        </values>
      </ddeItem>
      <ddeItem name="6482.TW-ID,Name,MarketValue,Capital,NetIncomeGrowthRate,OperIncomeGrowthRate,FinancialStatementsTime,TFXRatio,MonthlyNetSalesYoY,RevenueMonth" advise="1">
        <values cols="10">
          <value t="str">
            <val>6482</val>
          </value>
          <value t="str">
            <val>弘煜科</val>
          </value>
          <value t="str">
            <val>7.6</val>
          </value>
          <value t="str">
            <val>1.71</val>
          </value>
          <value t="str">
            <val>103.06</val>
          </value>
          <value t="str">
            <val>47.91</val>
          </value>
          <value t="str">
            <val>2022/03</val>
          </value>
          <value t="str">
            <val>6.55</val>
          </value>
          <value t="str">
            <val>26.02</val>
          </value>
          <value t="str">
            <val>2022/06</val>
          </value>
        </values>
      </ddeItem>
      <ddeItem name="6482.TW-OperatingProfitRatio,Price,PriceChangeRatio,InOutRatioNumber,Value,YearReturn,MonthReturn,WeekReturn,FinanceBalanceDif,ChipsField2" advise="1">
        <values cols="10">
          <value t="str">
            <val>14.49</val>
          </value>
          <value>
            <val>44.5</val>
          </value>
          <value>
            <val>2.2999999999999998</val>
          </value>
          <value t="str">
            <val>85.71%</val>
          </value>
          <value t="str">
            <val>64.0萬</val>
          </value>
          <value t="str">
            <val>-6.32</val>
          </value>
          <value t="str">
            <val>+1.37</val>
          </value>
          <value t="str">
            <val>+5.95</val>
          </value>
          <value>
            <val>0</val>
          </value>
          <value>
            <val>0</val>
          </value>
        </values>
      </ddeItem>
      <ddeItem name="64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--</val>
          </value>
          <value t="str">
            <val>5.00</val>
          </value>
          <value>
            <val>6</val>
          </value>
          <value t="str">
            <val>14.28</val>
          </value>
          <value t="str">
            <val>3.25</val>
          </value>
          <value t="str">
            <val>點序</val>
          </value>
          <value t="str">
            <val>上櫃半導體</val>
          </value>
          <value t="str">
            <val>金士頓轉投資之快閃記憶體控制IC設計廠商</val>
          </value>
        </values>
      </ddeItem>
      <ddeItem name="6485.TW-CName,InvestorConferenceDate,DateofMeetingofShareHolders,TradingDate" advise="1">
        <values cols="4">
          <value t="str">
            <val>點序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6485.TW-ID,Name,MarketValue,Capital,NetIncomeGrowthRate,OperIncomeGrowthRate,FinancialStatementsTime,TFXRatio,MonthlyNetSalesYoY,RevenueMonth" advise="1">
        <values cols="10">
          <value t="str">
            <val>6485</val>
          </value>
          <value t="str">
            <val>點序</val>
          </value>
          <value t="str">
            <val>36.6</val>
          </value>
          <value t="str">
            <val>4.42</val>
          </value>
          <value t="str">
            <val>194.69</val>
          </value>
          <value t="str">
            <val>170.93</val>
          </value>
          <value t="str">
            <val>2022/03</val>
          </value>
          <value t="str">
            <val>-3.86</val>
          </value>
          <value t="str">
            <val>-4.68</val>
          </value>
          <value t="str">
            <val>2022/06</val>
          </value>
        </values>
      </ddeItem>
      <ddeItem name="6485.TW-OperatingProfitRatio,Price,PriceChangeRatio,InOutRatioNumber,Value,YearReturn,MonthReturn,WeekReturn,FinanceBalanceDif,ChipsField2" advise="1">
        <values cols="10">
          <value t="str">
            <val>32.71</val>
          </value>
          <value>
            <val>83.3</val>
          </value>
          <value>
            <val>-1.3</val>
          </value>
          <value t="str">
            <val>28.83%</val>
          </value>
          <value t="str">
            <val>1376萬</val>
          </value>
          <value t="str">
            <val>-48.72</val>
          </value>
          <value t="str">
            <val>+8.32</val>
          </value>
          <value t="str">
            <val>-4.69</val>
          </value>
          <value>
            <val>-42</val>
          </value>
          <value>
            <val>0</val>
          </value>
        </values>
      </ddeItem>
      <ddeItem name="648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2022/06/28</val>
          </value>
          <value t="str">
            <val>6.37</val>
          </value>
          <value>
            <val>9.94</val>
          </value>
          <value t="str">
            <val>6.46</val>
          </value>
          <value t="str">
            <val>1.32</val>
          </value>
          <value t="str">
            <val>互動</val>
          </value>
          <value t="str">
            <val>上櫃通信網路</val>
          </value>
          <value t="str">
            <val>仲琦旗下電信寬頻網路系統整合規劃廠商</val>
          </value>
        </values>
      </ddeItem>
      <ddeItem name="6486.TW-CName,InvestorConferenceDate,DateofMeetingofShareHolders,TradingDate" advise="1">
        <values cols="4">
          <value t="str">
            <val>互動</val>
          </value>
          <value t="str">
            <val>2022/03/09</val>
          </value>
          <value t="str">
            <val>2022/05/30</val>
          </value>
          <value t="str">
            <val>2022/08/01</val>
          </value>
        </values>
      </ddeItem>
      <ddeItem name="6486.TW-ID,Name,MarketValue,Capital,NetIncomeGrowthRate,OperIncomeGrowthRate,FinancialStatementsTime,TFXRatio,MonthlyNetSalesYoY,RevenueMonth" advise="1">
        <values cols="10">
          <value t="str">
            <val>6486</val>
          </value>
          <value t="str">
            <val>互動</val>
          </value>
          <value t="str">
            <val>25.4</val>
          </value>
          <value t="str">
            <val>3.96</val>
          </value>
          <value t="str">
            <val>-11.48</val>
          </value>
          <value t="str">
            <val>3.79</val>
          </value>
          <value t="str">
            <val>2022/06</val>
          </value>
          <value t="str">
            <val>83.03</val>
          </value>
          <value t="str">
            <val>34.35</val>
          </value>
          <value t="str">
            <val>2022/06</val>
          </value>
        </values>
      </ddeItem>
      <ddeItem name="6486.TW-OperatingProfitRatio,Price,PriceChangeRatio,InOutRatioNumber,Value,YearReturn,MonthReturn,WeekReturn,FinanceBalanceDif,ChipsField2" advise="1">
        <values cols="10">
          <value t="str">
            <val>13.20</val>
          </value>
          <value>
            <val>64.099999999999994</val>
          </value>
          <value>
            <val>2.0699999999999998</val>
          </value>
          <value t="str">
            <val>40.00%</val>
          </value>
          <value t="str">
            <val>191萬</val>
          </value>
          <value t="str">
            <val>-3.76</val>
          </value>
          <value t="str">
            <val>+8.28</val>
          </value>
          <value t="str">
            <val>+2.40</val>
          </value>
          <value>
            <val>-2</val>
          </value>
          <value>
            <val>0</val>
          </value>
        </values>
      </ddeItem>
      <ddeItem name="6488.TW-ChipsField3,ChipsField1,ChipsField25,CashAndStockDividend,CashDividendYieldRate,ProfitFourSeason,ProfitSingle,CName,ExchangeIndustry,CompanyPos" advise="1">
        <values cols="10">
          <value>
            <val>89</val>
          </value>
          <value>
            <val>-547</val>
          </value>
          <value t="str">
            <val>2022/07/12</val>
          </value>
          <value t="str">
            <val>8.00</val>
          </value>
          <value>
            <val>3.46</val>
          </value>
          <value t="str">
            <val>25.10</val>
          </value>
          <value t="str">
            <val>4.01</val>
          </value>
          <value t="str">
            <val>環球晶</val>
          </value>
          <value t="str">
            <val>上櫃半導體</val>
          </value>
          <value t="str">
            <val>全球第三大、台灣最大的矽晶圓廠商，從中美晶分割成立</val>
          </value>
        </values>
      </ddeItem>
      <ddeItem name="6488.TW-CName,InvestorConferenceDate,DateofMeetingofShareHolders,TradingDate" advise="1">
        <values cols="4">
          <value t="str">
            <val>環球晶</val>
          </value>
          <value t="str">
            <val>2022/08/02</val>
          </value>
          <value t="str">
            <val>2022/06/21</val>
          </value>
          <value t="str">
            <val>2022/08/01</val>
          </value>
        </values>
      </ddeItem>
      <ddeItem name="6488.TW-ID,Name,MarketValue,Capital,NetIncomeGrowthRate,OperIncomeGrowthRate,FinancialStatementsTime,TFXRatio,MonthlyNetSalesYoY,RevenueMonth" advise="1">
        <values cols="10">
          <value t="str">
            <val>6488</val>
          </value>
          <value t="str">
            <val>環球晶</val>
          </value>
          <value t="str">
            <val>2022.3</val>
          </value>
          <value t="str">
            <val>43.73</val>
          </value>
          <value t="str">
            <val>-35.11</val>
          </value>
          <value t="str">
            <val>49.08</val>
          </value>
          <value t="str">
            <val>2022/03</val>
          </value>
          <value t="str">
            <val>3.26</val>
          </value>
          <value t="str">
            <val>15.40</val>
          </value>
          <value t="str">
            <val>2022/06</val>
          </value>
        </values>
      </ddeItem>
      <ddeItem name="6488.TW-OperatingProfitRatio,Price,PriceChangeRatio,InOutRatioNumber,Value,YearReturn,MonthReturn,WeekReturn,FinanceBalanceDif,ChipsField2" advise="1">
        <values cols="10">
          <value t="str">
            <val>36.13</val>
          </value>
          <value>
            <val>462.5</val>
          </value>
          <value>
            <val>1.87</val>
          </value>
          <value t="str">
            <val>48.95%</val>
          </value>
          <value t="str">
            <val>8.06億</val>
          </value>
          <value t="str">
            <val>-43.86</val>
          </value>
          <value t="str">
            <val>+7.94</val>
          </value>
          <value t="str">
            <val>+0.33</val>
          </value>
          <value>
            <val>95</val>
          </value>
          <value>
            <val>1</val>
          </value>
        </values>
      </ddeItem>
      <ddeItem name="64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</val>
          </value>
          <value t="str">
            <val>--</val>
          </value>
          <value t="str">
            <val>0.00</val>
          </value>
          <value>
            <val>0</val>
          </value>
          <value t="str">
            <val>-3.52</val>
          </value>
          <value t="str">
            <val>-0.87</val>
          </value>
          <value t="str">
            <val>生華科</val>
          </value>
          <value t="str">
            <val>上櫃生技醫療</val>
          </value>
          <value t="str">
            <val>抗癌新藥及特殊原料藥研發廠商</val>
          </value>
        </values>
      </ddeItem>
      <ddeItem name="6492.TW-CName,InvestorConferenceDate,DateofMeetingofShareHolders,TradingDate" advise="1">
        <values cols="4">
          <value t="str">
            <val>生華科</val>
          </value>
          <value t="str">
            <val>2021/10/20</val>
          </value>
          <value t="str">
            <val>2022/05/27</val>
          </value>
          <value t="str">
            <val>2022/08/01</val>
          </value>
        </values>
      </ddeItem>
      <ddeItem name="6492.TW-ID,Name,MarketValue,Capital,NetIncomeGrowthRate,OperIncomeGrowthRate,FinancialStatementsTime,TFXRatio,MonthlyNetSalesYoY,RevenueMonth" advise="1">
        <values cols="10">
          <value t="str">
            <val>6492</val>
          </value>
          <value t="str">
            <val>生華科</val>
          </value>
          <value t="str">
            <val>54.7</val>
          </value>
          <value t="str">
            <val>8.97</val>
          </value>
          <value t="str">
            <val>15.02</val>
          </value>
          <value t="str">
            <val>16.47</val>
          </value>
          <value t="str">
            <val>2022/03</val>
          </value>
          <value t="str">
            <val>0.00</val>
          </value>
          <value t="str">
            <val>66.00</val>
          </value>
          <value t="str">
            <val>2022/06</val>
          </value>
        </values>
      </ddeItem>
      <ddeItem name="6492.TW-OperatingProfitRatio,Price,PriceChangeRatio,InOutRatioNumber,Value,YearReturn,MonthReturn,WeekReturn,FinanceBalanceDif,ChipsField2" advise="1">
        <values cols="10">
          <value t="str">
            <val>-31438.40</val>
          </value>
          <value>
            <val>60.9</val>
          </value>
          <value>
            <val>-1.62</val>
          </value>
          <value t="str">
            <val>17.83%</val>
          </value>
          <value t="str">
            <val>1403萬</val>
          </value>
          <value t="str">
            <val>-50.69</val>
          </value>
          <value t="str">
            <val>-4.99</val>
          </value>
          <value t="str">
            <val>-6.60</val>
          </value>
          <value>
            <val>0</val>
          </value>
          <value>
            <val>0</val>
          </value>
        </values>
      </ddeItem>
      <ddeItem name="649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2022/06/17</val>
          </value>
          <value t="str">
            <val>8.00</val>
          </value>
          <value>
            <val>10.08</val>
          </value>
          <value t="str">
            <val>20.48</val>
          </value>
          <value t="str">
            <val>5.15</val>
          </value>
          <value t="str">
            <val>九齊</val>
          </value>
          <value t="str">
            <val>上櫃半導體</val>
          </value>
          <value t="str">
            <val>新唐轉投資的語音控制IC及MCU設計公司</val>
          </value>
        </values>
      </ddeItem>
      <ddeItem name="6494.TW-CName,InvestorConferenceDate,DateofMeetingofShareHolders,TradingDate" advise="1">
        <values cols="4">
          <value t="str">
            <val>九齊</val>
          </value>
          <value t="str">
            <val>2021/03/03</val>
          </value>
          <value t="str">
            <val>2022/05/27</val>
          </value>
          <value t="str">
            <val>2022/08/01</val>
          </value>
        </values>
      </ddeItem>
      <ddeItem name="6494.TW-ID,Name,MarketValue,Capital,NetIncomeGrowthRate,OperIncomeGrowthRate,FinancialStatementsTime,TFXRatio,MonthlyNetSalesYoY,RevenueMonth" advise="1">
        <values cols="10">
          <value t="str">
            <val>6494</val>
          </value>
          <value t="str">
            <val>九齊</val>
          </value>
          <value t="str">
            <val>25.1</val>
          </value>
          <value t="str">
            <val>3.16</val>
          </value>
          <value t="str">
            <val>174.02</val>
          </value>
          <value t="str">
            <val>138.92</val>
          </value>
          <value t="str">
            <val>2022/03</val>
          </value>
          <value t="str">
            <val>-17.10</val>
          </value>
          <value t="str">
            <val>-23.95</val>
          </value>
          <value t="str">
            <val>2022/06</val>
          </value>
        </values>
      </ddeItem>
      <ddeItem name="6494.TW-OperatingProfitRatio,Price,PriceChangeRatio,InOutRatioNumber,Value,YearReturn,MonthReturn,WeekReturn,FinanceBalanceDif,ChipsField2" advise="1">
        <values cols="10">
          <value t="str">
            <val>30.43</val>
          </value>
          <value>
            <val>79.400000000000006</val>
          </value>
          <value>
            <val>0.38</val>
          </value>
          <value t="str">
            <val>58.33%</val>
          </value>
          <value t="str">
            <val>398萬</val>
          </value>
          <value t="str">
            <val>-46.25</val>
          </value>
          <value t="str">
            <val>-1.49</val>
          </value>
          <value t="str">
            <val>-7.57</val>
          </value>
          <value>
            <val>1</val>
          </value>
          <value>
            <val>0</val>
          </value>
        </values>
      </ddeItem>
      <ddeItem name="64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0.00</val>
          </value>
          <value>
            <val>0</val>
          </value>
          <value t="str">
            <val>-0.61</val>
          </value>
          <value t="str">
            <val>-0.22</val>
          </value>
          <value t="str">
            <val>科懋</val>
          </value>
          <value t="str">
            <val>上櫃生技醫療</val>
          </value>
          <value t="str">
            <val>代理藥品及檢驗試劑，並開發解毒劑之公司</val>
          </value>
        </values>
      </ddeItem>
      <ddeItem name="6496.TW-CName,InvestorConferenceDate,DateofMeetingofShareHolders,TradingDate" advise="1">
        <values cols="4">
          <value t="str">
            <val>科懋</val>
          </value>
          <value t="str">
            <val>2022/05/13</val>
          </value>
          <value t="str">
            <val>2022/05/30</val>
          </value>
          <value t="str">
            <val>2022/08/01</val>
          </value>
        </values>
      </ddeItem>
      <ddeItem name="6496.TW-ID,Name,MarketValue,Capital,NetIncomeGrowthRate,OperIncomeGrowthRate,FinancialStatementsTime,TFXRatio,MonthlyNetSalesYoY,RevenueMonth" advise="1">
        <values cols="10">
          <value t="str">
            <val>6496</val>
          </value>
          <value t="str">
            <val>科懋</val>
          </value>
          <value t="str">
            <val>12.7</val>
          </value>
          <value t="str">
            <val>4.67</val>
          </value>
          <value t="str">
            <val>-493.85</val>
          </value>
          <value t="str">
            <val>-342.97</val>
          </value>
          <value t="str">
            <val>2022/03</val>
          </value>
          <value t="str">
            <val>0.45</val>
          </value>
          <value t="str">
            <val>-45.44</val>
          </value>
          <value t="str">
            <val>2022/06</val>
          </value>
        </values>
      </ddeItem>
      <ddeItem name="6496.TW-OperatingProfitRatio,Price,PriceChangeRatio,InOutRatioNumber,Value,YearReturn,MonthReturn,WeekReturn,FinanceBalanceDif,ChipsField2" advise="1">
        <values cols="10">
          <value t="str">
            <val>-5.92</val>
          </value>
          <value>
            <val>27.2</val>
          </value>
          <value>
            <val>0.74</val>
          </value>
          <value t="str">
            <val>45.45%</val>
          </value>
          <value t="str">
            <val>59.4萬</val>
          </value>
          <value t="str">
            <val>-3.20</val>
          </value>
          <value t="str">
            <val>-1.27</val>
          </value>
          <value t="str">
            <val>+0.18</val>
          </value>
          <value>
            <val>2</val>
          </value>
          <value>
            <val>0</val>
          </value>
        </values>
      </ddeItem>
      <ddeItem name="6499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-11</val>
          </value>
          <value t="str">
            <val>--</val>
          </value>
          <value t="str">
            <val>3.00</val>
          </value>
          <value>
            <val>4.46</val>
          </value>
          <value t="str">
            <val>31.15</val>
          </value>
          <value t="str">
            <val>0.92</val>
          </value>
          <value t="str">
            <val>益安</val>
          </value>
          <value t="str">
            <val>上櫃生技醫療</val>
          </value>
          <value t="str">
            <val>內視鏡、心導管及手術用侵入性設備研發廠商</val>
          </value>
        </values>
      </ddeItem>
      <ddeItem name="6499.TW-CName,InvestorConferenceDate,DateofMeetingofShareHolders,TradingDate" advise="1">
        <values cols="4">
          <value t="str">
            <val>益安</val>
          </value>
          <value t="str">
            <val>--</val>
          </value>
          <value t="str">
            <val>2022/06/20</val>
          </value>
          <value t="str">
            <val>2022/08/01</val>
          </value>
        </values>
      </ddeItem>
      <ddeItem name="6499.TW-ID,Name,MarketValue,Capital,NetIncomeGrowthRate,OperIncomeGrowthRate,FinancialStatementsTime,TFXRatio,MonthlyNetSalesYoY,RevenueMonth" advise="1">
        <values cols="10">
          <value t="str">
            <val>6499</val>
          </value>
          <value t="str">
            <val>益安</val>
          </value>
          <value t="str">
            <val>49.3</val>
          </value>
          <value t="str">
            <val>7.32</val>
          </value>
          <value t="str">
            <val>172.83</val>
          </value>
          <value t="str">
            <val>169.74</val>
          </value>
          <value t="str">
            <val>2022/03</val>
          </value>
          <value t="str">
            <val>-16.06</val>
          </value>
          <value t="str">
            <val>250.74</val>
          </value>
          <value t="str">
            <val>2022/06</val>
          </value>
        </values>
      </ddeItem>
      <ddeItem name="6499.TW-OperatingProfitRatio,Price,PriceChangeRatio,InOutRatioNumber,Value,YearReturn,MonthReturn,WeekReturn,FinanceBalanceDif,ChipsField2" advise="1">
        <values cols="10">
          <value t="str">
            <val>21.43</val>
          </value>
          <value>
            <val>67.3</val>
          </value>
          <value>
            <val>0.75</val>
          </value>
          <value t="str">
            <val>44.23%</val>
          </value>
          <value t="str">
            <val>371萬</val>
          </value>
          <value t="str">
            <val>+21.56</val>
          </value>
          <value t="str">
            <val>+0.15</val>
          </value>
          <value t="str">
            <val>-1.61</val>
          </value>
          <value>
            <val>6</val>
          </value>
          <value>
            <val>0</val>
          </value>
        </values>
      </ddeItem>
      <ddeItem name="65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2022/06/30</val>
          </value>
          <value t="str">
            <val>2.00</val>
          </value>
          <value>
            <val>10.84</val>
          </value>
          <value t="str">
            <val>2.90</val>
          </value>
          <value t="str">
            <val>2.54</val>
          </value>
          <value t="str">
            <val>雙邦</val>
          </value>
          <value t="str">
            <val>上櫃紡織纖維</val>
          </value>
          <value t="str">
            <val>塗佈貼合加工及特用化學原料供應商</val>
          </value>
        </values>
      </ddeItem>
      <ddeItem name="6506.TW-CName,InvestorConferenceDate,DateofMeetingofShareHolders,TradingDate" advise="1">
        <values cols="4">
          <value t="str">
            <val>雙邦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6506.TW-ID,Name,MarketValue,Capital,NetIncomeGrowthRate,OperIncomeGrowthRate,FinancialStatementsTime,TFXRatio,MonthlyNetSalesYoY,RevenueMonth" advise="1">
        <values cols="10">
          <value t="str">
            <val>6506</val>
          </value>
          <value t="str">
            <val>雙邦</val>
          </value>
          <value t="str">
            <val>15.2</val>
          </value>
          <value t="str">
            <val>8.24</val>
          </value>
          <value t="str">
            <val>412.17</val>
          </value>
          <value t="str">
            <val>-27.33</val>
          </value>
          <value t="str">
            <val>2022/03</val>
          </value>
          <value t="str">
            <val>-26.13</val>
          </value>
          <value t="str">
            <val>-2.28</val>
          </value>
          <value t="str">
            <val>2022/06</val>
          </value>
        </values>
      </ddeItem>
      <ddeItem name="6506.TW-OperatingProfitRatio,Price,PriceChangeRatio,InOutRatioNumber,Value,YearReturn,MonthReturn,WeekReturn,FinanceBalanceDif,ChipsField2" advise="1">
        <values cols="10">
          <value t="str">
            <val>4.37</val>
          </value>
          <value>
            <val>18.45</val>
          </value>
          <value>
            <val>1.37</val>
          </value>
          <value t="str">
            <val>66.67%</val>
          </value>
          <value t="str">
            <val>89.9萬</val>
          </value>
          <value t="str">
            <val>+22.36</val>
          </value>
          <value t="str">
            <val>+1.65</val>
          </value>
          <value t="str">
            <val>+2.50</val>
          </value>
          <value>
            <val>5</val>
          </value>
          <value>
            <val>0</val>
          </value>
        </values>
      </ddeItem>
      <ddeItem name="6508.TW-ChipsField3,ChipsField1,ChipsField25,CashAndStockDividend,CashDividendYieldRate,ProfitFourSeason,ProfitSingle,CName,ExchangeIndustry,CompanyPos" advise="1">
        <values cols="10">
          <value>
            <val>32</val>
          </value>
          <value>
            <val>589</val>
          </value>
          <value t="str">
            <val>--</val>
          </value>
          <value t="str">
            <val>3.00</val>
          </value>
          <value>
            <val>6.94</val>
          </value>
          <value t="str">
            <val>4.24</val>
          </value>
          <value t="str">
            <val>1.06</val>
          </value>
          <value t="str">
            <val>惠光</val>
          </value>
          <value t="str">
            <val>上櫃農業科技業</val>
          </value>
          <value t="str">
            <val>台灣第二大農藥及全球第三大地工膜廠商</val>
          </value>
        </values>
      </ddeItem>
      <ddeItem name="6508.TW-CName,InvestorConferenceDate,DateofMeetingofShareHolders,TradingDate" advise="1">
        <values cols="4">
          <value t="str">
            <val>惠光</val>
          </value>
          <value t="str">
            <val>2022/05/12</val>
          </value>
          <value t="str">
            <val>2022/06/22</val>
          </value>
          <value t="str">
            <val>2022/08/01</val>
          </value>
        </values>
      </ddeItem>
      <ddeItem name="6508.TW-ID,Name,MarketValue,Capital,NetIncomeGrowthRate,OperIncomeGrowthRate,FinancialStatementsTime,TFXRatio,MonthlyNetSalesYoY,RevenueMonth" advise="1">
        <values cols="10">
          <value t="str">
            <val>6508</val>
          </value>
          <value t="str">
            <val>惠光</val>
          </value>
          <value t="str">
            <val>37.1</val>
          </value>
          <value t="str">
            <val>8.57</val>
          </value>
          <value t="str">
            <val>59.58</val>
          </value>
          <value t="str">
            <val>1.64</val>
          </value>
          <value t="str">
            <val>2022/03</val>
          </value>
          <value t="str">
            <val>-16.96</val>
          </value>
          <value t="str">
            <val>74.32</val>
          </value>
          <value t="str">
            <val>2022/06</val>
          </value>
        </values>
      </ddeItem>
      <ddeItem name="6508.TW-OperatingProfitRatio,Price,PriceChangeRatio,InOutRatioNumber,Value,YearReturn,MonthReturn,WeekReturn,FinanceBalanceDif,ChipsField2" advise="1">
        <values cols="10">
          <value t="str">
            <val>13.82</val>
          </value>
          <value>
            <val>43.25</val>
          </value>
          <value>
            <val>-0.23</val>
          </value>
          <value t="str">
            <val>34.37%</val>
          </value>
          <value t="str">
            <val>6347萬</val>
          </value>
          <value t="str">
            <val>+50.29</val>
          </value>
          <value t="str">
            <val>+21.83</val>
          </value>
          <value t="str">
            <val>+4.59</val>
          </value>
          <value>
            <val>-170</val>
          </value>
          <value>
            <val>0</val>
          </value>
        </values>
      </ddeItem>
      <ddeItem name="6509.TW-ChipsField3,ChipsField1,ChipsField25,CashAndStockDividend,CashDividendYieldRate,ProfitFourSeason,ProfitSingle,CName,ExchangeIndustry,CompanyPos" advise="1">
        <values cols="10">
          <value>
            <val>5</val>
          </value>
          <value>
            <val>203</val>
          </value>
          <value t="str">
            <val>2022/08/26</val>
          </value>
          <value t="str">
            <val>1.25</val>
          </value>
          <value>
            <val>3.05</val>
          </value>
          <value t="str">
            <val>2.42</val>
          </value>
          <value t="str">
            <val>0.71</val>
          </value>
          <value t="str">
            <val>聚和</val>
          </value>
          <value t="str">
            <val>上櫃化工</val>
          </value>
          <value t="str">
            <val>全球第2大自黏便條紙商、知名造紙化學品廠</val>
          </value>
        </values>
      </ddeItem>
      <ddeItem name="6509.TW-CName,InvestorConferenceDate,DateofMeetingofShareHolders,TradingDate" advise="1">
        <values cols="4">
          <value t="str">
            <val>聚和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6509.TW-ID,Name,MarketValue,Capital,NetIncomeGrowthRate,OperIncomeGrowthRate,FinancialStatementsTime,TFXRatio,MonthlyNetSalesYoY,RevenueMonth" advise="1">
        <values cols="10">
          <value t="str">
            <val>6509</val>
          </value>
          <value t="str">
            <val>聚和</val>
          </value>
          <value t="str">
            <val>71.2</val>
          </value>
          <value t="str">
            <val>17.35</val>
          </value>
          <value t="str">
            <val>-7.42</val>
          </value>
          <value t="str">
            <val>-14.47</val>
          </value>
          <value t="str">
            <val>2022/03</val>
          </value>
          <value t="str">
            <val>20.14</val>
          </value>
          <value t="str">
            <val>24.48</val>
          </value>
          <value t="str">
            <val>2022/06</val>
          </value>
        </values>
      </ddeItem>
      <ddeItem name="6509.TW-OperatingProfitRatio,Price,PriceChangeRatio,InOutRatioNumber,Value,YearReturn,MonthReturn,WeekReturn,FinanceBalanceDif,ChipsField2" advise="1">
        <values cols="10">
          <value t="str">
            <val>11.28</val>
          </value>
          <value>
            <val>41.05</val>
          </value>
          <value>
            <val>-0.24</val>
          </value>
          <value t="str">
            <val>37.64%</val>
          </value>
          <value t="str">
            <val>1832萬</val>
          </value>
          <value t="str">
            <val>-21.24</val>
          </value>
          <value t="str">
            <val>+13.24</val>
          </value>
          <value t="str">
            <val>+0.49</val>
          </value>
          <value>
            <val>-38</val>
          </value>
          <value>
            <val>0</val>
          </value>
        </values>
      </ddeItem>
      <ddeItem name="65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95</val>
          </value>
          <value t="str">
            <val>2022/07/07</val>
          </value>
          <value t="str">
            <val>13.60</val>
          </value>
          <value>
            <val>3.07</val>
          </value>
          <value t="str">
            <val>26.56</val>
          </value>
          <value t="str">
            <val>7.65</val>
          </value>
          <value t="str">
            <val>精測</val>
          </value>
          <value t="str">
            <val>上櫃半導體</val>
          </value>
          <value t="str">
            <val>中華電信旗下晶圓測試介面板廠</val>
          </value>
        </values>
      </ddeItem>
      <ddeItem name="6510.TW-CName,InvestorConferenceDate,DateofMeetingofShareHolders,TradingDate" advise="1">
        <values cols="4">
          <value t="str">
            <val>精測</val>
          </value>
          <value t="str">
            <val>2022/07/28</val>
          </value>
          <value t="str">
            <val>2022/06/08</val>
          </value>
          <value t="str">
            <val>2022/08/01</val>
          </value>
        </values>
      </ddeItem>
      <ddeItem name="6510.TW-ID,Name,MarketValue,Capital,NetIncomeGrowthRate,OperIncomeGrowthRate,FinancialStatementsTime,TFXRatio,MonthlyNetSalesYoY,RevenueMonth" advise="1">
        <values cols="10">
          <value t="str">
            <val>6510</val>
          </value>
          <value t="str">
            <val>精測</val>
          </value>
          <value t="str">
            <val>145.3</val>
          </value>
          <value t="str">
            <val>3.28</val>
          </value>
          <value t="str">
            <val>-5.85</val>
          </value>
          <value t="str">
            <val>-4.87</val>
          </value>
          <value t="str">
            <val>2022/06</val>
          </value>
          <value t="str">
            <val>0.02</val>
          </value>
          <value t="str">
            <val>22.91</val>
          </value>
          <value t="str">
            <val>2022/06</val>
          </value>
        </values>
      </ddeItem>
      <ddeItem name="6510.TW-OperatingProfitRatio,Price,PriceChangeRatio,InOutRatioNumber,Value,YearReturn,MonthReturn,WeekReturn,FinanceBalanceDif,ChipsField2" advise="1">
        <values cols="10">
          <value t="str">
            <val>21.16</val>
          </value>
          <value>
            <val>443</val>
          </value>
          <value>
            <val>-3.06</val>
          </value>
          <value t="str">
            <val>30.58%</val>
          </value>
          <value t="str">
            <val>4.62億</val>
          </value>
          <value t="str">
            <val>-29.81</val>
          </value>
          <value t="str">
            <val>+17.53</val>
          </value>
          <value t="str">
            <val>+10.06</val>
          </value>
          <value>
            <val>-41</val>
          </value>
          <value>
            <val>0</val>
          </value>
        </values>
      </ddeItem>
      <ddeItem name="65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-0.98</val>
          </value>
          <value t="str">
            <val>0.25</val>
          </value>
          <value t="str">
            <val>啟發電</val>
          </value>
          <value t="str">
            <val>上櫃其他電子</val>
          </value>
          <value t="str">
            <val>專業影音訊號延長器、分配器及處理器廠商</val>
          </value>
        </values>
      </ddeItem>
      <ddeItem name="6512.TW-CName,InvestorConferenceDate,DateofMeetingofShareHolders,TradingDate" advise="1">
        <values cols="4">
          <value t="str">
            <val>啟發電</val>
          </value>
          <value t="str">
            <val>2021/11/19</val>
          </value>
          <value t="str">
            <val>2022/06/24</val>
          </value>
          <value t="str">
            <val>2022/08/01</val>
          </value>
        </values>
      </ddeItem>
      <ddeItem name="6512.TW-ID,Name,MarketValue,Capital,NetIncomeGrowthRate,OperIncomeGrowthRate,FinancialStatementsTime,TFXRatio,MonthlyNetSalesYoY,RevenueMonth" advise="1">
        <values cols="10">
          <value t="str">
            <val>6512</val>
          </value>
          <value t="str">
            <val>啟發電</val>
          </value>
          <value t="str">
            <val>4.9</val>
          </value>
          <value t="str">
            <val>2.50</val>
          </value>
          <value t="str">
            <val>189.32</val>
          </value>
          <value t="str">
            <val>84.70</val>
          </value>
          <value t="str">
            <val>2022/03</val>
          </value>
          <value t="str">
            <val>60.07</val>
          </value>
          <value t="str">
            <val>80.15</val>
          </value>
          <value t="str">
            <val>2022/06</val>
          </value>
        </values>
      </ddeItem>
      <ddeItem name="6512.TW-OperatingProfitRatio,Price,PriceChangeRatio,InOutRatioNumber,Value,YearReturn,MonthReturn,WeekReturn,FinanceBalanceDif,ChipsField2" advise="1">
        <values cols="10">
          <value t="str">
            <val>-1.38</val>
          </value>
          <value>
            <val>19.600000000000001</val>
          </value>
          <value>
            <val>0.51</val>
          </value>
          <value t="str">
            <val>23.33%</val>
          </value>
          <value t="str">
            <val>58.4萬</val>
          </value>
          <value t="str">
            <val>+13.95</val>
          </value>
          <value t="str">
            <val>+11.05</val>
          </value>
          <value t="str">
            <val>+2.62</val>
          </value>
          <value>
            <val>0</val>
          </value>
          <value>
            <val>0</val>
          </value>
        </values>
      </ddeItem>
      <ddeItem name="65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</val>
          </value>
          <value t="str">
            <val>2022/07/01</val>
          </value>
          <value t="str">
            <val>3.20</val>
          </value>
          <value>
            <val>5.01</val>
          </value>
          <value t="str">
            <val>3.26</val>
          </value>
          <value t="str">
            <val>0.75</val>
          </value>
          <value t="str">
            <val>芮特-KY</val>
          </value>
          <value t="str">
            <val>上櫃通信網路</val>
          </value>
          <value t="str">
            <val>昇達科旗下利基型天線公司</val>
          </value>
        </values>
      </ddeItem>
      <ddeItem name="6514.TW-CName,InvestorConferenceDate,DateofMeetingofShareHolders,TradingDate" advise="1">
        <values cols="4">
          <value t="str">
            <val>芮特-KY</val>
          </value>
          <value t="str">
            <val>2021/01/20</val>
          </value>
          <value t="str">
            <val>2022/06/14</val>
          </value>
          <value t="str">
            <val>2022/08/01</val>
          </value>
        </values>
      </ddeItem>
      <ddeItem name="6514.TW-ID,Name,MarketValue,Capital,NetIncomeGrowthRate,OperIncomeGrowthRate,FinancialStatementsTime,TFXRatio,MonthlyNetSalesYoY,RevenueMonth" advise="1">
        <values cols="10">
          <value t="str">
            <val>6514</val>
          </value>
          <value t="str">
            <val>芮特-KY</val>
          </value>
          <value t="str">
            <val>19.2</val>
          </value>
          <value t="str">
            <val>3.00</val>
          </value>
          <value t="str">
            <val>27.12</val>
          </value>
          <value t="str">
            <val>47.55</val>
          </value>
          <value t="str">
            <val>2022/03</val>
          </value>
          <value t="str">
            <val>9.88</val>
          </value>
          <value t="str">
            <val>45.18</val>
          </value>
          <value t="str">
            <val>2022/06</val>
          </value>
        </values>
      </ddeItem>
      <ddeItem name="6514.TW-OperatingProfitRatio,Price,PriceChangeRatio,InOutRatioNumber,Value,YearReturn,MonthReturn,WeekReturn,FinanceBalanceDif,ChipsField2" advise="1">
        <values cols="10">
          <value t="str">
            <val>15.01</val>
          </value>
          <value>
            <val>63.9</val>
          </value>
          <value>
            <val>2.73</val>
          </value>
          <value t="str">
            <val>47.30%</val>
          </value>
          <value t="str">
            <val>2536萬</val>
          </value>
          <value t="str">
            <val>+54.41</val>
          </value>
          <value t="str">
            <val>+12.50</val>
          </value>
          <value t="str">
            <val>+3.57</val>
          </value>
          <value>
            <val>-7</val>
          </value>
          <value>
            <val>0</val>
          </value>
        </values>
      </ddeItem>
      <ddeItem name="65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2022/07/05</val>
          </value>
          <value t="str">
            <val>1.88</val>
          </value>
          <value>
            <val>2.59</val>
          </value>
          <value t="str">
            <val>1.23</val>
          </value>
          <value t="str">
            <val>0.47</val>
          </value>
          <value t="str">
            <val>勤崴國際</val>
          </value>
          <value t="str">
            <val>上櫃資訊服務</val>
          </value>
          <value t="str">
            <val>中華電旗下台灣最大圖資公司</val>
          </value>
        </values>
      </ddeItem>
      <ddeItem name="6516.TW-CName,InvestorConferenceDate,DateofMeetingofShareHolders,TradingDate" advise="1">
        <values cols="4">
          <value t="str">
            <val>勤崴國際</val>
          </value>
          <value t="str">
            <val>2021/08/13</val>
          </value>
          <value t="str">
            <val>2022/05/26</val>
          </value>
          <value t="str">
            <val>2022/08/01</val>
          </value>
        </values>
      </ddeItem>
      <ddeItem name="6516.TW-ID,Name,MarketValue,Capital,NetIncomeGrowthRate,OperIncomeGrowthRate,FinancialStatementsTime,TFXRatio,MonthlyNetSalesYoY,RevenueMonth" advise="1">
        <values cols="10">
          <value t="str">
            <val>6516</val>
          </value>
          <value t="str">
            <val>勤崴國際</val>
          </value>
          <value t="str">
            <val>33.8</val>
          </value>
          <value t="str">
            <val>4.66</val>
          </value>
          <value t="str">
            <val>23.94</val>
          </value>
          <value t="str">
            <val>3.18</val>
          </value>
          <value t="str">
            <val>2022/06</val>
          </value>
          <value t="str">
            <val>-4.15</val>
          </value>
          <value t="str">
            <val>-32.22</val>
          </value>
          <value t="str">
            <val>2022/06</val>
          </value>
        </values>
      </ddeItem>
      <ddeItem name="6516.TW-OperatingProfitRatio,Price,PriceChangeRatio,InOutRatioNumber,Value,YearReturn,MonthReturn,WeekReturn,FinanceBalanceDif,ChipsField2" advise="1">
        <values cols="10">
          <value t="str">
            <val>16.34</val>
          </value>
          <value>
            <val>72.599999999999994</val>
          </value>
          <value>
            <val>0.55000000000000004</val>
          </value>
          <value t="str">
            <val>52.63%</val>
          </value>
          <value t="str">
            <val>138萬</val>
          </value>
          <value t="str">
            <val>-27.12</val>
          </value>
          <value t="str">
            <val>-0.06</val>
          </value>
          <value t="str">
            <val>+0.83</val>
          </value>
          <value>
            <val>0</val>
          </value>
          <value>
            <val>0</val>
          </value>
        </values>
      </ddeItem>
      <ddeItem name="6523.TW-ChipsField3,ChipsField1,ChipsField25,CashAndStockDividend,CashDividendYieldRate,ProfitFourSeason,ProfitSingle,CName,ExchangeIndustry,CompanyPos" advise="1">
        <values cols="10">
          <value>
            <val>3</val>
          </value>
          <value>
            <val>1</val>
          </value>
          <value t="str">
            <val>2022/06/23</val>
          </value>
          <value t="str">
            <val>2.00</val>
          </value>
          <value>
            <val>18.23</val>
          </value>
          <value t="str">
            <val>7.16</val>
          </value>
          <value t="str">
            <val>2.46</val>
          </value>
          <value t="str">
            <val>達爾膚</val>
          </value>
          <value t="str">
            <val>上櫃生技醫療</val>
          </value>
          <value t="str">
            <val>台灣第一大醫美品牌DR.WU</val>
          </value>
        </values>
      </ddeItem>
      <ddeItem name="6523.TW-CName,InvestorConferenceDate,DateofMeetingofShareHolders,TradingDate" advise="1">
        <values cols="4">
          <value t="str">
            <val>達爾膚</val>
          </value>
          <value t="str">
            <val>2021/11/17</val>
          </value>
          <value t="str">
            <val>2022/06/08</val>
          </value>
          <value t="str">
            <val>2022/08/01</val>
          </value>
        </values>
      </ddeItem>
      <ddeItem name="6523.TW-ID,Name,MarketValue,Capital,NetIncomeGrowthRate,OperIncomeGrowthRate,FinancialStatementsTime,TFXRatio,MonthlyNetSalesYoY,RevenueMonth" advise="1">
        <values cols="10">
          <value t="str">
            <val>6523</val>
          </value>
          <value t="str">
            <val>達爾膚</val>
          </value>
          <value t="str">
            <val>37.6</val>
          </value>
          <value t="str">
            <val>4.50</val>
          </value>
          <value t="str">
            <val>31.07</val>
          </value>
          <value t="str">
            <val>24.50</val>
          </value>
          <value t="str">
            <val>2022/03</val>
          </value>
          <value t="str">
            <val>1.90</val>
          </value>
          <value t="str">
            <val>-14.45</val>
          </value>
          <value t="str">
            <val>2022/06</val>
          </value>
        </values>
      </ddeItem>
      <ddeItem name="6523.TW-OperatingProfitRatio,Price,PriceChangeRatio,InOutRatioNumber,Value,YearReturn,MonthReturn,WeekReturn,FinanceBalanceDif,ChipsField2" advise="1">
        <values cols="10">
          <value t="str">
            <val>44.12</val>
          </value>
          <value>
            <val>83.5</val>
          </value>
          <value>
            <val>1.71</val>
          </value>
          <value t="str">
            <val>56.84%</val>
          </value>
          <value t="str">
            <val>805萬</val>
          </value>
          <value t="str">
            <val>+24.39</val>
          </value>
          <value t="str">
            <val>+2.83</val>
          </value>
          <value t="str">
            <val>-0.36</val>
          </value>
          <value>
            <val>3</val>
          </value>
          <value>
            <val>0</val>
          </value>
        </values>
      </ddeItem>
      <ddeItem name="65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21</val>
          </value>
          <value t="str">
            <val>2022/07/01</val>
          </value>
          <value t="str">
            <val>1.94</val>
          </value>
          <value>
            <val>2.63</val>
          </value>
          <value t="str">
            <val>3.36</val>
          </value>
          <value t="str">
            <val>0.92</val>
          </value>
          <value t="str">
            <val>明達醫</val>
          </value>
          <value t="str">
            <val>上櫃生技醫療</val>
          </value>
          <value t="str">
            <val>眼科診斷型儀器研發及組裝廠商</val>
          </value>
        </values>
      </ddeItem>
      <ddeItem name="6527.TW-CName,InvestorConferenceDate,DateofMeetingofShareHolders,TradingDate" advise="1">
        <values cols="4">
          <value t="str">
            <val>明達醫</val>
          </value>
          <value t="str">
            <val>2021/11/24</val>
          </value>
          <value t="str">
            <val>2022/05/26</val>
          </value>
          <value t="str">
            <val>2022/08/01</val>
          </value>
        </values>
      </ddeItem>
      <ddeItem name="6527.TW-ID,Name,MarketValue,Capital,NetIncomeGrowthRate,OperIncomeGrowthRate,FinancialStatementsTime,TFXRatio,MonthlyNetSalesYoY,RevenueMonth" advise="1">
        <values cols="10">
          <value t="str">
            <val>6527</val>
          </value>
          <value t="str">
            <val>明達醫</val>
          </value>
          <value t="str">
            <val>17.9</val>
          </value>
          <value t="str">
            <val>2.43</val>
          </value>
          <value t="str">
            <val>15.38</val>
          </value>
          <value t="str">
            <val>-15.04</val>
          </value>
          <value t="str">
            <val>2022/03</val>
          </value>
          <value t="str">
            <val>38.79</val>
          </value>
          <value t="str">
            <val>63.71</val>
          </value>
          <value t="str">
            <val>2022/06</val>
          </value>
        </values>
      </ddeItem>
      <ddeItem name="6527.TW-OperatingProfitRatio,Price,PriceChangeRatio,InOutRatioNumber,Value,YearReturn,MonthReturn,WeekReturn,FinanceBalanceDif,ChipsField2" advise="1">
        <values cols="10">
          <value t="str">
            <val>12.59</val>
          </value>
          <value>
            <val>73.8</val>
          </value>
          <value>
            <val>9.99</val>
          </value>
          <value t="str">
            <val>64.58%</val>
          </value>
          <value t="str">
            <val>1.84億</val>
          </value>
          <value t="str">
            <val>+59.83</val>
          </value>
          <value t="str">
            <val>+71.43</val>
          </value>
          <value t="str">
            <val>+21.18</val>
          </value>
          <value>
            <val>0</val>
          </value>
          <value>
            <val>0</val>
          </value>
        </values>
      </ddeItem>
      <ddeItem name="65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64</val>
          </value>
          <value t="str">
            <val>2022/06/24</val>
          </value>
          <value t="str">
            <val>1.10</val>
          </value>
          <value>
            <val>4.75</val>
          </value>
          <value t="str">
            <val>1.22</val>
          </value>
          <value t="str">
            <val>0.32</val>
          </value>
          <value t="str">
            <val>創威</val>
          </value>
          <value t="str">
            <val>上櫃通信網路</val>
          </value>
          <value t="str">
            <val>主要生產熱插拔式及固定式光收發模組</val>
          </value>
        </values>
      </ddeItem>
      <ddeItem name="6530.TW-CName,InvestorConferenceDate,DateofMeetingofShareHolders,TradingDate" advise="1">
        <values cols="4">
          <value t="str">
            <val>創威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6530.TW-ID,Name,MarketValue,Capital,NetIncomeGrowthRate,OperIncomeGrowthRate,FinancialStatementsTime,TFXRatio,MonthlyNetSalesYoY,RevenueMonth" advise="1">
        <values cols="10">
          <value t="str">
            <val>6530</val>
          </value>
          <value t="str">
            <val>創威</val>
          </value>
          <value t="str">
            <val>7.8</val>
          </value>
          <value t="str">
            <val>3.38</val>
          </value>
          <value t="str">
            <val>68.53</val>
          </value>
          <value t="str">
            <val>58.14</val>
          </value>
          <value t="str">
            <val>2022/03</val>
          </value>
          <value t="str">
            <val>35.58</val>
          </value>
          <value t="str">
            <val>9.35</val>
          </value>
          <value t="str">
            <val>2022/06</val>
          </value>
        </values>
      </ddeItem>
      <ddeItem name="6530.TW-OperatingProfitRatio,Price,PriceChangeRatio,InOutRatioNumber,Value,YearReturn,MonthReturn,WeekReturn,FinanceBalanceDif,ChipsField2" advise="1">
        <values cols="10">
          <value t="str">
            <val>18.60</val>
          </value>
          <value>
            <val>23.15</val>
          </value>
          <value>
            <val>3.81</val>
          </value>
          <value t="str">
            <val>44.37%</val>
          </value>
          <value t="str">
            <val>2908萬</val>
          </value>
          <value t="str">
            <val>+28.60</val>
          </value>
          <value t="str">
            <val>+23.47</val>
          </value>
          <value t="str">
            <val>+14.89</val>
          </value>
          <value>
            <val>1</val>
          </value>
          <value>
            <val>0</val>
          </value>
        </values>
      </ddeItem>
      <ddeItem name="65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2022/07/14</val>
          </value>
          <value t="str">
            <val>1.80</val>
          </value>
          <value>
            <val>4</val>
          </value>
          <value t="str">
            <val>3.12</val>
          </value>
          <value t="str">
            <val>1.05</val>
          </value>
          <value t="str">
            <val>瑞耘</val>
          </value>
          <value t="str">
            <val>上櫃半導體</val>
          </value>
          <value t="str">
            <val>半導體前段製程設備及零件供應商</val>
          </value>
        </values>
      </ddeItem>
      <ddeItem name="6532.TW-CName,InvestorConferenceDate,DateofMeetingofShareHolders,TradingDate" advise="1">
        <values cols="4">
          <value t="str">
            <val>瑞耘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6532.TW-ID,Name,MarketValue,Capital,NetIncomeGrowthRate,OperIncomeGrowthRate,FinancialStatementsTime,TFXRatio,MonthlyNetSalesYoY,RevenueMonth" advise="1">
        <values cols="10">
          <value t="str">
            <val>6532</val>
          </value>
          <value t="str">
            <val>瑞耘</val>
          </value>
          <value t="str">
            <val>16.2</val>
          </value>
          <value t="str">
            <val>3.61</val>
          </value>
          <value t="str">
            <val>90.11</val>
          </value>
          <value t="str">
            <val>70.27</val>
          </value>
          <value t="str">
            <val>2022/03</val>
          </value>
          <value t="str">
            <val>15.77</val>
          </value>
          <value t="str">
            <val>60.16</val>
          </value>
          <value t="str">
            <val>2022/06</val>
          </value>
        </values>
      </ddeItem>
      <ddeItem name="6532.TW-OperatingProfitRatio,Price,PriceChangeRatio,InOutRatioNumber,Value,YearReturn,MonthReturn,WeekReturn,FinanceBalanceDif,ChipsField2" advise="1">
        <values cols="10">
          <value t="str">
            <val>32.54</val>
          </value>
          <value>
            <val>45</val>
          </value>
          <value>
            <val>0.33</val>
          </value>
          <value t="str">
            <val>30.77%</val>
          </value>
          <value t="str">
            <val>179萬</val>
          </value>
          <value t="str">
            <val>+14.22</val>
          </value>
          <value t="str">
            <val>+14.50</val>
          </value>
          <value t="str">
            <val>-0.66</val>
          </value>
          <value>
            <val>5</val>
          </value>
          <value>
            <val>0</val>
          </value>
        </values>
      </ddeItem>
      <ddeItem name="65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-39</val>
          </value>
          <value t="str">
            <val>--</val>
          </value>
          <value t="str">
            <val>0.00</val>
          </value>
          <value>
            <val>0</val>
          </value>
          <value t="str">
            <val>-1.02</val>
          </value>
          <value t="str">
            <val>-1.14</val>
          </value>
          <value t="str">
            <val>順藥</val>
          </value>
          <value t="str">
            <val>上櫃生技醫療</val>
          </value>
          <value t="str">
            <val>晟德旗下新藥研發公司</val>
          </value>
        </values>
      </ddeItem>
      <ddeItem name="6535.TW-CName,InvestorConferenceDate,DateofMeetingofShareHolders,TradingDate" advise="1">
        <values cols="4">
          <value t="str">
            <val>順藥</val>
          </value>
          <value t="str">
            <val>2021/08/24</val>
          </value>
          <value t="str">
            <val>2022/05/24</val>
          </value>
          <value t="str">
            <val>2022/08/01</val>
          </value>
        </values>
      </ddeItem>
      <ddeItem name="6535.TW-ID,Name,MarketValue,Capital,NetIncomeGrowthRate,OperIncomeGrowthRate,FinancialStatementsTime,TFXRatio,MonthlyNetSalesYoY,RevenueMonth" advise="1">
        <values cols="10">
          <value t="str">
            <val>6535</val>
          </value>
          <value t="str">
            <val>順藥</val>
          </value>
          <value t="str">
            <val>58.4</val>
          </value>
          <value t="str">
            <val>16.33</val>
          </value>
          <value t="str">
            <val>-373.17</val>
          </value>
          <value t="str">
            <val>29.73</val>
          </value>
          <value t="str">
            <val>2022/03</val>
          </value>
          <value t="str">
            <val>3840.00</val>
          </value>
          <value t="str">
            <val>9.24</val>
          </value>
          <value t="str">
            <val>2022/06</val>
          </value>
        </values>
      </ddeItem>
      <ddeItem name="6535.TW-OperatingProfitRatio,Price,PriceChangeRatio,InOutRatioNumber,Value,YearReturn,MonthReturn,WeekReturn,FinanceBalanceDif,ChipsField2" advise="1">
        <values cols="10">
          <value t="str">
            <val>-2128.09</val>
          </value>
          <value>
            <val>35.799999999999997</val>
          </value>
          <value>
            <val>-0.69</val>
          </value>
          <value t="str">
            <val>21.48%</val>
          </value>
          <value t="str">
            <val>544萬</val>
          </value>
          <value t="str">
            <val>+3.02</val>
          </value>
          <value t="str">
            <val>+2.14</val>
          </value>
          <value t="str">
            <val>+0.28</val>
          </value>
          <value>
            <val>0</val>
          </value>
          <value>
            <val>0</val>
          </value>
        </values>
      </ddeItem>
      <ddeItem name="6538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83</val>
          </value>
          <value t="str">
            <val>2022/08/04</val>
          </value>
          <value t="str">
            <val>2.50</val>
          </value>
          <value>
            <val>3.38</val>
          </value>
          <value t="str">
            <val>3.91</val>
          </value>
          <value t="str">
            <val>1.29</val>
          </value>
          <value t="str">
            <val>倉和</val>
          </value>
          <value t="str">
            <val>上櫃電子零組件</val>
          </value>
          <value t="str">
            <val>國內最大的太陽能精密網版廠</val>
          </value>
        </values>
      </ddeItem>
      <ddeItem name="6538.TW-CName,InvestorConferenceDate,DateofMeetingofShareHolders,TradingDate" advise="1">
        <values cols="4">
          <value t="str">
            <val>倉和</val>
          </value>
          <value t="str">
            <val>2022/04/15</val>
          </value>
          <value t="str">
            <val>2022/06/21</val>
          </value>
          <value t="str">
            <val>2022/08/01</val>
          </value>
        </values>
      </ddeItem>
      <ddeItem name="6538.TW-ID,Name,MarketValue,Capital,NetIncomeGrowthRate,OperIncomeGrowthRate,FinancialStatementsTime,TFXRatio,MonthlyNetSalesYoY,RevenueMonth" advise="1">
        <values cols="10">
          <value t="str">
            <val>6538</val>
          </value>
          <value t="str">
            <val>倉和</val>
          </value>
          <value t="str">
            <val>27.6</val>
          </value>
          <value t="str">
            <val>3.73</val>
          </value>
          <value t="str">
            <val>-14.74</val>
          </value>
          <value t="str">
            <val>-44.60</val>
          </value>
          <value t="str">
            <val>2022/03</val>
          </value>
          <value t="str">
            <val>-3.61</val>
          </value>
          <value t="str">
            <val>13.05</val>
          </value>
          <value t="str">
            <val>2022/06</val>
          </value>
        </values>
      </ddeItem>
      <ddeItem name="6538.TW-OperatingProfitRatio,Price,PriceChangeRatio,InOutRatioNumber,Value,YearReturn,MonthReturn,WeekReturn,FinanceBalanceDif,ChipsField2" advise="1">
        <values cols="10">
          <value t="str">
            <val>11.43</val>
          </value>
          <value>
            <val>74</val>
          </value>
          <value>
            <val>-0.94</val>
          </value>
          <value t="str">
            <val>46.75%</val>
          </value>
          <value t="str">
            <val>578萬</val>
          </value>
          <value t="str">
            <val>-37.20</val>
          </value>
          <value t="str">
            <val>+8.98</val>
          </value>
          <value t="str">
            <val>+0.14</val>
          </value>
          <value>
            <val>-16</val>
          </value>
          <value>
            <val>0</val>
          </value>
        </values>
      </ddeItem>
      <ddeItem name="65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-3.56</val>
          </value>
          <value t="str">
            <val>0.76</val>
          </value>
          <value t="str">
            <val>隆中</val>
          </value>
          <value t="str">
            <val>上櫃文化創意</val>
          </value>
          <value t="str">
            <val>國內手機遊戲代理營運商</val>
          </value>
        </values>
      </ddeItem>
      <ddeItem name="6542.TW-CName,InvestorConferenceDate,DateofMeetingofShareHolders,TradingDate" advise="1">
        <values cols="4">
          <value t="str">
            <val>隆中</val>
          </value>
          <value t="str">
            <val>2021/12/17</val>
          </value>
          <value t="str">
            <val>2022/06/21</val>
          </value>
          <value t="str">
            <val>2022/08/01</val>
          </value>
        </values>
      </ddeItem>
      <ddeItem name="6542.TW-ID,Name,MarketValue,Capital,NetIncomeGrowthRate,OperIncomeGrowthRate,FinancialStatementsTime,TFXRatio,MonthlyNetSalesYoY,RevenueMonth" advise="1">
        <values cols="10">
          <value t="str">
            <val>6542</val>
          </value>
          <value t="str">
            <val>隆中</val>
          </value>
          <value t="str">
            <val>20.8</val>
          </value>
          <value t="str">
            <val>4.20</val>
          </value>
          <value t="str">
            <val>76.35</val>
          </value>
          <value t="str">
            <val>160.79</val>
          </value>
          <value t="str">
            <val>2022/03</val>
          </value>
          <value t="str">
            <val>-1.35</val>
          </value>
          <value t="str">
            <val>-10.08</val>
          </value>
          <value t="str">
            <val>2022/06</val>
          </value>
        </values>
      </ddeItem>
      <ddeItem name="6542.TW-OperatingProfitRatio,Price,PriceChangeRatio,InOutRatioNumber,Value,YearReturn,MonthReturn,WeekReturn,FinanceBalanceDif,ChipsField2" advise="1">
        <values cols="10">
          <value t="str">
            <val>15.13</val>
          </value>
          <value>
            <val>49.55</val>
          </value>
          <value>
            <val>-0.7</val>
          </value>
          <value t="str">
            <val>0.00%</val>
          </value>
          <value t="str">
            <val>9.91萬</val>
          </value>
          <value t="str">
            <val>-31.18</val>
          </value>
          <value t="str">
            <val>-14.42</val>
          </value>
          <value t="str">
            <val>-1.29</val>
          </value>
          <value>
            <val>-1</val>
          </value>
          <value>
            <val>0</val>
          </value>
        </values>
      </ddeItem>
      <ddeItem name="65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199</val>
          </value>
          <value t="str">
            <val>2022/06/27</val>
          </value>
          <value t="str">
            <val>5.46</val>
          </value>
          <value>
            <val>4.42</val>
          </value>
          <value t="str">
            <val>8.10</val>
          </value>
          <value t="str">
            <val>2.42</val>
          </value>
          <value t="str">
            <val>正基</val>
          </value>
          <value t="str">
            <val>上櫃通信網路</val>
          </value>
          <value t="str">
            <val>正文轉投資的無線通訊模組廠</val>
          </value>
        </values>
      </ddeItem>
      <ddeItem name="6546.TW-CName,InvestorConferenceDate,DateofMeetingofShareHolders,TradingDate" advise="1">
        <values cols="4">
          <value t="str">
            <val>正基</val>
          </value>
          <value t="str">
            <val>2022/06/15</val>
          </value>
          <value t="str">
            <val>2022/06/08</val>
          </value>
          <value t="str">
            <val>2022/08/01</val>
          </value>
        </values>
      </ddeItem>
      <ddeItem name="6546.TW-ID,Name,MarketValue,Capital,NetIncomeGrowthRate,OperIncomeGrowthRate,FinancialStatementsTime,TFXRatio,MonthlyNetSalesYoY,RevenueMonth" advise="1">
        <values cols="10">
          <value t="str">
            <val>6546</val>
          </value>
          <value t="str">
            <val>正基</val>
          </value>
          <value t="str">
            <val>81.8</val>
          </value>
          <value t="str">
            <val>6.62</val>
          </value>
          <value t="str">
            <val>120.84</val>
          </value>
          <value t="str">
            <val>92.21</val>
          </value>
          <value t="str">
            <val>2022/03</val>
          </value>
          <value t="str">
            <val>0.89</val>
          </value>
          <value t="str">
            <val>31.59</val>
          </value>
          <value t="str">
            <val>2022/06</val>
          </value>
        </values>
      </ddeItem>
      <ddeItem name="6546.TW-OperatingProfitRatio,Price,PriceChangeRatio,InOutRatioNumber,Value,YearReturn,MonthReturn,WeekReturn,FinanceBalanceDif,ChipsField2" advise="1">
        <values cols="10">
          <value t="str">
            <val>13.28</val>
          </value>
          <value>
            <val>123.5</val>
          </value>
          <value>
            <val>0</val>
          </value>
          <value t="str">
            <val>51.21%</val>
          </value>
          <value t="str">
            <val>9783萬</val>
          </value>
          <value t="str">
            <val>--</val>
          </value>
          <value t="str">
            <val>+17.62</val>
          </value>
          <value t="str">
            <val>-2.37</val>
          </value>
          <value>
            <val>0</val>
          </value>
          <value>
            <val>43</val>
          </value>
        </values>
      </ddeItem>
      <ddeItem name="6547.TW-ChipsField3,ChipsField1,ChipsField25,CashAndStockDividend,CashDividendYieldRate,ProfitFourSeason,ProfitSingle,CName,ExchangeIndustry,CompanyPos" advise="1">
        <values cols="10">
          <value>
            <val>55</val>
          </value>
          <value>
            <val>-23</val>
          </value>
          <value t="str">
            <val>--</val>
          </value>
          <value t="str">
            <val>4.83</val>
          </value>
          <value>
            <val>2.3199999999999998</val>
          </value>
          <value t="str">
            <val>6.72</val>
          </value>
          <value t="str">
            <val>-0.66</val>
          </value>
          <value t="str">
            <val>高端疫苗</val>
          </value>
          <value t="str">
            <val>上櫃生技醫療</val>
          </value>
          <value t="str">
            <val>基亞旗下腸病毒及流感疫苗研發廠</val>
          </value>
        </values>
      </ddeItem>
      <ddeItem name="6547.TW-CName,InvestorConferenceDate,DateofMeetingofShareHolders,TradingDate" advise="1">
        <values cols="4">
          <value t="str">
            <val>高端疫苗</val>
          </value>
          <value t="str">
            <val>--</val>
          </value>
          <value t="str">
            <val>2022/06/30</val>
          </value>
          <value t="str">
            <val>2022/08/01</val>
          </value>
        </values>
      </ddeItem>
      <ddeItem name="6547.TW-ID,Name,MarketValue,Capital,NetIncomeGrowthRate,OperIncomeGrowthRate,FinancialStatementsTime,TFXRatio,MonthlyNetSalesYoY,RevenueMonth" advise="1">
        <values cols="10">
          <value t="str">
            <val>6547</val>
          </value>
          <value t="str">
            <val>高端疫苗</val>
          </value>
          <value t="str">
            <val>459.7</val>
          </value>
          <value t="str">
            <val>22.10</val>
          </value>
          <value t="str">
            <val>10.54</val>
          </value>
          <value t="str">
            <val>46.50</val>
          </value>
          <value t="str">
            <val>2022/03</val>
          </value>
          <value t="str">
            <val>-20.83</val>
          </value>
          <value t="str">
            <val>96.78</val>
          </value>
          <value t="str">
            <val>2022/06</val>
          </value>
        </values>
      </ddeItem>
      <ddeItem name="6547.TW-OperatingProfitRatio,Price,PriceChangeRatio,InOutRatioNumber,Value,YearReturn,MonthReturn,WeekReturn,FinanceBalanceDif,ChipsField2" advise="1">
        <values cols="10">
          <value t="str">
            <val>-46.38</val>
          </value>
          <value>
            <val>208.5</val>
          </value>
          <value>
            <val>1.21</val>
          </value>
          <value t="str">
            <val>55.42%</val>
          </value>
          <value t="str">
            <val>4.45億</val>
          </value>
          <value t="str">
            <val>-24.86</val>
          </value>
          <value t="str">
            <val>+7.75</val>
          </value>
          <value t="str">
            <val>+4.77</val>
          </value>
          <value>
            <val>-73</val>
          </value>
          <value>
            <val>0</val>
          </value>
        </values>
      </ddeItem>
      <ddeItem name="654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-35</val>
          </value>
          <value t="str">
            <val>2022/06/17</val>
          </value>
          <value t="str">
            <val>1.72</val>
          </value>
          <value>
            <val>3.13</val>
          </value>
          <value t="str">
            <val>6.04</val>
          </value>
          <value t="str">
            <val>1.87</val>
          </value>
          <value t="str">
            <val>長科*</val>
          </value>
          <value t="str">
            <val>上櫃半導體</val>
          </value>
          <value t="str">
            <val>長華電材旗下之IC及光電用導線架大廠</val>
          </value>
        </values>
      </ddeItem>
      <ddeItem name="6548.TW-CName,InvestorConferenceDate,DateofMeetingofShareHolders,TradingDate" advise="1">
        <values cols="4">
          <value t="str">
            <val>長科*</val>
          </value>
          <value t="str">
            <val>2022/07/19</val>
          </value>
          <value t="str">
            <val>2022/06/14</val>
          </value>
          <value t="str">
            <val>2022/08/01</val>
          </value>
        </values>
      </ddeItem>
      <ddeItem name="6548.TW-ID,Name,MarketValue,Capital,NetIncomeGrowthRate,OperIncomeGrowthRate,FinancialStatementsTime,TFXRatio,MonthlyNetSalesYoY,RevenueMonth" advise="1">
        <values cols="10">
          <value t="str">
            <val>6548</val>
          </value>
          <value t="str">
            <val>長科*</val>
          </value>
          <value t="str">
            <val>295.1</val>
          </value>
          <value t="str">
            <val>3.84</val>
          </value>
          <value t="str">
            <val>190.82</val>
          </value>
          <value t="str">
            <val>179.34</val>
          </value>
          <value t="str">
            <val>2022/03</val>
          </value>
          <value t="str">
            <val>1.57</val>
          </value>
          <value t="str">
            <val>18.96</val>
          </value>
          <value t="str">
            <val>2022/06</val>
          </value>
        </values>
      </ddeItem>
      <ddeItem name="6548.TW-OperatingProfitRatio,Price,PriceChangeRatio,InOutRatioNumber,Value,YearReturn,MonthReturn,WeekReturn,FinanceBalanceDif,ChipsField2" advise="1">
        <values cols="10">
          <value t="str">
            <val>22.48</val>
          </value>
          <value>
            <val>76.8</val>
          </value>
          <value>
            <val>-0.78</val>
          </value>
          <value t="str">
            <val>37.29%</val>
          </value>
          <value t="str">
            <val>1015萬</val>
          </value>
          <value t="str">
            <val>-22.30</val>
          </value>
          <value t="str">
            <val>+5.93</val>
          </value>
          <value t="str">
            <val>-3.76</val>
          </value>
          <value>
            <val>-61</val>
          </value>
          <value>
            <val>0</val>
          </value>
        </values>
      </ddeItem>
      <ddeItem name="65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2022/07/14</val>
          </value>
          <value t="str">
            <val>3.20</val>
          </value>
          <value>
            <val>5.31</val>
          </value>
          <value t="str">
            <val>5.67</val>
          </value>
          <value t="str">
            <val>1.85</val>
          </value>
          <value t="str">
            <val>勝品</val>
          </value>
          <value t="str">
            <val>上櫃光電</val>
          </value>
          <value t="str">
            <val>由崇越電通分割所設立之專業監控攝影機製造商</val>
          </value>
        </values>
      </ddeItem>
      <ddeItem name="6556.TW-CName,InvestorConferenceDate,DateofMeetingofShareHolders,TradingDate" advise="1">
        <values cols="4">
          <value t="str">
            <val>勝品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6556.TW-ID,Name,MarketValue,Capital,NetIncomeGrowthRate,OperIncomeGrowthRate,FinancialStatementsTime,TFXRatio,MonthlyNetSalesYoY,RevenueMonth" advise="1">
        <values cols="10">
          <value t="str">
            <val>6556</val>
          </value>
          <value t="str">
            <val>勝品</val>
          </value>
          <value t="str">
            <val>17.3</val>
          </value>
          <value t="str">
            <val>2.88</val>
          </value>
          <value t="str">
            <val>190.24</val>
          </value>
          <value t="str">
            <val>144.79</val>
          </value>
          <value t="str">
            <val>2022/03</val>
          </value>
          <value t="str">
            <val>-2.32</val>
          </value>
          <value t="str">
            <val>11.55</val>
          </value>
          <value t="str">
            <val>2022/06</val>
          </value>
        </values>
      </ddeItem>
      <ddeItem name="6556.TW-OperatingProfitRatio,Price,PriceChangeRatio,InOutRatioNumber,Value,YearReturn,MonthReturn,WeekReturn,FinanceBalanceDif,ChipsField2" advise="1">
        <values cols="10">
          <value t="str">
            <val>10.50</val>
          </value>
          <value>
            <val>60.3</val>
          </value>
          <value>
            <val>0</val>
          </value>
          <value t="str">
            <val>100.00%</val>
          </value>
          <value t="str">
            <val>18.1萬</val>
          </value>
          <value t="str">
            <val>+41.58</val>
          </value>
          <value t="str">
            <val>+10.42</val>
          </value>
          <value t="str">
            <val>+0.17</val>
          </value>
          <value>
            <val>0</val>
          </value>
          <value>
            <val>0</val>
          </value>
        </values>
      </ddeItem>
      <ddeItem name="65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2022/07/07</val>
          </value>
          <value t="str">
            <val>7.50</val>
          </value>
          <value>
            <val>21.37</val>
          </value>
          <value t="str">
            <val>8.44</val>
          </value>
          <value t="str">
            <val>1.05</val>
          </value>
          <value t="str">
            <val>欣普羅</val>
          </value>
          <value t="str">
            <val>上櫃光電</val>
          </value>
          <value t="str">
            <val>專業影像處理及軟硬體開發廠商</val>
          </value>
        </values>
      </ddeItem>
      <ddeItem name="6560.TW-CName,InvestorConferenceDate,DateofMeetingofShareHolders,TradingDate" advise="1">
        <values cols="4">
          <value t="str">
            <val>欣普羅</val>
          </value>
          <value t="str">
            <val>--</val>
          </value>
          <value t="str">
            <val>2022/05/24</val>
          </value>
          <value t="str">
            <val>2022/08/01</val>
          </value>
        </values>
      </ddeItem>
      <ddeItem name="6560.TW-ID,Name,MarketValue,Capital,NetIncomeGrowthRate,OperIncomeGrowthRate,FinancialStatementsTime,TFXRatio,MonthlyNetSalesYoY,RevenueMonth" advise="1">
        <values cols="10">
          <value t="str">
            <val>6560</val>
          </value>
          <value t="str">
            <val>欣普羅</val>
          </value>
          <value t="str">
            <val>9.1</val>
          </value>
          <value t="str">
            <val>2.59</val>
          </value>
          <value t="str">
            <val>-53.30</val>
          </value>
          <value t="str">
            <val>-64.85</val>
          </value>
          <value t="str">
            <val>2022/03</val>
          </value>
          <value t="str">
            <val>6.56</val>
          </value>
          <value t="str">
            <val>-78.08</val>
          </value>
          <value t="str">
            <val>2022/06</val>
          </value>
        </values>
      </ddeItem>
      <ddeItem name="6560.TW-OperatingProfitRatio,Price,PriceChangeRatio,InOutRatioNumber,Value,YearReturn,MonthReturn,WeekReturn,FinanceBalanceDif,ChipsField2" advise="1">
        <values cols="10">
          <value t="str">
            <val>12.31</val>
          </value>
          <value>
            <val>35.1</val>
          </value>
          <value>
            <val>0.28999999999999998</val>
          </value>
          <value t="str">
            <val>15.38%</val>
          </value>
          <value t="str">
            <val>230萬</val>
          </value>
          <value t="str">
            <val>-44.80</val>
          </value>
          <value t="str">
            <val>-7.32</val>
          </value>
          <value t="str">
            <val>-0.14</val>
          </value>
          <value>
            <val>0</val>
          </value>
          <value>
            <val>0</val>
          </value>
        </values>
      </ddeItem>
      <ddeItem name="656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-4</val>
          </value>
          <value t="str">
            <val>2022/06/30</val>
          </value>
          <value t="str">
            <val>9.30</val>
          </value>
          <value>
            <val>3.26</val>
          </value>
          <value t="str">
            <val>10.79</val>
          </value>
          <value t="str">
            <val>2.86</val>
          </value>
          <value t="str">
            <val>是方</val>
          </value>
          <value t="str">
            <val>上櫃通信網路</val>
          </value>
          <value t="str">
            <val>中華電信轉投資第二類電信公司</val>
          </value>
        </values>
      </ddeItem>
      <ddeItem name="6561.TW-CName,InvestorConferenceDate,DateofMeetingofShareHolders,TradingDate" advise="1">
        <values cols="4">
          <value t="str">
            <val>是方</val>
          </value>
          <value t="str">
            <val>2022/08/03</val>
          </value>
          <value t="str">
            <val>2022/06/07</val>
          </value>
          <value t="str">
            <val>2022/08/01</val>
          </value>
        </values>
      </ddeItem>
      <ddeItem name="6561.TW-ID,Name,MarketValue,Capital,NetIncomeGrowthRate,OperIncomeGrowthRate,FinancialStatementsTime,TFXRatio,MonthlyNetSalesYoY,RevenueMonth" advise="1">
        <values cols="10">
          <value t="str">
            <val>6561</val>
          </value>
          <value t="str">
            <val>是方</val>
          </value>
          <value t="str">
            <val>201.8</val>
          </value>
          <value t="str">
            <val>7.07</val>
          </value>
          <value t="str">
            <val>22.87</val>
          </value>
          <value t="str">
            <val>20.11</val>
          </value>
          <value t="str">
            <val>2022/06</val>
          </value>
          <value t="str">
            <val>-4.14</val>
          </value>
          <value t="str">
            <val>17.80</val>
          </value>
          <value t="str">
            <val>2022/06</val>
          </value>
        </values>
      </ddeItem>
      <ddeItem name="6561.TW-OperatingProfitRatio,Price,PriceChangeRatio,InOutRatioNumber,Value,YearReturn,MonthReturn,WeekReturn,FinanceBalanceDif,ChipsField2" advise="1">
        <values cols="10">
          <value t="str">
            <val>32.79</val>
          </value>
          <value>
            <val>285.5</val>
          </value>
          <value>
            <val>-4.83</val>
          </value>
          <value t="str">
            <val>7.50%</val>
          </value>
          <value t="str">
            <val>1209萬</val>
          </value>
          <value t="str">
            <val>+1.84</val>
          </value>
          <value t="str">
            <val>+4.58</val>
          </value>
          <value t="str">
            <val>+5.55</val>
          </value>
          <value>
            <val>-7</val>
          </value>
          <value>
            <val>0</val>
          </value>
        </values>
      </ddeItem>
      <ddeItem name="6568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67</val>
          </value>
          <value t="str">
            <val>2022/07/05</val>
          </value>
          <value t="str">
            <val>5.02</val>
          </value>
          <value>
            <val>4.0199999999999996</val>
          </value>
          <value t="str">
            <val>5.22</val>
          </value>
          <value t="str">
            <val>0.67</val>
          </value>
          <value t="str">
            <val>宏觀</val>
          </value>
          <value t="str">
            <val>上櫃半導體</val>
          </value>
          <value t="str">
            <val>全球前三大矽晶調諧器晶片供應商</val>
          </value>
        </values>
      </ddeItem>
      <ddeItem name="6568.TW-CName,InvestorConferenceDate,DateofMeetingofShareHolders,TradingDate" advise="1">
        <values cols="4">
          <value t="str">
            <val>宏觀</val>
          </value>
          <value t="str">
            <val>2022/06/29</val>
          </value>
          <value t="str">
            <val>2022/06/15</val>
          </value>
          <value t="str">
            <val>2022/08/01</val>
          </value>
        </values>
      </ddeItem>
      <ddeItem name="6568.TW-ID,Name,MarketValue,Capital,NetIncomeGrowthRate,OperIncomeGrowthRate,FinancialStatementsTime,TFXRatio,MonthlyNetSalesYoY,RevenueMonth" advise="1">
        <values cols="10">
          <value t="str">
            <val>6568</val>
          </value>
          <value t="str">
            <val>宏觀</val>
          </value>
          <value t="str">
            <val>38.5</val>
          </value>
          <value t="str">
            <val>3.08</val>
          </value>
          <value t="str">
            <val>-48.59</val>
          </value>
          <value t="str">
            <val>-63.40</val>
          </value>
          <value t="str">
            <val>2022/03</val>
          </value>
          <value t="str">
            <val>-31.09</val>
          </value>
          <value t="str">
            <val>-2.12</val>
          </value>
          <value t="str">
            <val>2022/06</val>
          </value>
        </values>
      </ddeItem>
      <ddeItem name="6568.TW-OperatingProfitRatio,Price,PriceChangeRatio,InOutRatioNumber,Value,YearReturn,MonthReturn,WeekReturn,FinanceBalanceDif,ChipsField2" advise="1">
        <values cols="10">
          <value t="str">
            <val>7.89</val>
          </value>
          <value>
            <val>125</val>
          </value>
          <value>
            <val>-0.4</val>
          </value>
          <value t="str">
            <val>52.50%</val>
          </value>
          <value t="str">
            <val>1517萬</val>
          </value>
          <value t="str">
            <val>-22.37</val>
          </value>
          <value t="str">
            <val>+3.35</val>
          </value>
          <value t="str">
            <val>-3.85</val>
          </value>
          <value>
            <val>0</val>
          </value>
          <value>
            <val>0</val>
          </value>
        </values>
      </ddeItem>
      <ddeItem name="656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2022/06/29</val>
          </value>
          <value t="str">
            <val>4.00</val>
          </value>
          <value>
            <val>4.1500000000000004</val>
          </value>
          <value t="str">
            <val>5.14</val>
          </value>
          <value t="str">
            <val>1.39</val>
          </value>
          <value t="str">
            <val>醫揚</val>
          </value>
          <value t="str">
            <val>上櫃生技醫療</val>
          </value>
          <value t="str">
            <val>研揚科技旗下之醫療用工業電腦公司</val>
          </value>
        </values>
      </ddeItem>
      <ddeItem name="6569.TW-CName,InvestorConferenceDate,DateofMeetingofShareHolders,TradingDate" advise="1">
        <values cols="4">
          <value t="str">
            <val>醫揚</val>
          </value>
          <value t="str">
            <val>2021/11/22</val>
          </value>
          <value t="str">
            <val>2022/05/31</val>
          </value>
          <value t="str">
            <val>2022/08/01</val>
          </value>
        </values>
      </ddeItem>
      <ddeItem name="6569.TW-ID,Name,MarketValue,Capital,NetIncomeGrowthRate,OperIncomeGrowthRate,FinancialStatementsTime,TFXRatio,MonthlyNetSalesYoY,RevenueMonth" advise="1">
        <values cols="10">
          <value t="str">
            <val>6569</val>
          </value>
          <value t="str">
            <val>醫揚</val>
          </value>
          <value t="str">
            <val>32.1</val>
          </value>
          <value t="str">
            <val>3.33</val>
          </value>
          <value t="str">
            <val>149.42</val>
          </value>
          <value t="str">
            <val>794.61</val>
          </value>
          <value t="str">
            <val>2022/03</val>
          </value>
          <value t="str">
            <val>13.48</val>
          </value>
          <value t="str">
            <val>25.18</val>
          </value>
          <value t="str">
            <val>2022/06</val>
          </value>
        </values>
      </ddeItem>
      <ddeItem name="6569.TW-OperatingProfitRatio,Price,PriceChangeRatio,InOutRatioNumber,Value,YearReturn,MonthReturn,WeekReturn,FinanceBalanceDif,ChipsField2" advise="1">
        <values cols="10">
          <value t="str">
            <val>7.77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-12.67</val>
          </value>
          <value t="str">
            <val>+0.21</val>
          </value>
          <value t="str">
            <val>-0.52</val>
          </value>
          <value>
            <val>0</val>
          </value>
          <value>
            <val>0</val>
          </value>
        </values>
      </ddeItem>
      <ddeItem name="65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2022/06/22</val>
          </value>
          <value t="str">
            <val>3.00</val>
          </value>
          <value>
            <val>7.53</val>
          </value>
          <value t="str">
            <val>3.89</val>
          </value>
          <value t="str">
            <val>0.83</val>
          </value>
          <value t="str">
            <val>維田</val>
          </value>
          <value t="str">
            <val>上櫃電腦及週邊設備</val>
          </value>
          <value t="str">
            <val>以嵌入式系統為主之工業電腦廠商</val>
          </value>
        </values>
      </ddeItem>
      <ddeItem name="6570.TW-CName,InvestorConferenceDate,DateofMeetingofShareHolders,TradingDate" advise="1">
        <values cols="4">
          <value t="str">
            <val>維田</val>
          </value>
          <value t="str">
            <val>2022/05/17</val>
          </value>
          <value t="str">
            <val>2022/05/27</val>
          </value>
          <value t="str">
            <val>2022/08/01</val>
          </value>
        </values>
      </ddeItem>
      <ddeItem name="6570.TW-ID,Name,MarketValue,Capital,NetIncomeGrowthRate,OperIncomeGrowthRate,FinancialStatementsTime,TFXRatio,MonthlyNetSalesYoY,RevenueMonth" advise="1">
        <values cols="10">
          <value t="str">
            <val>6570</val>
          </value>
          <value t="str">
            <val>維田</val>
          </value>
          <value t="str">
            <val>13.2</val>
          </value>
          <value t="str">
            <val>3.31</val>
          </value>
          <value t="str">
            <val>58.73</val>
          </value>
          <value t="str">
            <val>93.51</val>
          </value>
          <value t="str">
            <val>2022/03</val>
          </value>
          <value t="str">
            <val>5.77</val>
          </value>
          <value t="str">
            <val>26.18</val>
          </value>
          <value t="str">
            <val>2022/06</val>
          </value>
        </values>
      </ddeItem>
      <ddeItem name="6570.TW-OperatingProfitRatio,Price,PriceChangeRatio,InOutRatioNumber,Value,YearReturn,MonthReturn,WeekReturn,FinanceBalanceDif,ChipsField2" advise="1">
        <values cols="10">
          <value t="str">
            <val>11.32</val>
          </value>
          <value>
            <val>39.85</val>
          </value>
          <value>
            <val>0.25</val>
          </value>
          <value t="str">
            <val>88.07%</val>
          </value>
          <value t="str">
            <val>478萬</val>
          </value>
          <value t="str">
            <val>+41.25</val>
          </value>
          <value t="str">
            <val>+4.73</val>
          </value>
          <value t="str">
            <val>+0.89</val>
          </value>
          <value>
            <val>3</val>
          </value>
          <value>
            <val>0</val>
          </value>
        </values>
      </ddeItem>
      <ddeItem name="65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1.14</val>
          </value>
          <value>
            <val>2.2599999999999998</val>
          </value>
          <value t="str">
            <val>0.95</val>
          </value>
          <value t="str">
            <val>0.80</val>
          </value>
          <value t="str">
            <val>霈方</val>
          </value>
          <value t="str">
            <val>上櫃生技醫療</val>
          </value>
          <value t="str">
            <val>台灣保養品集團</val>
          </value>
        </values>
      </ddeItem>
      <ddeItem name="6574.TW-CName,InvestorConferenceDate,DateofMeetingofShareHolders,TradingDate" advise="1">
        <values cols="4">
          <value t="str">
            <val>霈方</val>
          </value>
          <value t="str">
            <val>2021/12/20</val>
          </value>
          <value t="str">
            <val>2022/06/23</val>
          </value>
          <value t="str">
            <val>2022/08/01</val>
          </value>
        </values>
      </ddeItem>
      <ddeItem name="6574.TW-ID,Name,MarketValue,Capital,NetIncomeGrowthRate,OperIncomeGrowthRate,FinancialStatementsTime,TFXRatio,MonthlyNetSalesYoY,RevenueMonth" advise="1">
        <values cols="10">
          <value t="str">
            <val>6574</val>
          </value>
          <value t="str">
            <val>霈方</val>
          </value>
          <value t="str">
            <val>11.1</val>
          </value>
          <value t="str">
            <val>2.20</val>
          </value>
          <value t="str">
            <val>65.85</val>
          </value>
          <value t="str">
            <val>83.07</val>
          </value>
          <value t="str">
            <val>2022/03</val>
          </value>
          <value t="str">
            <val>-2.67</val>
          </value>
          <value t="str">
            <val>105.17</val>
          </value>
          <value t="str">
            <val>2022/06</val>
          </value>
        </values>
      </ddeItem>
      <ddeItem name="6574.TW-OperatingProfitRatio,Price,PriceChangeRatio,InOutRatioNumber,Value,YearReturn,MonthReturn,WeekReturn,FinanceBalanceDif,ChipsField2" advise="1">
        <values cols="10">
          <value t="str">
            <val>12.54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-3.43</val>
          </value>
          <value t="str">
            <val>+1.92</val>
          </value>
          <value t="str">
            <val>+0.40</val>
          </value>
          <value>
            <val>0</val>
          </value>
          <value>
            <val>0</val>
          </value>
        </values>
      </ddeItem>
      <ddeItem name="65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--</val>
          </value>
          <value t="str">
            <val>0.00</val>
          </value>
          <value>
            <val>0</val>
          </value>
          <value t="str">
            <val>-4.53</val>
          </value>
          <value t="str">
            <val>-1.04</val>
          </value>
          <value t="str">
            <val>逸達</val>
          </value>
          <value t="str">
            <val>上櫃生技醫療</val>
          </value>
          <value t="str">
            <val>新劑型配方新藥研發廠</val>
          </value>
        </values>
      </ddeItem>
      <ddeItem name="6576.TW-CName,InvestorConferenceDate,DateofMeetingofShareHolders,TradingDate" advise="1">
        <values cols="4">
          <value t="str">
            <val>逸達</val>
          </value>
          <value t="str">
            <val>2022/07/11</val>
          </value>
          <value t="str">
            <val>2022/06/29</val>
          </value>
          <value t="str">
            <val>2022/08/01</val>
          </value>
        </values>
      </ddeItem>
      <ddeItem name="6576.TW-ID,Name,MarketValue,Capital,NetIncomeGrowthRate,OperIncomeGrowthRate,FinancialStatementsTime,TFXRatio,MonthlyNetSalesYoY,RevenueMonth" advise="1">
        <values cols="10">
          <value t="str">
            <val>6576</val>
          </value>
          <value t="str">
            <val>逸達</val>
          </value>
          <value t="str">
            <val>133.4</val>
          </value>
          <value t="str">
            <val>11.80</val>
          </value>
          <value t="str">
            <val>23.18</val>
          </value>
          <value t="str">
            <val>25.54</val>
          </value>
          <value t="str">
            <val>2022/03</val>
          </value>
          <value t="str">
            <val>-95.33</val>
          </value>
          <value t="str">
            <val>-95.79</val>
          </value>
          <value t="str">
            <val>2022/06</val>
          </value>
        </values>
      </ddeItem>
      <ddeItem name="6576.TW-OperatingProfitRatio,Price,PriceChangeRatio,InOutRatioNumber,Value,YearReturn,MonthReturn,WeekReturn,FinanceBalanceDif,ChipsField2" advise="1">
        <values cols="10">
          <value t="str">
            <val>-179.63</val>
          </value>
          <value>
            <val>113</val>
          </value>
          <value>
            <val>-1.31</val>
          </value>
          <value t="str">
            <val>48.77%</val>
          </value>
          <value t="str">
            <val>3819萬</val>
          </value>
          <value t="str">
            <val>+26.82</val>
          </value>
          <value t="str">
            <val>-5.04</val>
          </value>
          <value t="str">
            <val>-1.31</val>
          </value>
          <value>
            <val>0</val>
          </value>
          <value>
            <val>0</val>
          </value>
        </values>
      </ddeItem>
      <ddeItem name="65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2022/06/30</val>
          </value>
          <value t="str">
            <val>3.85</val>
          </value>
          <value>
            <val>6.38</val>
          </value>
          <value t="str">
            <val>4.53</val>
          </value>
          <value t="str">
            <val>1.49</val>
          </value>
          <value t="str">
            <val>勁豐</val>
          </value>
          <value t="str">
            <val>上櫃電腦及週邊設備</val>
          </value>
          <value t="str">
            <val>豐藝旗下之工業電腦公司</val>
          </value>
        </values>
      </ddeItem>
      <ddeItem name="6577.TW-CName,InvestorConferenceDate,DateofMeetingofShareHolders,TradingDate" advise="1">
        <values cols="4">
          <value t="str">
            <val>勁豐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6577.TW-ID,Name,MarketValue,Capital,NetIncomeGrowthRate,OperIncomeGrowthRate,FinancialStatementsTime,TFXRatio,MonthlyNetSalesYoY,RevenueMonth" advise="1">
        <values cols="10">
          <value t="str">
            <val>6577</val>
          </value>
          <value t="str">
            <val>勁豐</val>
          </value>
          <value t="str">
            <val>23.1</val>
          </value>
          <value t="str">
            <val>3.83</val>
          </value>
          <value t="str">
            <val>24.18</val>
          </value>
          <value t="str">
            <val>-7.66</val>
          </value>
          <value t="str">
            <val>2022/03</val>
          </value>
          <value t="str">
            <val>46.48</val>
          </value>
          <value t="str">
            <val>69.81</val>
          </value>
          <value t="str">
            <val>2022/06</val>
          </value>
        </values>
      </ddeItem>
      <ddeItem name="6577.TW-OperatingProfitRatio,Price,PriceChangeRatio,InOutRatioNumber,Value,YearReturn,MonthReturn,WeekReturn,FinanceBalanceDif,ChipsField2" advise="1">
        <values cols="10">
          <value t="str">
            <val>10.30</val>
          </value>
          <value>
            <val>60.3</val>
          </value>
          <value>
            <val>2.5499999999999998</val>
          </value>
          <value t="str">
            <val>54.55%</val>
          </value>
          <value t="str">
            <val>65.9萬</val>
          </value>
          <value t="str">
            <val>+2.36</val>
          </value>
          <value t="str">
            <val>+7.10</val>
          </value>
          <value t="str">
            <val>+1.01</val>
          </value>
          <value>
            <val>0</val>
          </value>
          <value>
            <val>-1</val>
          </value>
        </values>
      </ddeItem>
      <ddeItem name="657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38</val>
          </value>
          <value t="str">
            <val>--</val>
          </value>
          <value t="str">
            <val>0.00</val>
          </value>
          <value>
            <val>0</val>
          </value>
          <value t="str">
            <val>-1.40</val>
          </value>
          <value t="str">
            <val>-0.28</val>
          </value>
          <value t="str">
            <val>達邦蛋白</val>
          </value>
          <value t="str">
            <val>上櫃農業科技業</val>
          </value>
          <value t="str">
            <val>亞洲唯一具有微生物醱酵技術的飼料廠商</val>
          </value>
        </values>
      </ddeItem>
      <ddeItem name="6578.TW-CName,InvestorConferenceDate,DateofMeetingofShareHolders,TradingDate" advise="1">
        <values cols="4">
          <value t="str">
            <val>達邦蛋白</val>
          </value>
          <value t="str">
            <val>2022/05/18</val>
          </value>
          <value t="str">
            <val>2022/06/09</val>
          </value>
          <value t="str">
            <val>2022/08/01</val>
          </value>
        </values>
      </ddeItem>
      <ddeItem name="6578.TW-ID,Name,MarketValue,Capital,NetIncomeGrowthRate,OperIncomeGrowthRate,FinancialStatementsTime,TFXRatio,MonthlyNetSalesYoY,RevenueMonth" advise="1">
        <values cols="10">
          <value t="str">
            <val>6578</val>
          </value>
          <value t="str">
            <val>達邦蛋白</val>
          </value>
          <value t="str">
            <val>6.8</val>
          </value>
          <value t="str">
            <val>3.96</val>
          </value>
          <value t="str">
            <val>60.51</val>
          </value>
          <value t="str">
            <val>17.76</val>
          </value>
          <value t="str">
            <val>2022/03</val>
          </value>
          <value t="str">
            <val>-21.60</val>
          </value>
          <value t="str">
            <val>3.13</val>
          </value>
          <value t="str">
            <val>2022/06</val>
          </value>
        </values>
      </ddeItem>
      <ddeItem name="6578.TW-OperatingProfitRatio,Price,PriceChangeRatio,InOutRatioNumber,Value,YearReturn,MonthReturn,WeekReturn,FinanceBalanceDif,ChipsField2" advise="1">
        <values cols="10">
          <value t="str">
            <val>-19.54</val>
          </value>
          <value>
            <val>17.399999999999999</val>
          </value>
          <value>
            <val>1.46</val>
          </value>
          <value t="str">
            <val>68.57%</val>
          </value>
          <value t="str">
            <val>365萬</val>
          </value>
          <value t="str">
            <val>-2.53</val>
          </value>
          <value t="str">
            <val>+3.57</val>
          </value>
          <value t="str">
            <val>+1.16</val>
          </value>
          <value>
            <val>-21</val>
          </value>
          <value>
            <val>0</val>
          </value>
        </values>
      </ddeItem>
      <ddeItem name="65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2022/06/14</val>
          </value>
          <value t="str">
            <val>0.75</val>
          </value>
          <value>
            <val>1.89</val>
          </value>
          <value t="str">
            <val>0.57</val>
          </value>
          <value t="str">
            <val>0.27</val>
          </value>
          <value t="str">
            <val>東典光電</val>
          </value>
          <value t="str">
            <val>上櫃通信網路</val>
          </value>
          <value t="str">
            <val>東鹼旗下光通訊元件濾光片廠商</val>
          </value>
        </values>
      </ddeItem>
      <ddeItem name="6588.TW-CName,InvestorConferenceDate,DateofMeetingofShareHolders,TradingDate" advise="1">
        <values cols="4">
          <value t="str">
            <val>東典光電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6588.TW-ID,Name,MarketValue,Capital,NetIncomeGrowthRate,OperIncomeGrowthRate,FinancialStatementsTime,TFXRatio,MonthlyNetSalesYoY,RevenueMonth" advise="1">
        <values cols="10">
          <value t="str">
            <val>6588</val>
          </value>
          <value t="str">
            <val>東典光電</val>
          </value>
          <value t="str">
            <val>10.6</val>
          </value>
          <value t="str">
            <val>2.67</val>
          </value>
          <value t="str">
            <val>51.77</val>
          </value>
          <value t="str">
            <val>-94.80</val>
          </value>
          <value t="str">
            <val>2022/03</val>
          </value>
          <value t="str">
            <val>21.44</val>
          </value>
          <value t="str">
            <val>8.81</val>
          </value>
          <value t="str">
            <val>2022/06</val>
          </value>
        </values>
      </ddeItem>
      <ddeItem name="6588.TW-OperatingProfitRatio,Price,PriceChangeRatio,InOutRatioNumber,Value,YearReturn,MonthReturn,WeekReturn,FinanceBalanceDif,ChipsField2" advise="1">
        <values cols="10">
          <value t="str">
            <val>0.56</val>
          </value>
          <value>
            <val>39.65</val>
          </value>
          <value>
            <val>0</val>
          </value>
          <value t="str">
            <val>44.44%</val>
          </value>
          <value t="str">
            <val>35.7萬</val>
          </value>
          <value t="str">
            <val>-14.85</val>
          </value>
          <value t="str">
            <val>+2.06</val>
          </value>
          <value t="str">
            <val>+1.67</val>
          </value>
          <value>
            <val>0</val>
          </value>
          <value>
            <val>0</val>
          </value>
        </values>
      </ddeItem>
      <ddeItem name="6589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-19</val>
          </value>
          <value t="str">
            <val>--</val>
          </value>
          <value t="str">
            <val>0.00</val>
          </value>
          <value>
            <val>0</val>
          </value>
          <value t="str">
            <val>0.79</val>
          </value>
          <value t="str">
            <val>0.05</val>
          </value>
          <value t="str">
            <val>台康生技</val>
          </value>
          <value t="str">
            <val>上櫃生技醫療</val>
          </value>
          <value t="str">
            <val>台灣生技藥品委託開發生產服務廠商</val>
          </value>
        </values>
      </ddeItem>
      <ddeItem name="6589.TW-CName,InvestorConferenceDate,DateofMeetingofShareHolders,TradingDate" advise="1">
        <values cols="4">
          <value t="str">
            <val>台康生技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6589.TW-ID,Name,MarketValue,Capital,NetIncomeGrowthRate,OperIncomeGrowthRate,FinancialStatementsTime,TFXRatio,MonthlyNetSalesYoY,RevenueMonth" advise="1">
        <values cols="10">
          <value t="str">
            <val>6589</val>
          </value>
          <value t="str">
            <val>台康生技</val>
          </value>
          <value t="str">
            <val>275.4</val>
          </value>
          <value t="str">
            <val>30.45</val>
          </value>
          <value t="str">
            <val>106.02</val>
          </value>
          <value t="str">
            <val>84.48</val>
          </value>
          <value t="str">
            <val>2022/03</val>
          </value>
          <value t="str">
            <val>-8.61</val>
          </value>
          <value t="str">
            <val>-4.45</val>
          </value>
          <value t="str">
            <val>2022/06</val>
          </value>
        </values>
      </ddeItem>
      <ddeItem name="6589.TW-OperatingProfitRatio,Price,PriceChangeRatio,InOutRatioNumber,Value,YearReturn,MonthReturn,WeekReturn,FinanceBalanceDif,ChipsField2" advise="1">
        <values cols="10">
          <value t="str">
            <val>-9.73</val>
          </value>
          <value>
            <val>90.7</val>
          </value>
          <value>
            <val>1.23</val>
          </value>
          <value t="str">
            <val>56.06%</val>
          </value>
          <value t="str">
            <val>1.40億</val>
          </value>
          <value t="str">
            <val>-29.69</val>
          </value>
          <value t="str">
            <val>+9.28</val>
          </value>
          <value t="str">
            <val>+0.33</val>
          </value>
          <value>
            <val>39</val>
          </value>
          <value>
            <val>0</val>
          </value>
        </values>
      </ddeItem>
      <ddeItem name="65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2022/03/24</val>
          </value>
          <value t="str">
            <val>3.80</val>
          </value>
          <value>
            <val>7.17</val>
          </value>
          <value t="str">
            <val>4.53</val>
          </value>
          <value t="str">
            <val>1.03</val>
          </value>
          <value t="str">
            <val>普鴻</val>
          </value>
          <value t="str">
            <val>上櫃資訊服務</val>
          </value>
          <value t="str">
            <val>台灣金融支付加解密解決方案最大供應商</val>
          </value>
        </values>
      </ddeItem>
      <ddeItem name="6590.TW-CName,InvestorConferenceDate,DateofMeetingofShareHolders,TradingDate" advise="1">
        <values cols="4">
          <value t="str">
            <val>普鴻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6590.TW-ID,Name,MarketValue,Capital,NetIncomeGrowthRate,OperIncomeGrowthRate,FinancialStatementsTime,TFXRatio,MonthlyNetSalesYoY,RevenueMonth" advise="1">
        <values cols="10">
          <value t="str">
            <val>6590</val>
          </value>
          <value t="str">
            <val>普鴻</val>
          </value>
          <value t="str">
            <val>11.3</val>
          </value>
          <value t="str">
            <val>2.13</val>
          </value>
          <value t="str">
            <val>-7.64</val>
          </value>
          <value t="str">
            <val>66.54</val>
          </value>
          <value t="str">
            <val>2022/03</val>
          </value>
          <value t="str">
            <val>-2.58</val>
          </value>
          <value t="str">
            <val>16.84</val>
          </value>
          <value t="str">
            <val>2022/06</val>
          </value>
        </values>
      </ddeItem>
      <ddeItem name="6590.TW-OperatingProfitRatio,Price,PriceChangeRatio,InOutRatioNumber,Value,YearReturn,MonthReturn,WeekReturn,FinanceBalanceDif,ChipsField2" advise="1">
        <values cols="10">
          <value t="str">
            <val>17.55</val>
          </value>
          <value>
            <val>53</val>
          </value>
          <value>
            <val>0</val>
          </value>
          <value t="str">
            <val>26.67%</val>
          </value>
          <value t="str">
            <val>79.7萬</val>
          </value>
          <value t="str">
            <val>+0.50</val>
          </value>
          <value t="str">
            <val>-2.75</val>
          </value>
          <value t="str">
            <val>+0.38</val>
          </value>
          <value>
            <val>0</val>
          </value>
          <value>
            <val>0</val>
          </value>
        </values>
      </ddeItem>
      <ddeItem name="659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2022/07/26</val>
          </value>
          <value t="str">
            <val>0.70</val>
          </value>
          <value>
            <val>2.19</val>
          </value>
          <value t="str">
            <val>0.56</val>
          </value>
          <value t="str">
            <val>0.57</val>
          </value>
          <value t="str">
            <val>台灣銘板</val>
          </value>
          <value t="str">
            <val>上櫃資訊服務</val>
          </value>
          <value t="str">
            <val>專業信用卡製卡廠商</val>
          </value>
        </values>
      </ddeItem>
      <ddeItem name="6593.TW-CName,InvestorConferenceDate,DateofMeetingofShareHolders,TradingDate" advise="1">
        <values cols="4">
          <value t="str">
            <val>台灣銘板</val>
          </value>
          <value t="str">
            <val>2022/07/20</val>
          </value>
          <value t="str">
            <val>2022/06/24</val>
          </value>
          <value t="str">
            <val>2022/08/01</val>
          </value>
        </values>
      </ddeItem>
      <ddeItem name="6593.TW-ID,Name,MarketValue,Capital,NetIncomeGrowthRate,OperIncomeGrowthRate,FinancialStatementsTime,TFXRatio,MonthlyNetSalesYoY,RevenueMonth" advise="1">
        <values cols="10">
          <value t="str">
            <val>6593</val>
          </value>
          <value t="str">
            <val>台灣銘板</val>
          </value>
          <value t="str">
            <val>6.5</val>
          </value>
          <value t="str">
            <val>2.03</val>
          </value>
          <value t="str">
            <val>-32.50</val>
          </value>
          <value t="str">
            <val>-38.40</val>
          </value>
          <value t="str">
            <val>2022/03</val>
          </value>
          <value t="str">
            <val>-7.49</val>
          </value>
          <value t="str">
            <val>11.70</val>
          </value>
          <value t="str">
            <val>2022/06</val>
          </value>
        </values>
      </ddeItem>
      <ddeItem name="6593.TW-OperatingProfitRatio,Price,PriceChangeRatio,InOutRatioNumber,Value,YearReturn,MonthReturn,WeekReturn,FinanceBalanceDif,ChipsField2" advise="1">
        <values cols="10">
          <value t="str">
            <val>8.89</val>
          </value>
          <value>
            <val>31.95</val>
          </value>
          <value>
            <val>-1.39</val>
          </value>
          <value t="str">
            <val>16.67%</val>
          </value>
          <value t="str">
            <val>19.3萬</val>
          </value>
          <value t="str">
            <val>+18.89</val>
          </value>
          <value t="str">
            <val>-0.53</val>
          </value>
          <value t="str">
            <val>-3.18</val>
          </value>
          <value>
            <val>0</val>
          </value>
          <value>
            <val>0</val>
          </value>
        </values>
      </ddeItem>
      <ddeItem name="659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2022/07/06</val>
          </value>
          <value t="str">
            <val>1.00</val>
          </value>
          <value>
            <val>3.13</val>
          </value>
          <value t="str">
            <val>1.32</val>
          </value>
          <value t="str">
            <val>0.36</val>
          </value>
          <value t="str">
            <val>展匯科</val>
          </value>
          <value t="str">
            <val>上櫃半導體</val>
          </value>
          <value t="str">
            <val>安國轉投資之USB控制IC設計公司</val>
          </value>
        </values>
      </ddeItem>
      <ddeItem name="6594.TW-CName,InvestorConferenceDate,DateofMeetingofShareHolders,TradingDate" advise="1">
        <values cols="4">
          <value t="str">
            <val>展匯科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6594.TW-ID,Name,MarketValue,Capital,NetIncomeGrowthRate,OperIncomeGrowthRate,FinancialStatementsTime,TFXRatio,MonthlyNetSalesYoY,RevenueMonth" advise="1">
        <values cols="10">
          <value t="str">
            <val>6594</val>
          </value>
          <value t="str">
            <val>展匯科</val>
          </value>
          <value t="str">
            <val>9.7</val>
          </value>
          <value t="str">
            <val>3.02</val>
          </value>
          <value t="str">
            <val>148.95</val>
          </value>
          <value t="str">
            <val>145.75</val>
          </value>
          <value t="str">
            <val>2022/03</val>
          </value>
          <value t="str">
            <val>-11.67</val>
          </value>
          <value t="str">
            <val>33.49</val>
          </value>
          <value t="str">
            <val>2022/06</val>
          </value>
        </values>
      </ddeItem>
      <ddeItem name="6594.TW-OperatingProfitRatio,Price,PriceChangeRatio,InOutRatioNumber,Value,YearReturn,MonthReturn,WeekReturn,FinanceBalanceDif,ChipsField2" advise="1">
        <values cols="10">
          <value t="str">
            <val>8.21</val>
          </value>
          <value>
            <val>32</val>
          </value>
          <value>
            <val>0.31</val>
          </value>
          <value t="str">
            <val>26.92%</val>
          </value>
          <value t="str">
            <val>86.2萬</val>
          </value>
          <value t="str">
            <val>-27.41</val>
          </value>
          <value t="str">
            <val>+3.89</val>
          </value>
          <value t="str">
            <val>-4.76</val>
          </value>
          <value>
            <val>1</val>
          </value>
          <value>
            <val>0</val>
          </value>
        </values>
      </ddeItem>
      <ddeItem name="65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-1.36</val>
          </value>
          <value t="str">
            <val>0.39</val>
          </value>
          <value t="str">
            <val>寬宏藝術</val>
          </value>
          <value t="str">
            <val>上櫃文化創意</val>
          </value>
          <value t="str">
            <val>從事國內外演唱會、藝文活動之主辦與代理</val>
          </value>
        </values>
      </ddeItem>
      <ddeItem name="6596.TW-CName,InvestorConferenceDate,DateofMeetingofShareHolders,TradingDate" advise="1">
        <values cols="4">
          <value t="str">
            <val>寬宏藝術</val>
          </value>
          <value t="str">
            <val>2021/11/29</val>
          </value>
          <value t="str">
            <val>2022/05/24</val>
          </value>
          <value t="str">
            <val>2022/08/01</val>
          </value>
        </values>
      </ddeItem>
      <ddeItem name="6596.TW-ID,Name,MarketValue,Capital,NetIncomeGrowthRate,OperIncomeGrowthRate,FinancialStatementsTime,TFXRatio,MonthlyNetSalesYoY,RevenueMonth" advise="1">
        <values cols="10">
          <value t="str">
            <val>6596</val>
          </value>
          <value t="str">
            <val>寬宏藝術</val>
          </value>
          <value t="str">
            <val>13.4</val>
          </value>
          <value t="str">
            <val>3.00</val>
          </value>
          <value t="str">
            <val>134.68</val>
          </value>
          <value t="str">
            <val>90.68</val>
          </value>
          <value t="str">
            <val>2022/03</val>
          </value>
          <value t="str">
            <val>852.22</val>
          </value>
          <value t="str">
            <val>5483.24</val>
          </value>
          <value t="str">
            <val>2022/06</val>
          </value>
        </values>
      </ddeItem>
      <ddeItem name="6596.TW-OperatingProfitRatio,Price,PriceChangeRatio,InOutRatioNumber,Value,YearReturn,MonthReturn,WeekReturn,FinanceBalanceDif,ChipsField2" advise="1">
        <values cols="10">
          <value t="str">
            <val>-1.05</val>
          </value>
          <value>
            <val>44.7</val>
          </value>
          <value>
            <val>2.76</val>
          </value>
          <value t="str">
            <val>80.00%</val>
          </value>
          <value t="str">
            <val>221萬</val>
          </value>
          <value t="str">
            <val>-10.96</val>
          </value>
          <value t="str">
            <val>+5.67</val>
          </value>
          <value t="str">
            <val>+8.76</val>
          </value>
          <value>
            <val>1</val>
          </value>
          <value>
            <val>0</val>
          </value>
        </values>
      </ddeItem>
      <ddeItem name="66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155</val>
          </value>
          <value t="str">
            <val>2022/08/22</val>
          </value>
          <value t="str">
            <val>0.50</val>
          </value>
          <value>
            <val>2.84</val>
          </value>
          <value t="str">
            <val>0.88</val>
          </value>
          <value t="str">
            <val>0.23</val>
          </value>
          <value t="str">
            <val>富強鑫</val>
          </value>
          <value t="str">
            <val>上櫃電機機械</val>
          </value>
          <value t="str">
            <val>台灣塑膠射出機領導廠商</val>
          </value>
        </values>
      </ddeItem>
      <ddeItem name="6603.TW-CName,InvestorConferenceDate,DateofMeetingofShareHolders,TradingDate" advise="1">
        <values cols="4">
          <value t="str">
            <val>富強鑫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6603.TW-ID,Name,MarketValue,Capital,NetIncomeGrowthRate,OperIncomeGrowthRate,FinancialStatementsTime,TFXRatio,MonthlyNetSalesYoY,RevenueMonth" advise="1">
        <values cols="10">
          <value t="str">
            <val>6603</val>
          </value>
          <value t="str">
            <val>富強鑫</val>
          </value>
          <value t="str">
            <val>26.3</val>
          </value>
          <value t="str">
            <val>14.94</val>
          </value>
          <value t="str">
            <val>62.18</val>
          </value>
          <value t="str">
            <val>39.91</val>
          </value>
          <value t="str">
            <val>2022/03</val>
          </value>
          <value t="str">
            <val>-0.05</val>
          </value>
          <value t="str">
            <val>1.08</val>
          </value>
          <value t="str">
            <val>2022/06</val>
          </value>
        </values>
      </ddeItem>
      <ddeItem name="6603.TW-OperatingProfitRatio,Price,PriceChangeRatio,InOutRatioNumber,Value,YearReturn,MonthReturn,WeekReturn,FinanceBalanceDif,ChipsField2" advise="1">
        <values cols="10">
          <value t="str">
            <val>4.95</val>
          </value>
          <value>
            <val>17.600000000000001</val>
          </value>
          <value>
            <val>-0.28000000000000003</val>
          </value>
          <value t="str">
            <val>46.59%</val>
          </value>
          <value t="str">
            <val>528萬</val>
          </value>
          <value t="str">
            <val>+13.36</val>
          </value>
          <value t="str">
            <val>+7.98</val>
          </value>
          <value t="str">
            <val>+2.92</val>
          </value>
          <value>
            <val>43</val>
          </value>
          <value>
            <val>0</val>
          </value>
        </values>
      </ddeItem>
      <ddeItem name="66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42</val>
          </value>
          <value t="str">
            <val>2022/07/14</val>
          </value>
          <value t="str">
            <val>1.50</val>
          </value>
          <value>
            <val>4.67</val>
          </value>
          <value t="str">
            <val>3.47</val>
          </value>
          <value t="str">
            <val>1.24</val>
          </value>
          <value t="str">
            <val>瀧澤科</val>
          </value>
          <value t="str">
            <val>上櫃電機機械</val>
          </value>
          <value t="str">
            <val>中日合資工具機生產廠商，以CNC車床為主</val>
          </value>
        </values>
      </ddeItem>
      <ddeItem name="6609.TW-CName,InvestorConferenceDate,DateofMeetingofShareHolders,TradingDate" advise="1">
        <values cols="4">
          <value t="str">
            <val>瀧澤科</val>
          </value>
          <value t="str">
            <val>2021/10/14</val>
          </value>
          <value t="str">
            <val>2022/06/21</val>
          </value>
          <value t="str">
            <val>2022/08/01</val>
          </value>
        </values>
      </ddeItem>
      <ddeItem name="6609.TW-ID,Name,MarketValue,Capital,NetIncomeGrowthRate,OperIncomeGrowthRate,FinancialStatementsTime,TFXRatio,MonthlyNetSalesYoY,RevenueMonth" advise="1">
        <values cols="10">
          <value t="str">
            <val>6609</val>
          </value>
          <value t="str">
            <val>瀧澤科</val>
          </value>
          <value t="str">
            <val>23.3</val>
          </value>
          <value t="str">
            <val>7.25</val>
          </value>
          <value t="str">
            <val>340.10</val>
          </value>
          <value t="str">
            <val>255.33</val>
          </value>
          <value t="str">
            <val>2022/03</val>
          </value>
          <value t="str">
            <val>6.88</val>
          </value>
          <value t="str">
            <val>-10.84</val>
          </value>
          <value t="str">
            <val>2022/06</val>
          </value>
        </values>
      </ddeItem>
      <ddeItem name="6609.TW-OperatingProfitRatio,Price,PriceChangeRatio,InOutRatioNumber,Value,YearReturn,MonthReturn,WeekReturn,FinanceBalanceDif,ChipsField2" advise="1">
        <values cols="10">
          <value t="str">
            <val>8.03</val>
          </value>
          <value>
            <val>32.15</val>
          </value>
          <value>
            <val>0.16</val>
          </value>
          <value t="str">
            <val>56.64%</val>
          </value>
          <value t="str">
            <val>508萬</val>
          </value>
          <value t="str">
            <val>-3.56</val>
          </value>
          <value t="str">
            <val>+9.44</val>
          </value>
          <value t="str">
            <val>+0.47</val>
          </value>
          <value>
            <val>-17</val>
          </value>
          <value>
            <val>0</val>
          </value>
        </values>
      </ddeItem>
      <ddeItem name="66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</val>
          </value>
          <value t="str">
            <val>2022/04/07</val>
          </value>
          <value t="str">
            <val>0.50</val>
          </value>
          <value>
            <val>0.66</val>
          </value>
          <value t="str">
            <val>2.44</val>
          </value>
          <value t="str">
            <val>0.88</val>
          </value>
          <value t="str">
            <val>奈米醫材</val>
          </value>
          <value t="str">
            <val>上櫃生技醫療</val>
          </value>
          <value t="str">
            <val>人工水晶體及其植入系統製造商</val>
          </value>
        </values>
      </ddeItem>
      <ddeItem name="6612.TW-CName,InvestorConferenceDate,DateofMeetingofShareHolders,TradingDate" advise="1">
        <values cols="4">
          <value t="str">
            <val>奈米醫材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6612.TW-ID,Name,MarketValue,Capital,NetIncomeGrowthRate,OperIncomeGrowthRate,FinancialStatementsTime,TFXRatio,MonthlyNetSalesYoY,RevenueMonth" advise="1">
        <values cols="10">
          <value t="str">
            <val>6612</val>
          </value>
          <value t="str">
            <val>奈米醫材</val>
          </value>
          <value t="str">
            <val>25.8</val>
          </value>
          <value t="str">
            <val>3.40</val>
          </value>
          <value t="str">
            <val>2087.95</val>
          </value>
          <value t="str">
            <val>202.74</val>
          </value>
          <value t="str">
            <val>2022/03</val>
          </value>
          <value t="str">
            <val>-13.54</val>
          </value>
          <value t="str">
            <val>25.26</val>
          </value>
          <value t="str">
            <val>2022/06</val>
          </value>
        </values>
      </ddeItem>
      <ddeItem name="6612.TW-OperatingProfitRatio,Price,PriceChangeRatio,InOutRatioNumber,Value,YearReturn,MonthReturn,WeekReturn,FinanceBalanceDif,ChipsField2" advise="1">
        <values cols="10">
          <value t="str">
            <val>30.13</val>
          </value>
          <value>
            <val>75.900000000000006</val>
          </value>
          <value>
            <val>1.2</val>
          </value>
          <value t="str">
            <val>52.94%</val>
          </value>
          <value t="str">
            <val>257萬</val>
          </value>
          <value t="str">
            <val>+21.14</val>
          </value>
          <value t="str">
            <val>+3.55</val>
          </value>
          <value t="str">
            <val>+0.26</val>
          </value>
          <value>
            <val>2</val>
          </value>
          <value>
            <val>0</val>
          </value>
        </values>
      </ddeItem>
      <ddeItem name="66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2022/06/30</val>
          </value>
          <value t="str">
            <val>12.00</val>
          </value>
          <value>
            <val>7.69</val>
          </value>
          <value t="str">
            <val>20.01</val>
          </value>
          <value t="str">
            <val>5.17</val>
          </value>
          <value t="str">
            <val>朋億</val>
          </value>
          <value t="str">
            <val>上櫃其他電子</val>
          </value>
          <value t="str">
            <val>聖暉子公司，經營半導體自動化供應系統等業務</val>
          </value>
        </values>
      </ddeItem>
      <ddeItem name="6613.TW-CName,InvestorConferenceDate,DateofMeetingofShareHolders,TradingDate" advise="1">
        <values cols="4">
          <value t="str">
            <val>朋億</val>
          </value>
          <value t="str">
            <val>2021/11/18</val>
          </value>
          <value t="str">
            <val>2022/05/24</val>
          </value>
          <value t="str">
            <val>2022/08/01</val>
          </value>
        </values>
      </ddeItem>
      <ddeItem name="6613.TW-ID,Name,MarketValue,Capital,NetIncomeGrowthRate,OperIncomeGrowthRate,FinancialStatementsTime,TFXRatio,MonthlyNetSalesYoY,RevenueMonth" advise="1">
        <values cols="10">
          <value t="str">
            <val>6613</val>
          </value>
          <value t="str">
            <val>朋億</val>
          </value>
          <value t="str">
            <val>52.9</val>
          </value>
          <value t="str">
            <val>3.39</val>
          </value>
          <value t="str">
            <val>248.80</val>
          </value>
          <value t="str">
            <val>222.53</val>
          </value>
          <value t="str">
            <val>2022/03</val>
          </value>
          <value t="str">
            <val>45.73</val>
          </value>
          <value t="str">
            <val>33.25</val>
          </value>
          <value t="str">
            <val>2022/06</val>
          </value>
        </values>
      </ddeItem>
      <ddeItem name="6613.TW-OperatingProfitRatio,Price,PriceChangeRatio,InOutRatioNumber,Value,YearReturn,MonthReturn,WeekReturn,FinanceBalanceDif,ChipsField2" advise="1">
        <values cols="10">
          <value t="str">
            <val>15.01</val>
          </value>
          <value>
            <val>156</val>
          </value>
          <value>
            <val>3.31</val>
          </value>
          <value t="str">
            <val>68.66%</val>
          </value>
          <value t="str">
            <val>1049萬</val>
          </value>
          <value t="str">
            <val>+10.92</val>
          </value>
          <value t="str">
            <val>+10.25</val>
          </value>
          <value t="str">
            <val>+4.00</val>
          </value>
          <value>
            <val>0</val>
          </value>
          <value>
            <val>0</val>
          </value>
        </values>
      </ddeItem>
      <ddeItem name="66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2022/07/06</val>
          </value>
          <value t="str">
            <val>2.00</val>
          </value>
          <value>
            <val>4.3</val>
          </value>
          <value t="str">
            <val>2.93</val>
          </value>
          <value t="str">
            <val>0.67</val>
          </value>
          <value t="str">
            <val>慧智</val>
          </value>
          <value t="str">
            <val>上櫃生技醫療</val>
          </value>
          <value t="str">
            <val>台灣基因檢測產業領導廠商</val>
          </value>
        </values>
      </ddeItem>
      <ddeItem name="6615.TW-CName,InvestorConferenceDate,DateofMeetingofShareHolders,TradingDate" advise="1">
        <values cols="4">
          <value t="str">
            <val>慧智</val>
          </value>
          <value t="str">
            <val>2022/04/13</val>
          </value>
          <value t="str">
            <val>2022/06/15</val>
          </value>
          <value t="str">
            <val>2022/08/01</val>
          </value>
        </values>
      </ddeItem>
      <ddeItem name="6615.TW-ID,Name,MarketValue,Capital,NetIncomeGrowthRate,OperIncomeGrowthRate,FinancialStatementsTime,TFXRatio,MonthlyNetSalesYoY,RevenueMonth" advise="1">
        <values cols="10">
          <value t="str">
            <val>6615</val>
          </value>
          <value t="str">
            <val>慧智</val>
          </value>
          <value t="str">
            <val>9.9</val>
          </value>
          <value t="str">
            <val>2.14</val>
          </value>
          <value t="str">
            <val>61.42</val>
          </value>
          <value t="str">
            <val>42.92</val>
          </value>
          <value t="str">
            <val>2022/03</val>
          </value>
          <value t="str">
            <val>-5.99</val>
          </value>
          <value t="str">
            <val>-7.53</val>
          </value>
          <value t="str">
            <val>2022/06</val>
          </value>
        </values>
      </ddeItem>
      <ddeItem name="6615.TW-OperatingProfitRatio,Price,PriceChangeRatio,InOutRatioNumber,Value,YearReturn,MonthReturn,WeekReturn,FinanceBalanceDif,ChipsField2" advise="1">
        <values cols="10">
          <value t="str">
            <val>6.80</val>
          </value>
          <value>
            <val>46.5</val>
          </value>
          <value>
            <val>-0.21</val>
          </value>
          <value t="str">
            <val>85.71%</val>
          </value>
          <value t="str">
            <val>32.7萬</val>
          </value>
          <value t="str">
            <val>+0.36</val>
          </value>
          <value t="str">
            <val>+8.04</val>
          </value>
          <value t="str">
            <val>+0.98</val>
          </value>
          <value>
            <val>0</val>
          </value>
          <value>
            <val>0</val>
          </value>
        </values>
      </ddeItem>
      <ddeItem name="66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-0.01</val>
          </value>
          <value t="str">
            <val>0.96</val>
          </value>
          <value t="str">
            <val>特昇-KY</val>
          </value>
          <value t="str">
            <val>上櫃其他</val>
          </value>
          <value t="str">
            <val>馬來西亞前五大木製寢室傢俱公司</val>
          </value>
        </values>
      </ddeItem>
      <ddeItem name="6616.TW-CName,InvestorConferenceDate,DateofMeetingofShareHolders,TradingDate" advise="1">
        <values cols="4">
          <value t="str">
            <val>特昇-KY</val>
          </value>
          <value t="str">
            <val>2022/06/07</val>
          </value>
          <value t="str">
            <val>2022/06/29</val>
          </value>
          <value t="str">
            <val>2022/08/01</val>
          </value>
        </values>
      </ddeItem>
      <ddeItem name="6616.TW-ID,Name,MarketValue,Capital,NetIncomeGrowthRate,OperIncomeGrowthRate,FinancialStatementsTime,TFXRatio,MonthlyNetSalesYoY,RevenueMonth" advise="1">
        <values cols="10">
          <value t="str">
            <val>6616</val>
          </value>
          <value t="str">
            <val>特昇-KY</val>
          </value>
          <value t="str">
            <val>4.7</val>
          </value>
          <value t="str">
            <val>2.86</val>
          </value>
          <value t="str">
            <val>2204.29</val>
          </value>
          <value t="str">
            <val>160.37</val>
          </value>
          <value t="str">
            <val>2022/03</val>
          </value>
          <value t="str">
            <val>35.08</val>
          </value>
          <value t="str">
            <val>180.23</val>
          </value>
          <value t="str">
            <val>2022/06</val>
          </value>
        </values>
      </ddeItem>
      <ddeItem name="6616.TW-OperatingProfitRatio,Price,PriceChangeRatio,InOutRatioNumber,Value,YearReturn,MonthReturn,WeekReturn,FinanceBalanceDif,ChipsField2" advise="1">
        <values cols="10">
          <value t="str">
            <val>8.23</val>
          </value>
          <value>
            <val>16.3</val>
          </value>
          <value>
            <val>1.24</val>
          </value>
          <value t="str">
            <val>59.39%</val>
          </value>
          <value t="str">
            <val>318萬</val>
          </value>
          <value t="str">
            <val>-25.58</val>
          </value>
          <value t="str">
            <val>+5.16</val>
          </value>
          <value t="str">
            <val>+7.24</val>
          </value>
          <value>
            <val>0</val>
          </value>
          <value>
            <val>0</val>
          </value>
        </values>
      </ddeItem>
      <ddeItem name="66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-0.09</val>
          </value>
          <value t="str">
            <val>-0.34</val>
          </value>
          <value t="str">
            <val>萬年清</val>
          </value>
          <value t="str">
            <val>上櫃其他</val>
          </value>
          <value t="str">
            <val>從事工業用水與廢水處理之統包工程</val>
          </value>
        </values>
      </ddeItem>
      <ddeItem name="6624.TW-CName,InvestorConferenceDate,DateofMeetingofShareHolders,TradingDate" advise="1">
        <values cols="4">
          <value t="str">
            <val>萬年清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6624.TW-ID,Name,MarketValue,Capital,NetIncomeGrowthRate,OperIncomeGrowthRate,FinancialStatementsTime,TFXRatio,MonthlyNetSalesYoY,RevenueMonth" advise="1">
        <values cols="10">
          <value t="str">
            <val>6624</val>
          </value>
          <value t="str">
            <val>萬年清</val>
          </value>
          <value t="str">
            <val>7.5</val>
          </value>
          <value t="str">
            <val>1.80</val>
          </value>
          <value t="str">
            <val>-62.40</val>
          </value>
          <value t="str">
            <val>-240.79</val>
          </value>
          <value t="str">
            <val>2022/03</val>
          </value>
          <value t="str">
            <val>19.30</val>
          </value>
          <value t="str">
            <val>129.70</val>
          </value>
          <value t="str">
            <val>2022/06</val>
          </value>
        </values>
      </ddeItem>
      <ddeItem name="6624.TW-OperatingProfitRatio,Price,PriceChangeRatio,InOutRatioNumber,Value,YearReturn,MonthReturn,WeekReturn,FinanceBalanceDif,ChipsField2" advise="1">
        <values cols="10">
          <value t="str">
            <val>-35.37</val>
          </value>
          <value>
            <val>41.5</val>
          </value>
          <value>
            <val>0</val>
          </value>
          <value t="str">
            <val>40.00%</val>
          </value>
          <value t="str">
            <val>20.6萬</val>
          </value>
          <value t="str">
            <val>+33.01</val>
          </value>
          <value t="str">
            <val>+0.24</val>
          </value>
          <value t="str">
            <val>-0.84</val>
          </value>
          <value>
            <val>0</val>
          </value>
          <value>
            <val>0</val>
          </value>
        </values>
      </ddeItem>
      <ddeItem name="66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2022/07/14</val>
          </value>
          <value t="str">
            <val>1.00</val>
          </value>
          <value>
            <val>6.4</val>
          </value>
          <value t="str">
            <val>6.05</val>
          </value>
          <value t="str">
            <val>1.54</val>
          </value>
          <value t="str">
            <val>泰金-KY</val>
          </value>
          <value t="str">
            <val>上櫃其他</val>
          </value>
          <value t="str">
            <val>泰國家飾鑄件大廠</val>
          </value>
        </values>
      </ddeItem>
      <ddeItem name="6629.TW-CName,InvestorConferenceDate,DateofMeetingofShareHolders,TradingDate" advise="1">
        <values cols="4">
          <value t="str">
            <val>泰金-KY</val>
          </value>
          <value t="str">
            <val>2021/12/16</val>
          </value>
          <value t="str">
            <val>2022/06/17</val>
          </value>
          <value t="str">
            <val>2022/08/01</val>
          </value>
        </values>
      </ddeItem>
      <ddeItem name="6629.TW-ID,Name,MarketValue,Capital,NetIncomeGrowthRate,OperIncomeGrowthRate,FinancialStatementsTime,TFXRatio,MonthlyNetSalesYoY,RevenueMonth" advise="1">
        <values cols="10">
          <value t="str">
            <val>6629</val>
          </value>
          <value t="str">
            <val>泰金-KY</val>
          </value>
          <value t="str">
            <val>17.9</val>
          </value>
          <value t="str">
            <val>3.57</val>
          </value>
          <value t="str">
            <val>-22.62</val>
          </value>
          <value t="str">
            <val>-29.87</val>
          </value>
          <value t="str">
            <val>2022/03</val>
          </value>
          <value t="str">
            <val>8.15</val>
          </value>
          <value t="str">
            <val>15.98</val>
          </value>
          <value t="str">
            <val>2022/06</val>
          </value>
        </values>
      </ddeItem>
      <ddeItem name="6629.TW-OperatingProfitRatio,Price,PriceChangeRatio,InOutRatioNumber,Value,YearReturn,MonthReturn,WeekReturn,FinanceBalanceDif,ChipsField2" advise="1">
        <values cols="10">
          <value t="str">
            <val>16.32</val>
          </value>
          <value>
            <val>50</val>
          </value>
          <value>
            <val>0</val>
          </value>
          <value t="str">
            <val>33.33%</val>
          </value>
          <value t="str">
            <val>14.8萬</val>
          </value>
          <value t="str">
            <val>-15.84</val>
          </value>
          <value t="str">
            <val>-7.82</val>
          </value>
          <value t="str">
            <val>-4.21</val>
          </value>
          <value>
            <val>0</val>
          </value>
          <value>
            <val>0</val>
          </value>
        </values>
      </ddeItem>
      <ddeItem name="66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2022/07/21</val>
          </value>
          <value t="str">
            <val>5.00</val>
          </value>
          <value>
            <val>5.48</val>
          </value>
          <value t="str">
            <val>8.50</val>
          </value>
          <value t="str">
            <val>2.92</val>
          </value>
          <value t="str">
            <val>均華</val>
          </value>
          <value t="str">
            <val>上櫃半導體</val>
          </value>
          <value t="str">
            <val>均豪子公司，從事半導體封裝設備的製造</val>
          </value>
        </values>
      </ddeItem>
      <ddeItem name="6640.TW-CName,InvestorConferenceDate,DateofMeetingofShareHolders,TradingDate" advise="1">
        <values cols="4">
          <value t="str">
            <val>均華</val>
          </value>
          <value t="str">
            <val>2021/11/23</val>
          </value>
          <value t="str">
            <val>2022/06/23</val>
          </value>
          <value t="str">
            <val>2022/08/01</val>
          </value>
        </values>
      </ddeItem>
      <ddeItem name="6640.TW-ID,Name,MarketValue,Capital,NetIncomeGrowthRate,OperIncomeGrowthRate,FinancialStatementsTime,TFXRatio,MonthlyNetSalesYoY,RevenueMonth" advise="1">
        <values cols="10">
          <value t="str">
            <val>6640</val>
          </value>
          <value t="str">
            <val>均華</val>
          </value>
          <value t="str">
            <val>25.8</val>
          </value>
          <value t="str">
            <val>2.83</val>
          </value>
          <value t="str">
            <val>1124.14</val>
          </value>
          <value t="str">
            <val>1714.56</val>
          </value>
          <value t="str">
            <val>2022/03</val>
          </value>
          <value t="str">
            <val>39.77</val>
          </value>
          <value t="str">
            <val>130.34</val>
          </value>
          <value t="str">
            <val>2022/06</val>
          </value>
        </values>
      </ddeItem>
      <ddeItem name="6640.TW-OperatingProfitRatio,Price,PriceChangeRatio,InOutRatioNumber,Value,YearReturn,MonthReturn,WeekReturn,FinanceBalanceDif,ChipsField2" advise="1">
        <values cols="10">
          <value t="str">
            <val>21.68</val>
          </value>
          <value>
            <val>91.2</val>
          </value>
          <value>
            <val>-2.04</val>
          </value>
          <value t="str">
            <val>0.00%</val>
          </value>
          <value t="str">
            <val>27.6萬</val>
          </value>
          <value t="str">
            <val>-22.59</val>
          </value>
          <value t="str">
            <val>+11.30</val>
          </value>
          <value t="str">
            <val>-2.25</val>
          </value>
          <value>
            <val>0</val>
          </value>
          <value>
            <val>0</val>
          </value>
        </values>
      </ddeItem>
      <ddeItem name="66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2022/06/16</val>
          </value>
          <value t="str">
            <val>3.60</val>
          </value>
          <value>
            <val>6.92</val>
          </value>
          <value t="str">
            <val>5.06</val>
          </value>
          <value t="str">
            <val>1.36</val>
          </value>
          <value t="str">
            <val>富致</val>
          </value>
          <value t="str">
            <val>上櫃電子零組件</val>
          </value>
          <value t="str">
            <val>台灣PPTC自復式保險絲製造商</val>
          </value>
        </values>
      </ddeItem>
      <ddeItem name="6642.TW-CName,InvestorConferenceDate,DateofMeetingofShareHolders,TradingDate" advise="1">
        <values cols="4">
          <value t="str">
            <val>富致</val>
          </value>
          <value t="str">
            <val>2021/11/08</val>
          </value>
          <value t="str">
            <val>2022/05/24</val>
          </value>
          <value t="str">
            <val>2022/08/01</val>
          </value>
        </values>
      </ddeItem>
      <ddeItem name="6642.TW-ID,Name,MarketValue,Capital,NetIncomeGrowthRate,OperIncomeGrowthRate,FinancialStatementsTime,TFXRatio,MonthlyNetSalesYoY,RevenueMonth" advise="1">
        <values cols="10">
          <value t="str">
            <val>6642</val>
          </value>
          <value t="str">
            <val>富致</val>
          </value>
          <value t="str">
            <val>19.4</val>
          </value>
          <value t="str">
            <val>3.74</val>
          </value>
          <value t="str">
            <val>43.09</val>
          </value>
          <value t="str">
            <val>6.40</val>
          </value>
          <value t="str">
            <val>2022/03</val>
          </value>
          <value t="str">
            <val>-0.82</val>
          </value>
          <value t="str">
            <val>-13.60</val>
          </value>
          <value t="str">
            <val>2022/06</val>
          </value>
        </values>
      </ddeItem>
      <ddeItem name="6642.TW-OperatingProfitRatio,Price,PriceChangeRatio,InOutRatioNumber,Value,YearReturn,MonthReturn,WeekReturn,FinanceBalanceDif,ChipsField2" advise="1">
        <values cols="10">
          <value t="str">
            <val>32.01</val>
          </value>
          <value>
            <val>52</val>
          </value>
          <value>
            <val>-1.7</val>
          </value>
          <value t="str">
            <val>11.11%</val>
          </value>
          <value t="str">
            <val>47.1萬</val>
          </value>
          <value t="str">
            <val>-35.44</val>
          </value>
          <value t="str">
            <val>-4.94</val>
          </value>
          <value t="str">
            <val>-3.70</val>
          </value>
          <value>
            <val>0</val>
          </value>
          <value>
            <val>0</val>
          </value>
        </values>
      </ddeItem>
      <ddeItem name="66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93</val>
          </value>
          <value t="str">
            <val>2022/06/16</val>
          </value>
          <value t="str">
            <val>6.30</val>
          </value>
          <value>
            <val>2.4700000000000002</val>
          </value>
          <value t="str">
            <val>7.61</val>
          </value>
          <value t="str">
            <val>1.28</val>
          </value>
          <value t="str">
            <val>M31</val>
          </value>
          <value t="str">
            <val>上櫃半導體</val>
          </value>
          <value t="str">
            <val>主攻高速傳輸的矽智材廠商</val>
          </value>
        </values>
      </ddeItem>
      <ddeItem name="6643.TW-CName,InvestorConferenceDate,DateofMeetingofShareHolders,TradingDate" advise="1">
        <values cols="4">
          <value t="str">
            <val>M31</val>
          </value>
          <value t="str">
            <val>2022/08/11</val>
          </value>
          <value t="str">
            <val>2022/05/26</val>
          </value>
          <value t="str">
            <val>2022/08/01</val>
          </value>
        </values>
      </ddeItem>
      <ddeItem name="6643.TW-ID,Name,MarketValue,Capital,NetIncomeGrowthRate,OperIncomeGrowthRate,FinancialStatementsTime,TFXRatio,MonthlyNetSalesYoY,RevenueMonth" advise="1">
        <values cols="10">
          <value t="str">
            <val>6643</val>
          </value>
          <value t="str">
            <val>M31</val>
          </value>
          <value t="str">
            <val>80.6</val>
          </value>
          <value t="str">
            <val>3.17</val>
          </value>
          <value t="str">
            <val>-28.50</val>
          </value>
          <value t="str">
            <val>-65.11</val>
          </value>
          <value t="str">
            <val>2022/03</val>
          </value>
          <value t="str">
            <val>8.09</val>
          </value>
          <value t="str">
            <val>36.37</val>
          </value>
          <value t="str">
            <val>2022/06</val>
          </value>
        </values>
      </ddeItem>
      <ddeItem name="6643.TW-OperatingProfitRatio,Price,PriceChangeRatio,InOutRatioNumber,Value,YearReturn,MonthReturn,WeekReturn,FinanceBalanceDif,ChipsField2" advise="1">
        <values cols="10">
          <value t="str">
            <val>9.63</val>
          </value>
          <value>
            <val>255</val>
          </value>
          <value>
            <val>-2.2999999999999998</val>
          </value>
          <value t="str">
            <val>38.73%</val>
          </value>
          <value t="str">
            <val>5604萬</val>
          </value>
          <value t="str">
            <val>-31.96</val>
          </value>
          <value t="str">
            <val>+18.06</val>
          </value>
          <value t="str">
            <val>-3.04</val>
          </value>
          <value>
            <val>-27</val>
          </value>
          <value>
            <val>0</val>
          </value>
        </values>
      </ddeItem>
      <ddeItem name="66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24</val>
          </value>
          <value t="str">
            <val>--</val>
          </value>
          <value t="str">
            <val>0.00</val>
          </value>
          <value>
            <val>0</val>
          </value>
          <value t="str">
            <val>-1.14</val>
          </value>
          <value t="str">
            <val>-0.12</val>
          </value>
          <value t="str">
            <val>台生材</val>
          </value>
          <value t="str">
            <val>上櫃生技醫療</val>
          </value>
          <value t="str">
            <val>主要從事泡沫式人工腦膜研發</val>
          </value>
        </values>
      </ddeItem>
      <ddeItem name="6649.TW-CName,InvestorConferenceDate,DateofMeetingofShareHolders,TradingDate" advise="1">
        <values cols="4">
          <value t="str">
            <val>台生材</val>
          </value>
          <value t="str">
            <val>2021/09/14</val>
          </value>
          <value t="str">
            <val>2022/06/08</val>
          </value>
          <value t="str">
            <val>2022/08/01</val>
          </value>
        </values>
      </ddeItem>
      <ddeItem name="6649.TW-ID,Name,MarketValue,Capital,NetIncomeGrowthRate,OperIncomeGrowthRate,FinancialStatementsTime,TFXRatio,MonthlyNetSalesYoY,RevenueMonth" advise="1">
        <values cols="10">
          <value t="str">
            <val>6649</val>
          </value>
          <value t="str">
            <val>台生材</val>
          </value>
          <value t="str">
            <val>11.8</val>
          </value>
          <value t="str">
            <val>4.20</val>
          </value>
          <value t="str">
            <val>65.11</val>
          </value>
          <value t="str">
            <val>68.31</val>
          </value>
          <value t="str">
            <val>2022/03</val>
          </value>
          <value t="str">
            <val>-11.68</val>
          </value>
          <value t="str">
            <val>76.47</val>
          </value>
          <value t="str">
            <val>2022/06</val>
          </value>
        </values>
      </ddeItem>
      <ddeItem name="6649.TW-OperatingProfitRatio,Price,PriceChangeRatio,InOutRatioNumber,Value,YearReturn,MonthReturn,WeekReturn,FinanceBalanceDif,ChipsField2" advise="1">
        <values cols="10">
          <value t="str">
            <val>-34.80</val>
          </value>
          <value>
            <val>28.2</val>
          </value>
          <value>
            <val>-2.42</val>
          </value>
          <value t="str">
            <val>13.12%</val>
          </value>
          <value t="str">
            <val>454萬</val>
          </value>
          <value t="str">
            <val>-1.05</val>
          </value>
          <value t="str">
            <val>+8.67</val>
          </value>
          <value t="str">
            <val>-6.62</val>
          </value>
          <value>
            <val>0</val>
          </value>
          <value>
            <val>0</val>
          </value>
        </values>
      </ddeItem>
      <ddeItem name="665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--</val>
          </value>
          <value t="str">
            <val>4.50</val>
          </value>
          <value>
            <val>5.7</val>
          </value>
          <value t="str">
            <val>8.50</val>
          </value>
          <value t="str">
            <val>2.51</val>
          </value>
          <value t="str">
            <val>全宇昕</val>
          </value>
          <value t="str">
            <val>上櫃半導體</val>
          </value>
          <value t="str">
            <val>分離式半導體元件廠</val>
          </value>
        </values>
      </ddeItem>
      <ddeItem name="6651.TW-CName,InvestorConferenceDate,DateofMeetingofShareHolders,TradingDate" advise="1">
        <values cols="4">
          <value t="str">
            <val>全宇昕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6651.TW-ID,Name,MarketValue,Capital,NetIncomeGrowthRate,OperIncomeGrowthRate,FinancialStatementsTime,TFXRatio,MonthlyNetSalesYoY,RevenueMonth" advise="1">
        <values cols="10">
          <value t="str">
            <val>6651</val>
          </value>
          <value t="str">
            <val>全宇昕</val>
          </value>
          <value t="str">
            <val>26.0</val>
          </value>
          <value t="str">
            <val>3.30</val>
          </value>
          <value t="str">
            <val>45.98</val>
          </value>
          <value t="str">
            <val>26.73</val>
          </value>
          <value t="str">
            <val>2022/03</val>
          </value>
          <value t="str">
            <val>6.17</val>
          </value>
          <value t="str">
            <val>46.70</val>
          </value>
          <value t="str">
            <val>2022/06</val>
          </value>
        </values>
      </ddeItem>
      <ddeItem name="6651.TW-OperatingProfitRatio,Price,PriceChangeRatio,InOutRatioNumber,Value,YearReturn,MonthReturn,WeekReturn,FinanceBalanceDif,ChipsField2" advise="1">
        <values cols="10">
          <value t="str">
            <val>20.46</val>
          </value>
          <value>
            <val>79</val>
          </value>
          <value>
            <val>0</val>
          </value>
          <value t="str">
            <val>48.72%</val>
          </value>
          <value t="str">
            <val>308萬</val>
          </value>
          <value t="str">
            <val>-33.44</val>
          </value>
          <value t="str">
            <val>+7.63</val>
          </value>
          <value t="str">
            <val>-1.37</val>
          </value>
          <value>
            <val>3</val>
          </value>
          <value>
            <val>0</val>
          </value>
        </values>
      </ddeItem>
      <ddeItem name="66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2022/07/01</val>
          </value>
          <value t="str">
            <val>4.50</val>
          </value>
          <value>
            <val>9.09</val>
          </value>
          <value t="str">
            <val>6.59</val>
          </value>
          <value t="str">
            <val>0.66</val>
          </value>
          <value t="str">
            <val>天正國際</val>
          </value>
          <value t="str">
            <val>上櫃其他電子</val>
          </value>
          <value t="str">
            <val>專業的被動元件後段自動化生產設備開發商</val>
          </value>
        </values>
      </ddeItem>
      <ddeItem name="6654.TW-CName,InvestorConferenceDate,DateofMeetingofShareHolders,TradingDate" advise="1">
        <values cols="4">
          <value t="str">
            <val>天正國際</val>
          </value>
          <value t="str">
            <val>2021/12/14</val>
          </value>
          <value t="str">
            <val>2022/06/01</val>
          </value>
          <value t="str">
            <val>2022/08/01</val>
          </value>
        </values>
      </ddeItem>
      <ddeItem name="6654.TW-ID,Name,MarketValue,Capital,NetIncomeGrowthRate,OperIncomeGrowthRate,FinancialStatementsTime,TFXRatio,MonthlyNetSalesYoY,RevenueMonth" advise="1">
        <values cols="10">
          <value t="str">
            <val>6654</val>
          </value>
          <value t="str">
            <val>天正國際</val>
          </value>
          <value t="str">
            <val>16.5</val>
          </value>
          <value t="str">
            <val>3.33</val>
          </value>
          <value t="str">
            <val>-33.15</val>
          </value>
          <value t="str">
            <val>-85.47</val>
          </value>
          <value t="str">
            <val>2022/03</val>
          </value>
          <value t="str">
            <val>3.92</val>
          </value>
          <value t="str">
            <val>-44.57</val>
          </value>
          <value t="str">
            <val>2022/06</val>
          </value>
        </values>
      </ddeItem>
      <ddeItem name="6654.TW-OperatingProfitRatio,Price,PriceChangeRatio,InOutRatioNumber,Value,YearReturn,MonthReturn,WeekReturn,FinanceBalanceDif,ChipsField2" advise="1">
        <values cols="10">
          <value t="str">
            <val>4.37</val>
          </value>
          <value>
            <val>49.5</val>
          </value>
          <value>
            <val>0.1</val>
          </value>
          <value t="str">
            <val>66.67%</val>
          </value>
          <value t="str">
            <val>14.8萬</val>
          </value>
          <value t="str">
            <val>-36.53</val>
          </value>
          <value t="str">
            <val>+1.12</val>
          </value>
          <value t="str">
            <val>+1.02</val>
          </value>
          <value>
            <val>-1</val>
          </value>
          <value>
            <val>0</val>
          </value>
        </values>
      </ddeItem>
      <ddeItem name="66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2022/03/17</val>
          </value>
          <value t="str">
            <val>0.48</val>
          </value>
          <value>
            <val>2.09</val>
          </value>
          <value t="str">
            <val>0.61</val>
          </value>
          <value t="str">
            <val>-0.22</val>
          </value>
          <value t="str">
            <val>威健生技</val>
          </value>
          <value t="str">
            <val>上櫃生技醫療</val>
          </value>
          <value t="str">
            <val>台灣第一家獲得生物晶片檢測雙認證之公司</val>
          </value>
        </values>
      </ddeItem>
      <ddeItem name="6661.TW-CName,InvestorConferenceDate,DateofMeetingofShareHolders,TradingDate" advise="1">
        <values cols="4">
          <value t="str">
            <val>威健生技</val>
          </value>
          <value t="str">
            <val>2021/11/18</val>
          </value>
          <value t="str">
            <val>2022/05/17</val>
          </value>
          <value t="str">
            <val>2022/08/01</val>
          </value>
        </values>
      </ddeItem>
      <ddeItem name="6661.TW-ID,Name,MarketValue,Capital,NetIncomeGrowthRate,OperIncomeGrowthRate,FinancialStatementsTime,TFXRatio,MonthlyNetSalesYoY,RevenueMonth" advise="1">
        <values cols="10">
          <value t="str">
            <val>6661</val>
          </value>
          <value t="str">
            <val>威健生技</val>
          </value>
          <value t="str">
            <val>5.3</val>
          </value>
          <value t="str">
            <val>2.33</val>
          </value>
          <value t="str">
            <val>8.02</val>
          </value>
          <value t="str">
            <val>7.45</val>
          </value>
          <value t="str">
            <val>2022/03</val>
          </value>
          <value t="str">
            <val>76.13</val>
          </value>
          <value t="str">
            <val>35.61</val>
          </value>
          <value t="str">
            <val>2022/06</val>
          </value>
        </values>
      </ddeItem>
      <ddeItem name="6661.TW-OperatingProfitRatio,Price,PriceChangeRatio,InOutRatioNumber,Value,YearReturn,MonthReturn,WeekReturn,FinanceBalanceDif,ChipsField2" advise="1">
        <values cols="10">
          <value t="str">
            <val>-5.99</val>
          </value>
          <value>
            <val>22.95</val>
          </value>
          <value>
            <val>-0.22</val>
          </value>
          <value t="str">
            <val>75.00%</val>
          </value>
          <value t="str">
            <val>9.16萬</val>
          </value>
          <value t="str">
            <val>-10.50</val>
          </value>
          <value t="str">
            <val>+2.68</val>
          </value>
          <value t="str">
            <val>0.00</val>
          </value>
          <value>
            <val>0</val>
          </value>
          <value>
            <val>0</val>
          </value>
        </values>
      </ddeItem>
      <ddeItem name="666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2022/07/21</val>
          </value>
          <value t="str">
            <val>1.60</val>
          </value>
          <value>
            <val>5.43</val>
          </value>
          <value t="str">
            <val>1.76</val>
          </value>
          <value t="str">
            <val>0.27</val>
          </value>
          <value t="str">
            <val>樂斯科</val>
          </value>
          <value t="str">
            <val>上櫃生技醫療</val>
          </value>
          <value t="str">
            <val>台灣知名實驗鼠繁殖中心</val>
          </value>
        </values>
      </ddeItem>
      <ddeItem name="6662.TW-CName,InvestorConferenceDate,DateofMeetingofShareHolders,TradingDate" advise="1">
        <values cols="4">
          <value t="str">
            <val>樂斯科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6662.TW-ID,Name,MarketValue,Capital,NetIncomeGrowthRate,OperIncomeGrowthRate,FinancialStatementsTime,TFXRatio,MonthlyNetSalesYoY,RevenueMonth" advise="1">
        <values cols="10">
          <value t="str">
            <val>6662</val>
          </value>
          <value t="str">
            <val>樂斯科</val>
          </value>
          <value t="str">
            <val>7.5</val>
          </value>
          <value t="str">
            <val>2.56</val>
          </value>
          <value t="str">
            <val>-1.84</val>
          </value>
          <value t="str">
            <val>0.90</val>
          </value>
          <value t="str">
            <val>2022/03</val>
          </value>
          <value t="str">
            <val>26.66</val>
          </value>
          <value t="str">
            <val>16.26</val>
          </value>
          <value t="str">
            <val>2022/06</val>
          </value>
        </values>
      </ddeItem>
      <ddeItem name="6662.TW-OperatingProfitRatio,Price,PriceChangeRatio,InOutRatioNumber,Value,YearReturn,MonthReturn,WeekReturn,FinanceBalanceDif,ChipsField2" advise="1">
        <values cols="10">
          <value t="str">
            <val>17.38</val>
          </value>
          <value>
            <val>29.45</val>
          </value>
          <value>
            <val>0.51</val>
          </value>
          <value t="str">
            <val>50.00%</val>
          </value>
          <value t="str">
            <val>11.7萬</val>
          </value>
          <value t="str">
            <val>+0.43</val>
          </value>
          <value t="str">
            <val>+6.64</val>
          </value>
          <value t="str">
            <val>+0.51</val>
          </value>
          <value>
            <val>0</val>
          </value>
          <value>
            <val>0</val>
          </value>
        </values>
      </ddeItem>
      <ddeItem name="6664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0</val>
          </value>
          <value t="str">
            <val>2022/07/28</val>
          </value>
          <value t="str">
            <val>4.90</val>
          </value>
          <value>
            <val>6.23</val>
          </value>
          <value t="str">
            <val>6.89</val>
          </value>
          <value t="str">
            <val>2.57</val>
          </value>
          <value t="str">
            <val>群翊</val>
          </value>
          <value t="str">
            <val>上櫃電子零組件</val>
          </value>
          <value t="str">
            <val>專業的PCB及光電產業乾製程設備製造商</val>
          </value>
        </values>
      </ddeItem>
      <ddeItem name="6664.TW-CName,InvestorConferenceDate,DateofMeetingofShareHolders,TradingDate" advise="1">
        <values cols="4">
          <value t="str">
            <val>群翊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6664.TW-ID,Name,MarketValue,Capital,NetIncomeGrowthRate,OperIncomeGrowthRate,FinancialStatementsTime,TFXRatio,MonthlyNetSalesYoY,RevenueMonth" advise="1">
        <values cols="10">
          <value t="str">
            <val>6664</val>
          </value>
          <value t="str">
            <val>群翊</val>
          </value>
          <value t="str">
            <val>43.2</val>
          </value>
          <value t="str">
            <val>5.50</val>
          </value>
          <value t="str">
            <val>42.64</val>
          </value>
          <value t="str">
            <val>3.55</val>
          </value>
          <value t="str">
            <val>2022/03</val>
          </value>
          <value t="str">
            <val>-2.41</val>
          </value>
          <value t="str">
            <val>32.90</val>
          </value>
          <value t="str">
            <val>2022/06</val>
          </value>
        </values>
      </ddeItem>
      <ddeItem name="6664.TW-OperatingProfitRatio,Price,PriceChangeRatio,InOutRatioNumber,Value,YearReturn,MonthReturn,WeekReturn,FinanceBalanceDif,ChipsField2" advise="1">
        <values cols="10">
          <value t="str">
            <val>26.11</val>
          </value>
          <value>
            <val>78.599999999999994</val>
          </value>
          <value>
            <val>-1.26</val>
          </value>
          <value t="str">
            <val>33.33%</val>
          </value>
          <value t="str">
            <val>677萬</val>
          </value>
          <value t="str">
            <val>+21.26</val>
          </value>
          <value t="str">
            <val>+7.25</val>
          </value>
          <value t="str">
            <val>+1.40</val>
          </value>
          <value>
            <val>18</val>
          </value>
          <value>
            <val>0</val>
          </value>
        </values>
      </ddeItem>
      <ddeItem name="6667.TW-ChipsField3,ChipsField1,ChipsField25,CashAndStockDividend,CashDividendYieldRate,ProfitFourSeason,ProfitSingle,CName,ExchangeIndustry,CompanyPos" advise="1">
        <values cols="10">
          <value>
            <val>-55</val>
          </value>
          <value>
            <val>-41</val>
          </value>
          <value t="str">
            <val>2022/07/05</val>
          </value>
          <value t="str">
            <val>2.94</val>
          </value>
          <value>
            <val>4.32</val>
          </value>
          <value t="str">
            <val>3.70</val>
          </value>
          <value t="str">
            <val>0.80</val>
          </value>
          <value t="str">
            <val>信紘科</val>
          </value>
          <value t="str">
            <val>上櫃其他電子</val>
          </value>
          <value t="str">
            <val>高科技廠務工程及製程設備領域之專業廠商</val>
          </value>
        </values>
      </ddeItem>
      <ddeItem name="6667.TW-CName,InvestorConferenceDate,DateofMeetingofShareHolders,TradingDate" advise="1">
        <values cols="4">
          <value t="str">
            <val>信紘科</val>
          </value>
          <value t="str">
            <val>2021/09/14</val>
          </value>
          <value t="str">
            <val>2022/06/15</val>
          </value>
          <value t="str">
            <val>2022/08/01</val>
          </value>
        </values>
      </ddeItem>
      <ddeItem name="6667.TW-ID,Name,MarketValue,Capital,NetIncomeGrowthRate,OperIncomeGrowthRate,FinancialStatementsTime,TFXRatio,MonthlyNetSalesYoY,RevenueMonth" advise="1">
        <values cols="10">
          <value t="str">
            <val>6667</val>
          </value>
          <value t="str">
            <val>信紘科</val>
          </value>
          <value t="str">
            <val>27.0</val>
          </value>
          <value t="str">
            <val>3.98</val>
          </value>
          <value t="str">
            <val>124.17</val>
          </value>
          <value t="str">
            <val>127.87</val>
          </value>
          <value t="str">
            <val>2022/03</val>
          </value>
          <value t="str">
            <val>-15.93</val>
          </value>
          <value t="str">
            <val>24.57</val>
          </value>
          <value t="str">
            <val>2022/06</val>
          </value>
        </values>
      </ddeItem>
      <ddeItem name="6667.TW-OperatingProfitRatio,Price,PriceChangeRatio,InOutRatioNumber,Value,YearReturn,MonthReturn,WeekReturn,FinanceBalanceDif,ChipsField2" advise="1">
        <values cols="10">
          <value t="str">
            <val>6.28</val>
          </value>
          <value>
            <val>68</val>
          </value>
          <value>
            <val>-1.02</val>
          </value>
          <value t="str">
            <val>24.00%</val>
          </value>
          <value t="str">
            <val>170萬</val>
          </value>
          <value t="str">
            <val>+7.08</val>
          </value>
          <value t="str">
            <val>+16.89</val>
          </value>
          <value t="str">
            <val>-2.16</val>
          </value>
          <value>
            <val>12</val>
          </value>
          <value>
            <val>0</val>
          </value>
        </values>
      </ddeItem>
      <ddeItem name="6679.TW-ChipsField3,ChipsField1,ChipsField25,CashAndStockDividend,CashDividendYieldRate,ProfitFourSeason,ProfitSingle,CName,ExchangeIndustry,CompanyPos" advise="1">
        <values cols="10">
          <value>
            <val>7</val>
          </value>
          <value>
            <val>74</val>
          </value>
          <value t="str">
            <val>2022/06/08</val>
          </value>
          <value t="str">
            <val>7.13</val>
          </value>
          <value>
            <val>3.24</val>
          </value>
          <value t="str">
            <val>15.45</val>
          </value>
          <value t="str">
            <val>3.31</val>
          </value>
          <value t="str">
            <val>鈺太</val>
          </value>
          <value t="str">
            <val>上櫃半導體</val>
          </value>
          <value t="str">
            <val>台灣MEMS麥克風晶片龍頭</val>
          </value>
        </values>
      </ddeItem>
      <ddeItem name="6679.TW-CName,InvestorConferenceDate,DateofMeetingofShareHolders,TradingDate" advise="1">
        <values cols="4">
          <value t="str">
            <val>鈺太</val>
          </value>
          <value t="str">
            <val>2022/02/15</val>
          </value>
          <value t="str">
            <val>2022/05/05</val>
          </value>
          <value t="str">
            <val>2022/08/01</val>
          </value>
        </values>
      </ddeItem>
      <ddeItem name="6679.TW-ID,Name,MarketValue,Capital,NetIncomeGrowthRate,OperIncomeGrowthRate,FinancialStatementsTime,TFXRatio,MonthlyNetSalesYoY,RevenueMonth" advise="1">
        <values cols="10">
          <value t="str">
            <val>6679</val>
          </value>
          <value t="str">
            <val>鈺太</val>
          </value>
          <value t="str">
            <val>119.3</val>
          </value>
          <value t="str">
            <val>5.48</val>
          </value>
          <value t="str">
            <val>15.72</val>
          </value>
          <value t="str">
            <val>4.05</val>
          </value>
          <value t="str">
            <val>2022/06</val>
          </value>
          <value t="str">
            <val>-7.73</val>
          </value>
          <value t="str">
            <val>-19.80</val>
          </value>
          <value t="str">
            <val>2022/06</val>
          </value>
        </values>
      </ddeItem>
      <ddeItem name="6679.TW-OperatingProfitRatio,Price,PriceChangeRatio,InOutRatioNumber,Value,YearReturn,MonthReturn,WeekReturn,FinanceBalanceDif,ChipsField2" advise="1">
        <values cols="10">
          <value t="str">
            <val>27.93</val>
          </value>
          <value>
            <val>220</val>
          </value>
          <value>
            <val>-6.38</val>
          </value>
          <value t="str">
            <val>28.49%</val>
          </value>
          <value t="str">
            <val>2.02億</val>
          </value>
          <value t="str">
            <val>-38.29</val>
          </value>
          <value t="str">
            <val>+5.52</val>
          </value>
          <value t="str">
            <val>-3.30</val>
          </value>
          <value>
            <val>-99</val>
          </value>
          <value>
            <val>67</val>
          </value>
        </values>
      </ddeItem>
      <ddeItem name="668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2022/06/27</val>
          </value>
          <value t="str">
            <val>1.50</val>
          </value>
          <value>
            <val>3.02</val>
          </value>
          <value t="str">
            <val>2.47</val>
          </value>
          <value t="str">
            <val>0.85</val>
          </value>
          <value t="str">
            <val>鑫創電子</val>
          </value>
          <value t="str">
            <val>上櫃電腦及週邊設備</val>
          </value>
          <value t="str">
            <val>智能交通車載電腦系統製造商</val>
          </value>
        </values>
      </ddeItem>
      <ddeItem name="6680.TW-CName,InvestorConferenceDate,DateofMeetingofShareHolders,TradingDate" advise="1">
        <values cols="4">
          <value t="str">
            <val>鑫創電子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6680.TW-ID,Name,MarketValue,Capital,NetIncomeGrowthRate,OperIncomeGrowthRate,FinancialStatementsTime,TFXRatio,MonthlyNetSalesYoY,RevenueMonth" advise="1">
        <values cols="10">
          <value t="str">
            <val>6680</val>
          </value>
          <value t="str">
            <val>鑫創電子</val>
          </value>
          <value t="str">
            <val>9.5</val>
          </value>
          <value t="str">
            <val>1.91</val>
          </value>
          <value t="str">
            <val>104.27</val>
          </value>
          <value t="str">
            <val>3.16</val>
          </value>
          <value t="str">
            <val>2022/06</val>
          </value>
          <value t="str">
            <val>-20.33</val>
          </value>
          <value t="str">
            <val>26.46</val>
          </value>
          <value t="str">
            <val>2022/06</val>
          </value>
        </values>
      </ddeItem>
      <ddeItem name="6680.TW-OperatingProfitRatio,Price,PriceChangeRatio,InOutRatioNumber,Value,YearReturn,MonthReturn,WeekReturn,FinanceBalanceDif,ChipsField2" advise="1">
        <values cols="10">
          <value t="str">
            <val>7.45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-1.08</val>
          </value>
          <value t="str">
            <val>+1.02</val>
          </value>
          <value t="str">
            <val>+1.43</val>
          </value>
          <value>
            <val>0</val>
          </value>
          <value>
            <val>0</val>
          </value>
        </values>
      </ddeItem>
      <ddeItem name="6683.TW-ChipsField3,ChipsField1,ChipsField25,CashAndStockDividend,CashDividendYieldRate,ProfitFourSeason,ProfitSingle,CName,ExchangeIndustry,CompanyPos" advise="1">
        <values cols="10">
          <value>
            <val>8</val>
          </value>
          <value>
            <val>-3</val>
          </value>
          <value t="str">
            <val>--</val>
          </value>
          <value t="str">
            <val>7.76</val>
          </value>
          <value>
            <val>3.91</val>
          </value>
          <value t="str">
            <val>15.61</val>
          </value>
          <value t="str">
            <val>4.17</val>
          </value>
          <value t="str">
            <val>雍智科技</val>
          </value>
          <value t="str">
            <val>上櫃半導體</val>
          </value>
          <value t="str">
            <val>全球排名第七、台灣第一的IC測試設備材料供應商</val>
          </value>
        </values>
      </ddeItem>
      <ddeItem name="6683.TW-CName,InvestorConferenceDate,DateofMeetingofShareHolders,TradingDate" advise="1">
        <values cols="4">
          <value t="str">
            <val>雍智科技</val>
          </value>
          <value t="str">
            <val>2022/04/07</val>
          </value>
          <value t="str">
            <val>2022/06/27</val>
          </value>
          <value t="str">
            <val>2022/08/01</val>
          </value>
        </values>
      </ddeItem>
      <ddeItem name="6683.TW-ID,Name,MarketValue,Capital,NetIncomeGrowthRate,OperIncomeGrowthRate,FinancialStatementsTime,TFXRatio,MonthlyNetSalesYoY,RevenueMonth" advise="1">
        <values cols="10">
          <value t="str">
            <val>6683</val>
          </value>
          <value t="str">
            <val>雍智科技</val>
          </value>
          <value t="str">
            <val>53.7</val>
          </value>
          <value t="str">
            <val>2.72</val>
          </value>
          <value t="str">
            <val>2.75</val>
          </value>
          <value t="str">
            <val>-14.26</val>
          </value>
          <value t="str">
            <val>2022/03</val>
          </value>
          <value t="str">
            <val>7.85</val>
          </value>
          <value t="str">
            <val>-1.84</val>
          </value>
          <value t="str">
            <val>2022/06</val>
          </value>
        </values>
      </ddeItem>
      <ddeItem name="6683.TW-OperatingProfitRatio,Price,PriceChangeRatio,InOutRatioNumber,Value,YearReturn,MonthReturn,WeekReturn,FinanceBalanceDif,ChipsField2" advise="1">
        <values cols="10">
          <value t="str">
            <val>32.17</val>
          </value>
          <value>
            <val>198.5</val>
          </value>
          <value>
            <val>-4.1100000000000003</val>
          </value>
          <value t="str">
            <val>29.30%</val>
          </value>
          <value t="str">
            <val>1.14億</val>
          </value>
          <value t="str">
            <val>-41.97</val>
          </value>
          <value t="str">
            <val>+6.72</val>
          </value>
          <value t="str">
            <val>+9.67</val>
          </value>
          <value>
            <val>0</val>
          </value>
          <value>
            <val>0</val>
          </value>
        </values>
      </ddeItem>
      <ddeItem name="6684.TW-ChipsField3,ChipsField1,ChipsField25,CashAndStockDividend,CashDividendYieldRate,ProfitFourSeason,ProfitSingle,CName,ExchangeIndustry,CompanyPos" advise="1">
        <values cols="10">
          <value>
            <val>10</val>
          </value>
          <value>
            <val>14</val>
          </value>
          <value t="str">
            <val>2022/07/20</val>
          </value>
          <value t="str">
            <val>5.51</val>
          </value>
          <value>
            <val>9.0299999999999994</val>
          </value>
          <value t="str">
            <val>6.81</val>
          </value>
          <value t="str">
            <val>1.47</val>
          </value>
          <value t="str">
            <val>安格</val>
          </value>
          <value t="str">
            <val>上櫃半導體</val>
          </value>
          <value t="str">
            <val>安國旗下的多媒體視訊轉換控制晶片廠</val>
          </value>
        </values>
      </ddeItem>
      <ddeItem name="6684.TW-CName,InvestorConferenceDate,DateofMeetingofShareHolders,TradingDate" advise="1">
        <values cols="4">
          <value t="str">
            <val>安格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6684.TW-ID,Name,MarketValue,Capital,NetIncomeGrowthRate,OperIncomeGrowthRate,FinancialStatementsTime,TFXRatio,MonthlyNetSalesYoY,RevenueMonth" advise="1">
        <values cols="10">
          <value t="str">
            <val>6684</val>
          </value>
          <value t="str">
            <val>安格</val>
          </value>
          <value t="str">
            <val>16.4</val>
          </value>
          <value t="str">
            <val>2.71</val>
          </value>
          <value t="str">
            <val>27.30</val>
          </value>
          <value t="str">
            <val>27.83</val>
          </value>
          <value t="str">
            <val>2022/03</val>
          </value>
          <value t="str">
            <val>-10.79</val>
          </value>
          <value t="str">
            <val>-24.29</val>
          </value>
          <value t="str">
            <val>2022/06</val>
          </value>
        </values>
      </ddeItem>
      <ddeItem name="6684.TW-OperatingProfitRatio,Price,PriceChangeRatio,InOutRatioNumber,Value,YearReturn,MonthReturn,WeekReturn,FinanceBalanceDif,ChipsField2" advise="1">
        <values cols="10">
          <value t="str">
            <val>28.34</val>
          </value>
          <value>
            <val>61</val>
          </value>
          <value>
            <val>-0.16</val>
          </value>
          <value t="str">
            <val>32.47%</val>
          </value>
          <value t="str">
            <val>469萬</val>
          </value>
          <value t="str">
            <val>--</val>
          </value>
          <value t="str">
            <val>-2.90</val>
          </value>
          <value t="str">
            <val>-8.27</val>
          </value>
          <value>
            <val>0</val>
          </value>
          <value>
            <val>0</val>
          </value>
        </values>
      </ddeItem>
      <ddeItem name="66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2022/05/27</val>
          </value>
          <value t="str">
            <val>3.70</val>
          </value>
          <value>
            <val>3.68</val>
          </value>
          <value t="str">
            <val>6.54</val>
          </value>
          <value t="str">
            <val>1.94</val>
          </value>
          <value t="str">
            <val>安碁資訊</val>
          </value>
          <value t="str">
            <val>上櫃資訊服務</val>
          </value>
          <value t="str">
            <val>宏碁旗下資訊安全管理服務廠</val>
          </value>
        </values>
      </ddeItem>
      <ddeItem name="6690.TW-CName,InvestorConferenceDate,DateofMeetingofShareHolders,TradingDate" advise="1">
        <values cols="4">
          <value t="str">
            <val>安碁資訊</val>
          </value>
          <value t="str">
            <val>2022/04/15</val>
          </value>
          <value t="str">
            <val>2022/05/27</val>
          </value>
          <value t="str">
            <val>2022/08/01</val>
          </value>
        </values>
      </ddeItem>
      <ddeItem name="6690.TW-ID,Name,MarketValue,Capital,NetIncomeGrowthRate,OperIncomeGrowthRate,FinancialStatementsTime,TFXRatio,MonthlyNetSalesYoY,RevenueMonth" advise="1">
        <values cols="10">
          <value t="str">
            <val>6690</val>
          </value>
          <value t="str">
            <val>安碁資訊</val>
          </value>
          <value t="str">
            <val>22.4</val>
          </value>
          <value t="str">
            <val>2.22</val>
          </value>
          <value t="str">
            <val>67.11</val>
          </value>
          <value t="str">
            <val>67.80</val>
          </value>
          <value t="str">
            <val>2022/06</val>
          </value>
          <value t="str">
            <val>14.80</val>
          </value>
          <value t="str">
            <val>59.20</val>
          </value>
          <value t="str">
            <val>2022/06</val>
          </value>
        </values>
      </ddeItem>
      <ddeItem name="6690.TW-OperatingProfitRatio,Price,PriceChangeRatio,InOutRatioNumber,Value,YearReturn,MonthReturn,WeekReturn,FinanceBalanceDif,ChipsField2" advise="1">
        <values cols="10">
          <value t="str">
            <val>10.21</val>
          </value>
          <value>
            <val>100.5</val>
          </value>
          <value>
            <val>-1.47</val>
          </value>
          <value t="str">
            <val>36.00%</val>
          </value>
          <value t="str">
            <val>281萬</val>
          </value>
          <value t="str">
            <val>-0.92</val>
          </value>
          <value t="str">
            <val>+5.79</val>
          </value>
          <value t="str">
            <val>+3.82</val>
          </value>
          <value>
            <val>0</val>
          </value>
          <value>
            <val>0</val>
          </value>
        </values>
      </ddeItem>
      <ddeItem name="669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</val>
          </value>
          <value t="str">
            <val>2022/07/22</val>
          </value>
          <value t="str">
            <val>2.22</val>
          </value>
          <value>
            <val>2.67</val>
          </value>
          <value t="str">
            <val>3.79</val>
          </value>
          <value t="str">
            <val>1.24</val>
          </value>
          <value t="str">
            <val>廣閎科</val>
          </value>
          <value t="str">
            <val>上櫃半導體</val>
          </value>
          <value t="str">
            <val>茂迪轉投資功率半導體元件設計公司</val>
          </value>
        </values>
      </ddeItem>
      <ddeItem name="6693.TW-CName,InvestorConferenceDate,DateofMeetingofShareHolders,TradingDate" advise="1">
        <values cols="4">
          <value t="str">
            <val>廣閎科</val>
          </value>
          <value t="str">
            <val>--</val>
          </value>
          <value t="str">
            <val>2022/06/13</val>
          </value>
          <value t="str">
            <val>2022/08/01</val>
          </value>
        </values>
      </ddeItem>
      <ddeItem name="6693.TW-ID,Name,MarketValue,Capital,NetIncomeGrowthRate,OperIncomeGrowthRate,FinancialStatementsTime,TFXRatio,MonthlyNetSalesYoY,RevenueMonth" advise="1">
        <values cols="10">
          <value t="str">
            <val>6693</val>
          </value>
          <value t="str">
            <val>廣閎科</val>
          </value>
          <value t="str">
            <val>38.0</val>
          </value>
          <value t="str">
            <val>4.57</val>
          </value>
          <value t="str">
            <val>254.43</val>
          </value>
          <value t="str">
            <val>108.27</val>
          </value>
          <value t="str">
            <val>2022/03</val>
          </value>
          <value t="str">
            <val>0.70</val>
          </value>
          <value t="str">
            <val>26.50</val>
          </value>
          <value t="str">
            <val>2022/06</val>
          </value>
        </values>
      </ddeItem>
      <ddeItem name="6693.TW-OperatingProfitRatio,Price,PriceChangeRatio,InOutRatioNumber,Value,YearReturn,MonthReturn,WeekReturn,FinanceBalanceDif,ChipsField2" advise="1">
        <values cols="10">
          <value t="str">
            <val>14.69</val>
          </value>
          <value>
            <val>83.1</val>
          </value>
          <value>
            <val>0.24</val>
          </value>
          <value t="str">
            <val>57.69%</val>
          </value>
          <value t="str">
            <val>216萬</val>
          </value>
          <value t="str">
            <val>--</val>
          </value>
          <value t="str">
            <val>-10.98</val>
          </value>
          <value t="str">
            <val>-1.77</val>
          </value>
          <value>
            <val>0</val>
          </value>
          <value>
            <val>0</val>
          </value>
        </values>
      </ddeItem>
      <ddeItem name="669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2022/07/14</val>
          </value>
          <value t="str">
            <val>2.00</val>
          </value>
          <value>
            <val>5.34</val>
          </value>
          <value t="str">
            <val>2.48</val>
          </value>
          <value t="str">
            <val>0.72</val>
          </value>
          <value t="str">
            <val>東捷資訊</val>
          </value>
          <value t="str">
            <val>上櫃資訊服務</val>
          </value>
          <value t="str">
            <val>東元旗下ERP整合規劃廠</val>
          </value>
        </values>
      </ddeItem>
      <ddeItem name="6697.TW-CName,InvestorConferenceDate,DateofMeetingofShareHolders,TradingDate" advise="1">
        <values cols="4">
          <value t="str">
            <val>東捷資訊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6697.TW-ID,Name,MarketValue,Capital,NetIncomeGrowthRate,OperIncomeGrowthRate,FinancialStatementsTime,TFXRatio,MonthlyNetSalesYoY,RevenueMonth" advise="1">
        <values cols="10">
          <value t="str">
            <val>6697</val>
          </value>
          <value t="str">
            <val>東捷資訊</val>
          </value>
          <value t="str">
            <val>10.2</val>
          </value>
          <value t="str">
            <val>2.73</val>
          </value>
          <value t="str">
            <val>-19.37</val>
          </value>
          <value t="str">
            <val>-26.29</val>
          </value>
          <value t="str">
            <val>2022/03</val>
          </value>
          <value t="str">
            <val>43.21</val>
          </value>
          <value t="str">
            <val>18.07</val>
          </value>
          <value t="str">
            <val>2022/06</val>
          </value>
        </values>
      </ddeItem>
      <ddeItem name="6697.TW-OperatingProfitRatio,Price,PriceChangeRatio,InOutRatioNumber,Value,YearReturn,MonthReturn,WeekReturn,FinanceBalanceDif,ChipsField2" advise="1">
        <values cols="10">
          <value t="str">
            <val>5.08</val>
          </value>
          <value>
            <val>37.450000000000003</val>
          </value>
          <value>
            <val>0.94</val>
          </value>
          <value t="str">
            <val>80.00%</val>
          </value>
          <value t="str">
            <val>56.0萬</val>
          </value>
          <value t="str">
            <val>+2.24</val>
          </value>
          <value t="str">
            <val>+11.80</val>
          </value>
          <value t="str">
            <val>-0.66</val>
          </value>
          <value>
            <val>0</val>
          </value>
          <value>
            <val>0</val>
          </value>
        </values>
      </ddeItem>
      <ddeItem name="67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2022/08/08</val>
          </value>
          <value t="str">
            <val>8.39</val>
          </value>
          <value>
            <val>8.15</val>
          </value>
          <value t="str">
            <val>6.78</val>
          </value>
          <value t="str">
            <val>1.69</val>
          </value>
          <value t="str">
            <val>軒郁</val>
          </value>
          <value t="str">
            <val>上櫃生技醫療</val>
          </value>
          <value t="str">
            <val>銷售以面膜為主的美妝品牌公司</val>
          </value>
        </values>
      </ddeItem>
      <ddeItem name="6703.TW-CName,InvestorConferenceDate,DateofMeetingofShareHolders,TradingDate" advise="1">
        <values cols="4">
          <value t="str">
            <val>軒郁</val>
          </value>
          <value t="str">
            <val>2021/11/04</val>
          </value>
          <value t="str">
            <val>2022/06/17</val>
          </value>
          <value t="str">
            <val>2022/08/01</val>
          </value>
        </values>
      </ddeItem>
      <ddeItem name="6703.TW-ID,Name,MarketValue,Capital,NetIncomeGrowthRate,OperIncomeGrowthRate,FinancialStatementsTime,TFXRatio,MonthlyNetSalesYoY,RevenueMonth" advise="1">
        <values cols="10">
          <value t="str">
            <val>6703</val>
          </value>
          <value t="str">
            <val>軒郁</val>
          </value>
          <value t="str">
            <val>21.4</val>
          </value>
          <value t="str">
            <val>2.13</val>
          </value>
          <value t="str">
            <val>-3.43</val>
          </value>
          <value t="str">
            <val>-11.21</val>
          </value>
          <value t="str">
            <val>2022/03</val>
          </value>
          <value t="str">
            <val>-14.29</val>
          </value>
          <value t="str">
            <val>12.41</val>
          </value>
          <value t="str">
            <val>2022/06</val>
          </value>
        </values>
      </ddeItem>
      <ddeItem name="6703.TW-OperatingProfitRatio,Price,PriceChangeRatio,InOutRatioNumber,Value,YearReturn,MonthReturn,WeekReturn,FinanceBalanceDif,ChipsField2" advise="1">
        <values cols="10">
          <value t="str">
            <val>12.67</val>
          </value>
          <value>
            <val>103</val>
          </value>
          <value>
            <val>0</val>
          </value>
          <value t="str">
            <val>57.14%</val>
          </value>
          <value t="str">
            <val>217萬</val>
          </value>
          <value t="str">
            <val>+6.40</val>
          </value>
          <value t="str">
            <val>+4.36</val>
          </value>
          <value t="str">
            <val>+3.00</val>
          </value>
          <value>
            <val>0</val>
          </value>
          <value>
            <val>0</val>
          </value>
        </values>
      </ddeItem>
      <ddeItem name="6712.TW-ChipsField3,ChipsField1,ChipsField25,CashAndStockDividend,CashDividendYieldRate,ProfitFourSeason,ProfitSingle,CName,ExchangeIndustry,CompanyPos" advise="1">
        <values cols="10">
          <value>
            <val>28</val>
          </value>
          <value>
            <val>-58</val>
          </value>
          <value t="str">
            <val>2022/05/19</val>
          </value>
          <value t="str">
            <val>6.00</val>
          </value>
          <value>
            <val>3.46</val>
          </value>
          <value t="str">
            <val>6.06</val>
          </value>
          <value t="str">
            <val>-0.15</val>
          </value>
          <value t="str">
            <val>長聖</val>
          </value>
          <value t="str">
            <val>上櫃生技醫療</val>
          </value>
          <value t="str">
            <val>專注於細胞療法新藥研發</val>
          </value>
        </values>
      </ddeItem>
      <ddeItem name="6712.TW-CName,InvestorConferenceDate,DateofMeetingofShareHolders,TradingDate" advise="1">
        <values cols="4">
          <value t="str">
            <val>長聖</val>
          </value>
          <value t="str">
            <val>2022/01/06</val>
          </value>
          <value t="str">
            <val>2022/04/21</val>
          </value>
          <value t="str">
            <val>2022/08/01</val>
          </value>
        </values>
      </ddeItem>
      <ddeItem name="6712.TW-ID,Name,MarketValue,Capital,NetIncomeGrowthRate,OperIncomeGrowthRate,FinancialStatementsTime,TFXRatio,MonthlyNetSalesYoY,RevenueMonth" advise="1">
        <values cols="10">
          <value t="str">
            <val>6712</val>
          </value>
          <value t="str">
            <val>長聖</val>
          </value>
          <value t="str">
            <val>118.1</val>
          </value>
          <value t="str">
            <val>6.81</val>
          </value>
          <value t="str">
            <val>31.10</val>
          </value>
          <value t="str">
            <val>450.77</val>
          </value>
          <value t="str">
            <val>2022/03</val>
          </value>
          <value t="str">
            <val>3.52</val>
          </value>
          <value t="str">
            <val>49.33</val>
          </value>
          <value t="str">
            <val>2022/06</val>
          </value>
        </values>
      </ddeItem>
      <ddeItem name="6712.TW-OperatingProfitRatio,Price,PriceChangeRatio,InOutRatioNumber,Value,YearReturn,MonthReturn,WeekReturn,FinanceBalanceDif,ChipsField2" advise="1">
        <values cols="10">
          <value t="str">
            <val>39.95</val>
          </value>
          <value>
            <val>173.5</val>
          </value>
          <value>
            <val>5.15</val>
          </value>
          <value t="str">
            <val>46.95%</val>
          </value>
          <value t="str">
            <val>2.50億</val>
          </value>
          <value t="str">
            <val>-32.96</val>
          </value>
          <value t="str">
            <val>+3.27</val>
          </value>
          <value t="str">
            <val>+4.83</val>
          </value>
          <value>
            <val>-30</val>
          </value>
          <value>
            <val>0</val>
          </value>
        </values>
      </ddeItem>
      <ddeItem name="67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2022/07/01</val>
          </value>
          <value t="str">
            <val>8.50</val>
          </value>
          <value>
            <val>8.85</val>
          </value>
          <value t="str">
            <val>13.10</val>
          </value>
          <value t="str">
            <val>3.37</val>
          </value>
          <value t="str">
            <val>應廣</val>
          </value>
          <value t="str">
            <val>上櫃半導體</val>
          </value>
          <value t="str">
            <val>台灣散熱風扇微控制器龍頭廠</val>
          </value>
        </values>
      </ddeItem>
      <ddeItem name="6716.TW-CName,InvestorConferenceDate,DateofMeetingofShareHolders,TradingDate" advise="1">
        <values cols="4">
          <value t="str">
            <val>應廣</val>
          </value>
          <value t="str">
            <val>2022/08/05</val>
          </value>
          <value t="str">
            <val>2022/05/27</val>
          </value>
          <value t="str">
            <val>2022/08/01</val>
          </value>
        </values>
      </ddeItem>
      <ddeItem name="6716.TW-ID,Name,MarketValue,Capital,NetIncomeGrowthRate,OperIncomeGrowthRate,FinancialStatementsTime,TFXRatio,MonthlyNetSalesYoY,RevenueMonth" advise="1">
        <values cols="10">
          <value t="str">
            <val>6716</val>
          </value>
          <value t="str">
            <val>應廣</val>
          </value>
          <value t="str">
            <val>25.9</val>
          </value>
          <value t="str">
            <val>2.70</val>
          </value>
          <value t="str">
            <val>61.97</val>
          </value>
          <value t="str">
            <val>13.01</val>
          </value>
          <value t="str">
            <val>2022/03</val>
          </value>
          <value t="str">
            <val>-3.57</val>
          </value>
          <value t="str">
            <val>-1.37</val>
          </value>
          <value t="str">
            <val>2022/06</val>
          </value>
        </values>
      </ddeItem>
      <ddeItem name="6716.TW-OperatingProfitRatio,Price,PriceChangeRatio,InOutRatioNumber,Value,YearReturn,MonthReturn,WeekReturn,FinanceBalanceDif,ChipsField2" advise="1">
        <values cols="10">
          <value t="str">
            <val>25.36</val>
          </value>
          <value>
            <val>96</val>
          </value>
          <value>
            <val>-1.34</val>
          </value>
          <value t="str">
            <val>21.43%</val>
          </value>
          <value t="str">
            <val>135萬</val>
          </value>
          <value t="str">
            <val>-47.20</val>
          </value>
          <value t="str">
            <val>+2.45</val>
          </value>
          <value t="str">
            <val>-3.03</val>
          </value>
          <value>
            <val>0</val>
          </value>
          <value>
            <val>0</val>
          </value>
        </values>
      </ddeItem>
      <ddeItem name="67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2022/07/27</val>
          </value>
          <value t="str">
            <val>3.56</val>
          </value>
          <value>
            <val>7.12</val>
          </value>
          <value t="str">
            <val>5.08</val>
          </value>
          <value t="str">
            <val>0.57</val>
          </value>
          <value t="str">
            <val>信實</val>
          </value>
          <value t="str">
            <val>上櫃其他</val>
          </value>
          <value t="str">
            <val>主要為國內交通運輸機構及公家機關提供清潔、機電及保全服務</val>
          </value>
        </values>
      </ddeItem>
      <ddeItem name="6721.TW-CName,InvestorConferenceDate,DateofMeetingofShareHolders,TradingDate" advise="1">
        <values cols="4">
          <value t="str">
            <val>信實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6721.TW-ID,Name,MarketValue,Capital,NetIncomeGrowthRate,OperIncomeGrowthRate,FinancialStatementsTime,TFXRatio,MonthlyNetSalesYoY,RevenueMonth" advise="1">
        <values cols="10">
          <value t="str">
            <val>6721</val>
          </value>
          <value t="str">
            <val>信實</val>
          </value>
          <value t="str">
            <val>11.3</val>
          </value>
          <value t="str">
            <val>2.25</val>
          </value>
          <value t="str">
            <val>-38.53</val>
          </value>
          <value t="str">
            <val>-41.42</val>
          </value>
          <value t="str">
            <val>2022/03</val>
          </value>
          <value t="str">
            <val>-1.24</val>
          </value>
          <value t="str">
            <val>20.94</val>
          </value>
          <value t="str">
            <val>2022/06</val>
          </value>
        </values>
      </ddeItem>
      <ddeItem name="6721.TW-OperatingProfitRatio,Price,PriceChangeRatio,InOutRatioNumber,Value,YearReturn,MonthReturn,WeekReturn,FinanceBalanceDif,ChipsField2" advise="1">
        <values cols="10">
          <value t="str">
            <val>2.26</val>
          </value>
          <value>
            <val>50</val>
          </value>
          <value>
            <val>-0.6</val>
          </value>
          <value t="str">
            <val>26.09%</val>
          </value>
          <value t="str">
            <val>115萬</val>
          </value>
          <value t="str">
            <val>--</val>
          </value>
          <value t="str">
            <val>+3.54</val>
          </value>
          <value t="str">
            <val>+2.74</val>
          </value>
          <value>
            <val>0</val>
          </value>
          <value>
            <val>0</val>
          </value>
        </values>
      </ddeItem>
      <ddeItem name="6727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7</val>
          </value>
          <value t="str">
            <val>2022/07/19</val>
          </value>
          <value t="str">
            <val>3.00</val>
          </value>
          <value>
            <val>4.16</val>
          </value>
          <value t="str">
            <val>8.51</val>
          </value>
          <value t="str">
            <val>3.90</val>
          </value>
          <value t="str">
            <val>亞泰金屬</val>
          </value>
          <value t="str">
            <val>上櫃電子零組件</val>
          </value>
          <value t="str">
            <val>塗佈、含浸等生產設備製造廠</val>
          </value>
        </values>
      </ddeItem>
      <ddeItem name="6727.TW-CName,InvestorConferenceDate,DateofMeetingofShareHolders,TradingDate" advise="1">
        <values cols="4">
          <value t="str">
            <val>亞泰金屬</val>
          </value>
          <value t="str">
            <val>2022/05/11</val>
          </value>
          <value t="str">
            <val>2022/06/21</val>
          </value>
          <value t="str">
            <val>2022/08/01</val>
          </value>
        </values>
      </ddeItem>
      <ddeItem name="6727.TW-ID,Name,MarketValue,Capital,NetIncomeGrowthRate,OperIncomeGrowthRate,FinancialStatementsTime,TFXRatio,MonthlyNetSalesYoY,RevenueMonth" advise="1">
        <values cols="10">
          <value t="str">
            <val>6727</val>
          </value>
          <value t="str">
            <val>亞泰金屬</val>
          </value>
          <value t="str">
            <val>16.3</val>
          </value>
          <value t="str">
            <val>2.26</val>
          </value>
          <value t="str">
            <val>226.69</val>
          </value>
          <value t="str">
            <val>107.41</val>
          </value>
          <value t="str">
            <val>2022/03</val>
          </value>
          <value t="str">
            <val>41.89</val>
          </value>
          <value t="str">
            <val>-29.06</val>
          </value>
          <value t="str">
            <val>2022/06</val>
          </value>
        </values>
      </ddeItem>
      <ddeItem name="6727.TW-OperatingProfitRatio,Price,PriceChangeRatio,InOutRatioNumber,Value,YearReturn,MonthReturn,WeekReturn,FinanceBalanceDif,ChipsField2" advise="1">
        <values cols="10">
          <value t="str">
            <val>16.10</val>
          </value>
          <value>
            <val>72.099999999999994</val>
          </value>
          <value>
            <val>3</val>
          </value>
          <value t="str">
            <val>61.35%</val>
          </value>
          <value t="str">
            <val>1494萬</val>
          </value>
          <value t="str">
            <val>-33.01</val>
          </value>
          <value t="str">
            <val>+21.67</val>
          </value>
          <value t="str">
            <val>+8.91</val>
          </value>
          <value>
            <val>0</val>
          </value>
          <value>
            <val>0</val>
          </value>
        </values>
      </ddeItem>
      <ddeItem name="6728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-7</val>
          </value>
          <value t="str">
            <val>2022/08/24</val>
          </value>
          <value t="str">
            <val>9.00</val>
          </value>
          <value>
            <val>5.54</val>
          </value>
          <value t="str">
            <val>13.94</val>
          </value>
          <value t="str">
            <val>3.72</val>
          </value>
          <value t="str">
            <val>上洋</val>
          </value>
          <value t="str">
            <val>上櫃貿易百貨</val>
          </value>
          <value t="str">
            <val>商用洗衣設備與家電產品代理商</val>
          </value>
        </values>
      </ddeItem>
      <ddeItem name="6728.TW-CName,InvestorConferenceDate,DateofMeetingofShareHolders,TradingDate" advise="1">
        <values cols="4">
          <value t="str">
            <val>上洋</val>
          </value>
          <value t="str">
            <val>2022/05/06</val>
          </value>
          <value t="str">
            <val>2022/06/22</val>
          </value>
          <value t="str">
            <val>2022/08/01</val>
          </value>
        </values>
      </ddeItem>
      <ddeItem name="6728.TW-ID,Name,MarketValue,Capital,NetIncomeGrowthRate,OperIncomeGrowthRate,FinancialStatementsTime,TFXRatio,MonthlyNetSalesYoY,RevenueMonth" advise="1">
        <values cols="10">
          <value t="str">
            <val>6728</val>
          </value>
          <value t="str">
            <val>上洋</val>
          </value>
          <value t="str">
            <val>37.4</val>
          </value>
          <value t="str">
            <val>2.30</val>
          </value>
          <value t="str">
            <val>146.27</val>
          </value>
          <value t="str">
            <val>127.20</val>
          </value>
          <value t="str">
            <val>2022/03</val>
          </value>
          <value t="str">
            <val>5.55</val>
          </value>
          <value t="str">
            <val>54.52</val>
          </value>
          <value t="str">
            <val>2022/06</val>
          </value>
        </values>
      </ddeItem>
      <ddeItem name="6728.TW-OperatingProfitRatio,Price,PriceChangeRatio,InOutRatioNumber,Value,YearReturn,MonthReturn,WeekReturn,FinanceBalanceDif,ChipsField2" advise="1">
        <values cols="10">
          <value t="str">
            <val>18.11</val>
          </value>
          <value>
            <val>162.5</val>
          </value>
          <value>
            <val>1.25</val>
          </value>
          <value t="str">
            <val>77.27%</val>
          </value>
          <value t="str">
            <val>358萬</val>
          </value>
          <value t="str">
            <val>+132.45</val>
          </value>
          <value t="str">
            <val>+19.05</val>
          </value>
          <value t="str">
            <val>+8.33</val>
          </value>
          <value>
            <val>0</val>
          </value>
          <value>
            <val>0</val>
          </value>
        </values>
      </ddeItem>
      <ddeItem name="67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</val>
          </value>
          <value t="str">
            <val>2022/04/21</val>
          </value>
          <value t="str">
            <val>30.00</val>
          </value>
          <value>
            <val>10.51</val>
          </value>
          <value t="str">
            <val>34.86</val>
          </value>
          <value t="str">
            <val>6.93</val>
          </value>
          <value t="str">
            <val>昇佳電子</val>
          </value>
          <value t="str">
            <val>上櫃半導體</val>
          </value>
          <value t="str">
            <val>矽創旗下以感測器為主的IC設計公司</val>
          </value>
        </values>
      </ddeItem>
      <ddeItem name="6732.TW-CName,InvestorConferenceDate,DateofMeetingofShareHolders,TradingDate" advise="1">
        <values cols="4">
          <value t="str">
            <val>昇佳電子</val>
          </value>
          <value t="str">
            <val>2022/02/15</val>
          </value>
          <value t="str">
            <val>2022/06/21</val>
          </value>
          <value t="str">
            <val>2022/08/01</val>
          </value>
        </values>
      </ddeItem>
      <ddeItem name="6732.TW-ID,Name,MarketValue,Capital,NetIncomeGrowthRate,OperIncomeGrowthRate,FinancialStatementsTime,TFXRatio,MonthlyNetSalesYoY,RevenueMonth" advise="1">
        <values cols="10">
          <value t="str">
            <val>6732</val>
          </value>
          <value t="str">
            <val>昇佳電子</val>
          </value>
          <value t="str">
            <val>139.6</val>
          </value>
          <value t="str">
            <val>4.89</val>
          </value>
          <value t="str">
            <val>14.74</val>
          </value>
          <value t="str">
            <val>10.32</val>
          </value>
          <value t="str">
            <val>2022/03</val>
          </value>
          <value t="str">
            <val>-28.95</val>
          </value>
          <value t="str">
            <val>-26.08</val>
          </value>
          <value t="str">
            <val>2022/06</val>
          </value>
        </values>
      </ddeItem>
      <ddeItem name="6732.TW-OperatingProfitRatio,Price,PriceChangeRatio,InOutRatioNumber,Value,YearReturn,MonthReturn,WeekReturn,FinanceBalanceDif,ChipsField2" advise="1">
        <values cols="10">
          <value t="str">
            <val>28.22</val>
          </value>
          <value>
            <val>285.5</val>
          </value>
          <value>
            <val>3.07</val>
          </value>
          <value t="str">
            <val>58.51%</val>
          </value>
          <value t="str">
            <val>5341萬</val>
          </value>
          <value t="str">
            <val>-62.87</val>
          </value>
          <value t="str">
            <val>+9.39</val>
          </value>
          <value t="str">
            <val>+2.33</val>
          </value>
          <value>
            <val>-7</val>
          </value>
          <value>
            <val>0</val>
          </value>
        </values>
      </ddeItem>
      <ddeItem name="67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-1.34</val>
          </value>
          <value t="str">
            <val>-0.43</val>
          </value>
          <value t="str">
            <val>博晟生醫</val>
          </value>
          <value t="str">
            <val>上櫃生技醫療</val>
          </value>
          <value t="str">
            <val>晟德旗下生物性骨材研發廠</val>
          </value>
        </values>
      </ddeItem>
      <ddeItem name="6733.TW-CName,InvestorConferenceDate,DateofMeetingofShareHolders,TradingDate" advise="1">
        <values cols="4">
          <value t="str">
            <val>博晟生醫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6733.TW-ID,Name,MarketValue,Capital,NetIncomeGrowthRate,OperIncomeGrowthRate,FinancialStatementsTime,TFXRatio,MonthlyNetSalesYoY,RevenueMonth" advise="1">
        <values cols="10">
          <value t="str">
            <val>6733</val>
          </value>
          <value t="str">
            <val>博晟生醫</val>
          </value>
          <value t="str">
            <val>22.0</val>
          </value>
          <value t="str">
            <val>10.31</val>
          </value>
          <value t="str">
            <val>-8.01</val>
          </value>
          <value t="str">
            <val>-22.93</val>
          </value>
          <value t="str">
            <val>2022/03</val>
          </value>
          <value t="str">
            <val>28.52</val>
          </value>
          <value t="str">
            <val>539.28</val>
          </value>
          <value t="str">
            <val>2022/06</val>
          </value>
        </values>
      </ddeItem>
      <ddeItem name="6733.TW-OperatingProfitRatio,Price,PriceChangeRatio,InOutRatioNumber,Value,YearReturn,MonthReturn,WeekReturn,FinanceBalanceDif,ChipsField2" advise="1">
        <values cols="10">
          <value t="str">
            <val>-1088.87</val>
          </value>
          <value>
            <val>21.35</val>
          </value>
          <value>
            <val>2.15</val>
          </value>
          <value t="str">
            <val>46.94%</val>
          </value>
          <value t="str">
            <val>208萬</val>
          </value>
          <value t="str">
            <val>-18.04</val>
          </value>
          <value t="str">
            <val>-0.93</val>
          </value>
          <value t="str">
            <val>+1.43</val>
          </value>
          <value>
            <val>0</val>
          </value>
          <value>
            <val>0</val>
          </value>
        </values>
      </ddeItem>
      <ddeItem name="67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2022/06/16</val>
          </value>
          <value t="str">
            <val>3.20</val>
          </value>
          <value>
            <val>4.4400000000000004</val>
          </value>
          <value t="str">
            <val>4.64</val>
          </value>
          <value t="str">
            <val>1.32</val>
          </value>
          <value t="str">
            <val>美達科技</val>
          </value>
          <value t="str">
            <val>上櫃其他電子</val>
          </value>
          <value t="str">
            <val>半導體測試儀器及系統技術開發供應商</val>
          </value>
        </values>
      </ddeItem>
      <ddeItem name="6735.TW-CName,InvestorConferenceDate,DateofMeetingofShareHolders,TradingDate" advise="1">
        <values cols="4">
          <value t="str">
            <val>美達科技</val>
          </value>
          <value t="str">
            <val>--</val>
          </value>
          <value t="str">
            <val>2022/05/30</val>
          </value>
          <value t="str">
            <val>2022/08/01</val>
          </value>
        </values>
      </ddeItem>
      <ddeItem name="6735.TW-ID,Name,MarketValue,Capital,NetIncomeGrowthRate,OperIncomeGrowthRate,FinancialStatementsTime,TFXRatio,MonthlyNetSalesYoY,RevenueMonth" advise="1">
        <values cols="10">
          <value t="str">
            <val>6735</val>
          </value>
          <value t="str">
            <val>美達科技</val>
          </value>
          <value t="str">
            <val>28.7</val>
          </value>
          <value t="str">
            <val>3.99</val>
          </value>
          <value t="str">
            <val>21.60</val>
          </value>
          <value t="str">
            <val>15.79</val>
          </value>
          <value t="str">
            <val>2022/03</val>
          </value>
          <value t="str">
            <val>-21.84</val>
          </value>
          <value t="str">
            <val>23.10</val>
          </value>
          <value t="str">
            <val>2022/06</val>
          </value>
        </values>
      </ddeItem>
      <ddeItem name="6735.TW-OperatingProfitRatio,Price,PriceChangeRatio,InOutRatioNumber,Value,YearReturn,MonthReturn,WeekReturn,FinanceBalanceDif,ChipsField2" advise="1">
        <values cols="10">
          <value t="str">
            <val>39.95</val>
          </value>
          <value>
            <val>72</val>
          </value>
          <value>
            <val>-1.37</val>
          </value>
          <value t="str">
            <val>21.43%</val>
          </value>
          <value t="str">
            <val>202萬</val>
          </value>
          <value t="str">
            <val>--</val>
          </value>
          <value t="str">
            <val>+11.98</val>
          </value>
          <value t="str">
            <val>-3.23</val>
          </value>
          <value>
            <val>0</val>
          </value>
          <value>
            <val>0</val>
          </value>
        </values>
      </ddeItem>
      <ddeItem name="674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16</val>
          </value>
          <value t="str">
            <val>2022/07/20</val>
          </value>
          <value t="str">
            <val>0.49</val>
          </value>
          <value>
            <val>0.46</val>
          </value>
          <value t="str">
            <val>2.73</val>
          </value>
          <value t="str">
            <val>0.55</val>
          </value>
          <value t="str">
            <val>91APP*-KY</val>
          </value>
          <value t="str">
            <val>上櫃電子商務</val>
          </value>
          <value t="str">
            <val>台灣知名虛實融合(OMO)新零售服務商</val>
          </value>
        </values>
      </ddeItem>
      <ddeItem name="6741.TW-CName,InvestorConferenceDate,DateofMeetingofShareHolders,TradingDate" advise="1">
        <values cols="4">
          <value t="str">
            <val>91APP*-KY</val>
          </value>
          <value t="str">
            <val>2021/12/16</val>
          </value>
          <value t="str">
            <val>2022/06/09</val>
          </value>
          <value t="str">
            <val>2022/08/01</val>
          </value>
        </values>
      </ddeItem>
      <ddeItem name="6741.TW-ID,Name,MarketValue,Capital,NetIncomeGrowthRate,OperIncomeGrowthRate,FinancialStatementsTime,TFXRatio,MonthlyNetSalesYoY,RevenueMonth" advise="1">
        <values cols="10">
          <value t="str">
            <val>6741</val>
          </value>
          <value t="str">
            <val>91APP*-KY</val>
          </value>
          <value t="str">
            <val>127.8</val>
          </value>
          <value t="str">
            <val>6.03</val>
          </value>
          <value t="str">
            <val>52.14</val>
          </value>
          <value t="str">
            <val>21.39</val>
          </value>
          <value t="str">
            <val>2022/03</val>
          </value>
          <value t="str">
            <val>1.90</val>
          </value>
          <value t="str">
            <val>4.81</val>
          </value>
          <value t="str">
            <val>2022/06</val>
          </value>
        </values>
      </ddeItem>
      <ddeItem name="6741.TW-OperatingProfitRatio,Price,PriceChangeRatio,InOutRatioNumber,Value,YearReturn,MonthReturn,WeekReturn,FinanceBalanceDif,ChipsField2" advise="1">
        <values cols="10">
          <value t="str">
            <val>28.39</val>
          </value>
          <value>
            <val>106</val>
          </value>
          <value>
            <val>0.95</val>
          </value>
          <value t="str">
            <val>53.25%</val>
          </value>
          <value t="str">
            <val>808萬</val>
          </value>
          <value t="str">
            <val>-71.61</val>
          </value>
          <value t="str">
            <val>-21.14</val>
          </value>
          <value t="str">
            <val>-9.40</val>
          </value>
          <value>
            <val>0</val>
          </value>
          <value>
            <val>0</val>
          </value>
        </values>
      </ddeItem>
      <ddeItem name="67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2022/07/04</val>
          </value>
          <value t="str">
            <val>8.68</val>
          </value>
          <value>
            <val>3.98</val>
          </value>
          <value t="str">
            <val>11.29</val>
          </value>
          <value t="str">
            <val>3.48</val>
          </value>
          <value t="str">
            <val>亨泰光</val>
          </value>
          <value t="str">
            <val>上櫃生技醫療</val>
          </value>
          <value t="str">
            <val>訂製型硬式隱形眼鏡、角膜塑型鏡供應商</val>
          </value>
        </values>
      </ddeItem>
      <ddeItem name="6747.TW-CName,InvestorConferenceDate,DateofMeetingofShareHolders,TradingDate" advise="1">
        <values cols="4">
          <value t="str">
            <val>亨泰光</val>
          </value>
          <value t="str">
            <val>2022/04/13</val>
          </value>
          <value t="str">
            <val>2022/06/14</val>
          </value>
          <value t="str">
            <val>2022/08/01</val>
          </value>
        </values>
      </ddeItem>
      <ddeItem name="6747.TW-ID,Name,MarketValue,Capital,NetIncomeGrowthRate,OperIncomeGrowthRate,FinancialStatementsTime,TFXRatio,MonthlyNetSalesYoY,RevenueMonth" advise="1">
        <values cols="10">
          <value t="str">
            <val>6747</val>
          </value>
          <value t="str">
            <val>亨泰光</val>
          </value>
          <value t="str">
            <val>52.7</val>
          </value>
          <value t="str">
            <val>2.42</val>
          </value>
          <value t="str">
            <val>60.23</val>
          </value>
          <value t="str">
            <val>38.27</val>
          </value>
          <value t="str">
            <val>2022/03</val>
          </value>
          <value t="str">
            <val>-11.86</val>
          </value>
          <value t="str">
            <val>55.61</val>
          </value>
          <value t="str">
            <val>2022/06</val>
          </value>
        </values>
      </ddeItem>
      <ddeItem name="6747.TW-OperatingProfitRatio,Price,PriceChangeRatio,InOutRatioNumber,Value,YearReturn,MonthReturn,WeekReturn,FinanceBalanceDif,ChipsField2" advise="1">
        <values cols="10">
          <value t="str">
            <val>39.65</val>
          </value>
          <value>
            <val>218</val>
          </value>
          <value>
            <val>-0.91</val>
          </value>
          <value t="str">
            <val>20.00%</val>
          </value>
          <value t="str">
            <val>219萬</val>
          </value>
          <value t="str">
            <val>-11.58</val>
          </value>
          <value t="str">
            <val>+3.16</val>
          </value>
          <value t="str">
            <val>+0.69</val>
          </value>
          <value>
            <val>0</val>
          </value>
          <value>
            <val>0</val>
          </value>
        </values>
      </ddeItem>
      <ddeItem name="675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2022/06/28</val>
          </value>
          <value t="str">
            <val>2.10</val>
          </value>
          <value>
            <val>5.13</val>
          </value>
          <value t="str">
            <val>2.51</val>
          </value>
          <value t="str">
            <val>0.57</val>
          </value>
          <value t="str">
            <val>智聯服務</val>
          </value>
          <value t="str">
            <val>上櫃資訊服務</val>
          </value>
          <value t="str">
            <val>宏碁旗下IT規劃整合及服務廠</val>
          </value>
        </values>
      </ddeItem>
      <ddeItem name="6751.TW-CName,InvestorConferenceDate,DateofMeetingofShareHolders,TradingDate" advise="1">
        <values cols="4">
          <value t="str">
            <val>智聯服務</val>
          </value>
          <value t="str">
            <val>2022/04/15</val>
          </value>
          <value t="str">
            <val>2022/06/08</val>
          </value>
          <value t="str">
            <val>2022/08/01</val>
          </value>
        </values>
      </ddeItem>
      <ddeItem name="6751.TW-ID,Name,MarketValue,Capital,NetIncomeGrowthRate,OperIncomeGrowthRate,FinancialStatementsTime,TFXRatio,MonthlyNetSalesYoY,RevenueMonth" advise="1">
        <values cols="10">
          <value t="str">
            <val>6751</val>
          </value>
          <value t="str">
            <val>智聯服務</val>
          </value>
          <value t="str">
            <val>8.2</val>
          </value>
          <value t="str">
            <val>2.00</val>
          </value>
          <value t="str">
            <val>31.37</val>
          </value>
          <value t="str">
            <val>28.00</val>
          </value>
          <value t="str">
            <val>2022/03</val>
          </value>
          <value t="str">
            <val>13.21</val>
          </value>
          <value t="str">
            <val>18.79</val>
          </value>
          <value t="str">
            <val>2022/06</val>
          </value>
        </values>
      </ddeItem>
      <ddeItem name="6751.TW-OperatingProfitRatio,Price,PriceChangeRatio,InOutRatioNumber,Value,YearReturn,MonthReturn,WeekReturn,FinanceBalanceDif,ChipsField2" advise="1">
        <values cols="10">
          <value t="str">
            <val>3.33</val>
          </value>
          <value>
            <val>40.9</val>
          </value>
          <value>
            <val>4.5999999999999996</val>
          </value>
          <value t="str">
            <val>90.62%</val>
          </value>
          <value t="str">
            <val>129萬</val>
          </value>
          <value t="str">
            <val>-32.98</val>
          </value>
          <value t="str">
            <val>+4.87</val>
          </value>
          <value t="str">
            <val>+7.35</val>
          </value>
          <value>
            <val>0</val>
          </value>
          <value>
            <val>0</val>
          </value>
        </values>
      </ddeItem>
      <ddeItem name="675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2022/06/15</val>
          </value>
          <value t="str">
            <val>2.80</val>
          </value>
          <value>
            <val>4.47</val>
          </value>
          <value t="str">
            <val>5.48</val>
          </value>
          <value t="str">
            <val>0.86</val>
          </value>
          <value t="str">
            <val>叡揚資訊</val>
          </value>
          <value t="str">
            <val>上櫃資訊服務</val>
          </value>
          <value t="str">
            <val>企業e化應用軟體開發與服務廠</val>
          </value>
        </values>
      </ddeItem>
      <ddeItem name="6752.TW-CName,InvestorConferenceDate,DateofMeetingofShareHolders,TradingDate" advise="1">
        <values cols="4">
          <value t="str">
            <val>叡揚資訊</val>
          </value>
          <value t="str">
            <val>2022/03/08</val>
          </value>
          <value t="str">
            <val>2022/05/27</val>
          </value>
          <value t="str">
            <val>2022/08/01</val>
          </value>
        </values>
      </ddeItem>
      <ddeItem name="6752.TW-ID,Name,MarketValue,Capital,NetIncomeGrowthRate,OperIncomeGrowthRate,FinancialStatementsTime,TFXRatio,MonthlyNetSalesYoY,RevenueMonth" advise="1">
        <values cols="10">
          <value t="str">
            <val>6752</val>
          </value>
          <value t="str">
            <val>叡揚</val>
          </value>
          <value t="str">
            <val>17.7</val>
          </value>
          <value t="str">
            <val>2.83</val>
          </value>
          <value t="str">
            <val>406.30</val>
          </value>
          <value t="str">
            <val>682.25</val>
          </value>
          <value t="str">
            <val>2022/03</val>
          </value>
          <value t="str">
            <val>6.82</val>
          </value>
          <value t="str">
            <val>17.22</val>
          </value>
          <value t="str">
            <val>2022/06</val>
          </value>
        </values>
      </ddeItem>
      <ddeItem name="6752.TW-OperatingProfitRatio,Price,PriceChangeRatio,InOutRatioNumber,Value,YearReturn,MonthReturn,WeekReturn,FinanceBalanceDif,ChipsField2" advise="1">
        <values cols="10">
          <value t="str">
            <val>8.78</val>
          </value>
          <value>
            <val>62.6</val>
          </value>
          <value>
            <val>-0.63</val>
          </value>
          <value t="str">
            <val>75.00%</val>
          </value>
          <value t="str">
            <val>50.0萬</val>
          </value>
          <value t="str">
            <val>+12.03</val>
          </value>
          <value t="str">
            <val>+13.00</val>
          </value>
          <value t="str">
            <val>+0.81</val>
          </value>
          <value>
            <val>0</val>
          </value>
          <value>
            <val>0</val>
          </value>
        </values>
      </ddeItem>
      <ddeItem name="67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2022/07/14</val>
          </value>
          <value t="str">
            <val>5.80</val>
          </value>
          <value>
            <val>7.31</val>
          </value>
          <value t="str">
            <val>8.65</val>
          </value>
          <value t="str">
            <val>2.03</val>
          </value>
          <value t="str">
            <val>穩得</val>
          </value>
          <value t="str">
            <val>上櫃電子零組件</val>
          </value>
          <value t="str">
            <val>為EMC電磁相容性測試整體解決方案商</val>
          </value>
        </values>
      </ddeItem>
      <ddeItem name="6761.TW-CName,InvestorConferenceDate,DateofMeetingofShareHolders,TradingDate" advise="1">
        <values cols="4">
          <value t="str">
            <val>穩得</val>
          </value>
          <value t="str">
            <val>2021/04/28</val>
          </value>
          <value t="str">
            <val>2022/06/16</val>
          </value>
          <value t="str">
            <val>2022/08/01</val>
          </value>
        </values>
      </ddeItem>
      <ddeItem name="6761.TW-ID,Name,MarketValue,Capital,NetIncomeGrowthRate,OperIncomeGrowthRate,FinancialStatementsTime,TFXRatio,MonthlyNetSalesYoY,RevenueMonth" advise="1">
        <values cols="10">
          <value t="str">
            <val>6761</val>
          </value>
          <value t="str">
            <val>穩得</val>
          </value>
          <value t="str">
            <val>19.0</val>
          </value>
          <value t="str">
            <val>2.39</val>
          </value>
          <value t="str">
            <val>8.97</val>
          </value>
          <value t="str">
            <val>-4.28</val>
          </value>
          <value t="str">
            <val>2022/03</val>
          </value>
          <value t="str">
            <val>-11.30</val>
          </value>
          <value t="str">
            <val>-4.92</val>
          </value>
          <value t="str">
            <val>2022/06</val>
          </value>
        </values>
      </ddeItem>
      <ddeItem name="6761.TW-OperatingProfitRatio,Price,PriceChangeRatio,InOutRatioNumber,Value,YearReturn,MonthReturn,WeekReturn,FinanceBalanceDif,ChipsField2" advise="1">
        <values cols="10">
          <value t="str">
            <val>11.23</val>
          </value>
          <value>
            <val>79.3</val>
          </value>
          <value>
            <val>-0.38</val>
          </value>
          <value t="str">
            <val>25.00%</val>
          </value>
          <value t="str">
            <val>95.2萬</val>
          </value>
          <value t="str">
            <val>--</val>
          </value>
          <value t="str">
            <val>-0.31</val>
          </value>
          <value t="str">
            <val>-2.46</val>
          </value>
          <value>
            <val>0</val>
          </value>
          <value>
            <val>0</val>
          </value>
        </values>
      </ddeItem>
      <ddeItem name="676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</val>
          </value>
          <value t="str">
            <val>2022/06/23</val>
          </value>
          <value t="str">
            <val>5.00</val>
          </value>
          <value>
            <val>2.33</val>
          </value>
          <value t="str">
            <val>5.05</val>
          </value>
          <value t="str">
            <val>1.31</val>
          </value>
          <value t="str">
            <val>達亞</val>
          </value>
          <value t="str">
            <val>上櫃生技醫療</val>
          </value>
          <value t="str">
            <val>益安旗下醫療器材及零組件代工廠</val>
          </value>
        </values>
      </ddeItem>
      <ddeItem name="6762.TW-CName,InvestorConferenceDate,DateofMeetingofShareHolders,TradingDate" advise="1">
        <values cols="4">
          <value t="str">
            <val>達亞</val>
          </value>
          <value t="str">
            <val>2021/10/29</val>
          </value>
          <value t="str">
            <val>2022/07/25</val>
          </value>
          <value t="str">
            <val>2022/08/01</val>
          </value>
        </values>
      </ddeItem>
      <ddeItem name="6762.TW-ID,Name,MarketValue,Capital,NetIncomeGrowthRate,OperIncomeGrowthRate,FinancialStatementsTime,TFXRatio,MonthlyNetSalesYoY,RevenueMonth" advise="1">
        <values cols="10">
          <value t="str">
            <val>6762</val>
          </value>
          <value t="str">
            <val>達亞</val>
          </value>
          <value t="str">
            <val>55.7</val>
          </value>
          <value t="str">
            <val>2.59</val>
          </value>
          <value t="str">
            <val>-20.91</val>
          </value>
          <value t="str">
            <val>-78.66</val>
          </value>
          <value t="str">
            <val>2022/06</val>
          </value>
          <value t="str">
            <val>-10.02</val>
          </value>
          <value t="str">
            <val>-43.56</val>
          </value>
          <value t="str">
            <val>2022/06</val>
          </value>
        </values>
      </ddeItem>
      <ddeItem name="6762.TW-OperatingProfitRatio,Price,PriceChangeRatio,InOutRatioNumber,Value,YearReturn,MonthReturn,WeekReturn,FinanceBalanceDif,ChipsField2" advise="1">
        <values cols="10">
          <value t="str">
            <val>12.41</val>
          </value>
          <value>
            <val>215</val>
          </value>
          <value>
            <val>0.23</val>
          </value>
          <value t="str">
            <val>100.00%</val>
          </value>
          <value t="str">
            <val>170萬</val>
          </value>
          <value t="str">
            <val>-10.91</val>
          </value>
          <value t="str">
            <val>+5.65</val>
          </value>
          <value t="str">
            <val>+1.42</val>
          </value>
          <value>
            <val>0</val>
          </value>
          <value>
            <val>0</val>
          </value>
        </values>
      </ddeItem>
      <ddeItem name="67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2022/07/21</val>
          </value>
          <value t="str">
            <val>8.50</val>
          </value>
          <value>
            <val>3.99</val>
          </value>
          <value t="str">
            <val>22.41</val>
          </value>
          <value t="str">
            <val>4.87</val>
          </value>
          <value t="str">
            <val>綠界科技</val>
          </value>
          <value t="str">
            <val>上櫃電子商務</val>
          </value>
          <value t="str">
            <val>歐買尬旗下第三方支付平台</val>
          </value>
        </values>
      </ddeItem>
      <ddeItem name="6763.TW-CName,InvestorConferenceDate,DateofMeetingofShareHolders,TradingDate" advise="1">
        <values cols="4">
          <value t="str">
            <val>綠界科技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6763.TW-ID,Name,MarketValue,Capital,NetIncomeGrowthRate,OperIncomeGrowthRate,FinancialStatementsTime,TFXRatio,MonthlyNetSalesYoY,RevenueMonth" advise="1">
        <values cols="10">
          <value t="str">
            <val>6763</val>
          </value>
          <value t="str">
            <val>綠界科技</val>
          </value>
          <value t="str">
            <val>72.2</val>
          </value>
          <value t="str">
            <val>1.79</val>
          </value>
          <value t="str">
            <val>9.92</val>
          </value>
          <value t="str">
            <val>8.89</val>
          </value>
          <value t="str">
            <val>2022/03</val>
          </value>
          <value t="str">
            <val>-7.86</val>
          </value>
          <value t="str">
            <val>-10.27</val>
          </value>
          <value t="str">
            <val>2022/06</val>
          </value>
        </values>
      </ddeItem>
      <ddeItem name="6763.TW-OperatingProfitRatio,Price,PriceChangeRatio,InOutRatioNumber,Value,YearReturn,MonthReturn,WeekReturn,FinanceBalanceDif,ChipsField2" advise="1">
        <values cols="10">
          <value t="str">
            <val>25.81</val>
          </value>
          <value>
            <val>403.5</val>
          </value>
          <value>
            <val>-0.37</val>
          </value>
          <value t="str">
            <val>22.22%</val>
          </value>
          <value t="str">
            <val>362萬</val>
          </value>
          <value t="str">
            <val>--</val>
          </value>
          <value t="str">
            <val>+6.04</val>
          </value>
          <value t="str">
            <val>-2.89</val>
          </value>
          <value>
            <val>0</val>
          </value>
          <value>
            <val>0</val>
          </value>
        </values>
      </ddeItem>
      <ddeItem name="67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-1.20</val>
          </value>
          <value t="str">
            <val>-0.33</val>
          </value>
          <value t="str">
            <val>台微醫</val>
          </value>
          <value t="str">
            <val>上櫃生技醫療</val>
          </value>
          <value t="str">
            <val>鐿鈦旗下脊椎融合手術產品供應商</val>
          </value>
        </values>
      </ddeItem>
      <ddeItem name="6767.TW-CName,InvestorConferenceDate,DateofMeetingofShareHolders,TradingDate" advise="1">
        <values cols="4">
          <value t="str">
            <val>台微醫</val>
          </value>
          <value t="str">
            <val>2021/11/26</val>
          </value>
          <value t="str">
            <val>2022/06/17</val>
          </value>
          <value t="str">
            <val>2022/08/01</val>
          </value>
        </values>
      </ddeItem>
      <ddeItem name="6767.TW-ID,Name,MarketValue,Capital,NetIncomeGrowthRate,OperIncomeGrowthRate,FinancialStatementsTime,TFXRatio,MonthlyNetSalesYoY,RevenueMonth" advise="1">
        <values cols="10">
          <value t="str">
            <val>6767</val>
          </value>
          <value t="str">
            <val>台微醫</val>
          </value>
          <value t="str">
            <val>8.6</val>
          </value>
          <value t="str">
            <val>2.91</val>
          </value>
          <value t="str">
            <val>56.59</val>
          </value>
          <value t="str">
            <val>40.28</val>
          </value>
          <value t="str">
            <val>2022/03</val>
          </value>
          <value t="str">
            <val>10.26</val>
          </value>
          <value t="str">
            <val>61.57</val>
          </value>
          <value t="str">
            <val>2022/06</val>
          </value>
        </values>
      </ddeItem>
      <ddeItem name="6767.TW-OperatingProfitRatio,Price,PriceChangeRatio,InOutRatioNumber,Value,YearReturn,MonthReturn,WeekReturn,FinanceBalanceDif,ChipsField2" advise="1">
        <values cols="10">
          <value t="str">
            <val>-17.11</val>
          </value>
          <value>
            <val>29.4</val>
          </value>
          <value>
            <val>-0.17</val>
          </value>
          <value t="str">
            <val>9.09%</val>
          </value>
          <value t="str">
            <val>32.3萬</val>
          </value>
          <value t="str">
            <val>-4.85</val>
          </value>
          <value t="str">
            <val>+0.34</val>
          </value>
          <value t="str">
            <val>-0.17</val>
          </value>
          <value>
            <val>0</val>
          </value>
          <value>
            <val>0</val>
          </value>
        </values>
      </ddeItem>
      <ddeItem name="67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2022/07/12</val>
          </value>
          <value t="str">
            <val>5.00</val>
          </value>
          <value>
            <val>4.95</val>
          </value>
          <value t="str">
            <val>7.71</val>
          </value>
          <value t="str">
            <val>2.03</val>
          </value>
          <value t="str">
            <val>華景電</val>
          </value>
          <value t="str">
            <val>上櫃半導體</val>
          </value>
          <value t="str">
            <val>國內晶圓製程AMC防治設備龍頭</val>
          </value>
        </values>
      </ddeItem>
      <ddeItem name="6788.TW-CName,InvestorConferenceDate,DateofMeetingofShareHolders,TradingDate" advise="1">
        <values cols="4">
          <value t="str">
            <val>華景電</val>
          </value>
          <value t="str">
            <val>2021/08/19</val>
          </value>
          <value t="str">
            <val>2022/06/08</val>
          </value>
          <value t="str">
            <val>2022/08/01</val>
          </value>
        </values>
      </ddeItem>
      <ddeItem name="6788.TW-ID,Name,MarketValue,Capital,NetIncomeGrowthRate,OperIncomeGrowthRate,FinancialStatementsTime,TFXRatio,MonthlyNetSalesYoY,RevenueMonth" advise="1">
        <values cols="10">
          <value t="str">
            <val>6788</val>
          </value>
          <value t="str">
            <val>華景電</val>
          </value>
          <value t="str">
            <val>35.1</val>
          </value>
          <value t="str">
            <val>3.47</val>
          </value>
          <value t="str">
            <val>44.62</val>
          </value>
          <value t="str">
            <val>42.13</val>
          </value>
          <value t="str">
            <val>2022/03</val>
          </value>
          <value t="str">
            <val>-19.67</val>
          </value>
          <value t="str">
            <val>70.94</val>
          </value>
          <value t="str">
            <val>2022/06</val>
          </value>
        </values>
      </ddeItem>
      <ddeItem name="6788.TW-OperatingProfitRatio,Price,PriceChangeRatio,InOutRatioNumber,Value,YearReturn,MonthReturn,WeekReturn,FinanceBalanceDif,ChipsField2" advise="1">
        <values cols="10">
          <value t="str">
            <val>27.94</val>
          </value>
          <value>
            <val>101</val>
          </value>
          <value>
            <val>-1.46</val>
          </value>
          <value t="str">
            <val>37.65%</val>
          </value>
          <value t="str">
            <val>1634萬</val>
          </value>
          <value t="str">
            <val>--</val>
          </value>
          <value t="str">
            <val>-7.14</val>
          </value>
          <value t="str">
            <val>-4.27</val>
          </value>
          <value>
            <val>-13</val>
          </value>
          <value>
            <val>0</val>
          </value>
        </values>
      </ddeItem>
      <ddeItem name="6803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3</val>
          </value>
          <value t="str">
            <val>2022/07/01</val>
          </value>
          <value t="str">
            <val>11.94</val>
          </value>
          <value>
            <val>4.8899999999999997</val>
          </value>
          <value t="str">
            <val>13.76</val>
          </value>
          <value t="str">
            <val>3.78</val>
          </value>
          <value t="str">
            <val>崑鼎</val>
          </value>
          <value t="str">
            <val>上櫃其他</val>
          </value>
          <value t="str">
            <val>隸屬中鼎集團，為台灣最大的廢棄物處理、焚化爐營運公司</val>
          </value>
        </values>
      </ddeItem>
      <ddeItem name="6803.TW-CName,InvestorConferenceDate,DateofMeetingofShareHolders,TradingDate" advise="1">
        <values cols="4">
          <value t="str">
            <val>崑鼎</val>
          </value>
          <value t="str">
            <val>2022/05/27</val>
          </value>
          <value t="str">
            <val>2022/05/26</val>
          </value>
          <value t="str">
            <val>2022/08/01</val>
          </value>
        </values>
      </ddeItem>
      <ddeItem name="6803.TW-ID,Name,MarketValue,Capital,NetIncomeGrowthRate,OperIncomeGrowthRate,FinancialStatementsTime,TFXRatio,MonthlyNetSalesYoY,RevenueMonth" advise="1">
        <values cols="10">
          <value t="str">
            <val>6803</val>
          </value>
          <value t="str">
            <val>崑鼎</val>
          </value>
          <value t="str">
            <val>170.5</val>
          </value>
          <value t="str">
            <val>6.99</val>
          </value>
          <value t="str">
            <val>13.99</val>
          </value>
          <value t="str">
            <val>14.86</val>
          </value>
          <value t="str">
            <val>2022/06</val>
          </value>
          <value t="str">
            <val>5.51</val>
          </value>
          <value t="str">
            <val>21.72</val>
          </value>
          <value t="str">
            <val>2022/06</val>
          </value>
        </values>
      </ddeItem>
      <ddeItem name="6803.TW-OperatingProfitRatio,Price,PriceChangeRatio,InOutRatioNumber,Value,YearReturn,MonthReturn,WeekReturn,FinanceBalanceDif,ChipsField2" advise="1">
        <values cols="10">
          <value t="str">
            <val>21.84</val>
          </value>
          <value>
            <val>244</val>
          </value>
          <value>
            <val>0.21</val>
          </value>
          <value t="str">
            <val>15.49%</val>
          </value>
          <value t="str">
            <val>1777萬</val>
          </value>
          <value t="str">
            <val>+13.45</val>
          </value>
          <value t="str">
            <val>+3.61</val>
          </value>
          <value t="str">
            <val>-1.61</val>
          </value>
          <value>
            <val>0</val>
          </value>
          <value>
            <val>0</val>
          </value>
        </values>
      </ddeItem>
      <ddeItem name="68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2022/07/11</val>
          </value>
          <value t="str">
            <val>0.59</val>
          </value>
          <value>
            <val>1.1599999999999999</val>
          </value>
          <value t="str">
            <val>2.97</val>
          </value>
          <value t="str">
            <val>1.27</val>
          </value>
          <value t="str">
            <val>明係</val>
          </value>
          <value t="str">
            <val>上櫃其他</val>
          </value>
          <value t="str">
            <val>台灣自行車OEM/ODM公司</val>
          </value>
        </values>
      </ddeItem>
      <ddeItem name="6804.TW-CName,InvestorConferenceDate,DateofMeetingofShareHolders,TradingDate" advise="1">
        <values cols="4">
          <value t="str">
            <val>明係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6804.TW-ID,Name,MarketValue,Capital,NetIncomeGrowthRate,OperIncomeGrowthRate,FinancialStatementsTime,TFXRatio,MonthlyNetSalesYoY,RevenueMonth" advise="1">
        <values cols="10">
          <value t="str">
            <val>6804</val>
          </value>
          <value t="str">
            <val>明係</val>
          </value>
          <value t="str">
            <val>15.2</val>
          </value>
          <value t="str">
            <val>3.00</val>
          </value>
          <value t="str">
            <val>711.10</val>
          </value>
          <value t="str">
            <val>312.51</val>
          </value>
          <value t="str">
            <val>2022/03</val>
          </value>
          <value t="str">
            <val>-4.82</val>
          </value>
          <value t="str">
            <val>72.75</val>
          </value>
          <value t="str">
            <val>2022/06</val>
          </value>
        </values>
      </ddeItem>
      <ddeItem name="6804.TW-OperatingProfitRatio,Price,PriceChangeRatio,InOutRatioNumber,Value,YearReturn,MonthReturn,WeekReturn,FinanceBalanceDif,ChipsField2" advise="1">
        <values cols="10">
          <value t="str">
            <val>5.19</val>
          </value>
          <value>
            <val>50.8</val>
          </value>
          <value>
            <val>-0.78</val>
          </value>
          <value t="str">
            <val>0.00%</val>
          </value>
          <value t="str">
            <val>10.2萬</val>
          </value>
          <value t="str">
            <val>--</val>
          </value>
          <value t="str">
            <val>-0.22</val>
          </value>
          <value t="str">
            <val>0.00</val>
          </value>
          <value>
            <val>0</val>
          </value>
          <value>
            <val>0</val>
          </value>
        </values>
      </ddeItem>
      <ddeItem name="6823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15</val>
          </value>
          <value t="str">
            <val>--</val>
          </value>
          <value t="str">
            <val>2.92</val>
          </value>
          <value>
            <val>3.08</val>
          </value>
          <value t="str">
            <val>5.83</val>
          </value>
          <value t="str">
            <val>0.78</val>
          </value>
          <value t="str">
            <val>濾能</val>
          </value>
          <value t="str">
            <val>上櫃半導體</val>
          </value>
          <value t="str">
            <val>國內知名的半導體無塵室AMC解決方案</val>
          </value>
        </values>
      </ddeItem>
      <ddeItem name="6823.TW-CName,InvestorConferenceDate,DateofMeetingofShareHolders,TradingDate" advise="1">
        <values cols="4">
          <value t="str">
            <val>濾能</val>
          </value>
          <value t="str">
            <val>2022/05/18</val>
          </value>
          <value t="str">
            <val>2022/06/24</val>
          </value>
          <value t="str">
            <val>2022/08/01</val>
          </value>
        </values>
      </ddeItem>
      <ddeItem name="6823.TW-ID,Name,MarketValue,Capital,NetIncomeGrowthRate,OperIncomeGrowthRate,FinancialStatementsTime,TFXRatio,MonthlyNetSalesYoY,RevenueMonth" advise="1">
        <values cols="10">
          <value t="str">
            <val>6823</val>
          </value>
          <value t="str">
            <val>濾能</val>
          </value>
          <value t="str">
            <val>19.0</val>
          </value>
          <value t="str">
            <val>2.00</val>
          </value>
          <value t="str">
            <val>91.56</val>
          </value>
          <value t="str">
            <val>66.95</val>
          </value>
          <value t="str">
            <val>2022/03</val>
          </value>
          <value t="str">
            <val>1.00</val>
          </value>
          <value t="str">
            <val>65.53</val>
          </value>
          <value t="str">
            <val>2022/06</val>
          </value>
        </values>
      </ddeItem>
      <ddeItem name="6823.TW-OperatingProfitRatio,Price,PriceChangeRatio,InOutRatioNumber,Value,YearReturn,MonthReturn,WeekReturn,FinanceBalanceDif,ChipsField2" advise="1">
        <values cols="10">
          <value t="str">
            <val>7.12</val>
          </value>
          <value>
            <val>94.8</val>
          </value>
          <value>
            <val>0.42</val>
          </value>
          <value t="str">
            <val>35.71%</val>
          </value>
          <value t="str">
            <val>395萬</val>
          </value>
          <value t="str">
            <val>--</val>
          </value>
          <value t="str">
            <val>+4.98</val>
          </value>
          <value t="str">
            <val>-0.73</val>
          </value>
          <value>
            <val>0</val>
          </value>
          <value>
            <val>0</val>
          </value>
        </values>
      </ddeItem>
      <ddeItem name="68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2022/07/27</val>
          </value>
          <value t="str">
            <val>3.64</val>
          </value>
          <value>
            <val>5.13</val>
          </value>
          <value t="str">
            <val>5.72</val>
          </value>
          <value t="str">
            <val>1.74</val>
          </value>
          <value t="str">
            <val>千附精密</val>
          </value>
          <value t="str">
            <val>上櫃電機機械</val>
          </value>
          <value t="str">
            <val>千附旗下的精密零組件整合製造商</val>
          </value>
        </values>
      </ddeItem>
      <ddeItem name="6829.TW-CName,InvestorConferenceDate,DateofMeetingofShareHolders,TradingDate" advise="1">
        <values cols="4">
          <value t="str">
            <val>千附精密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6829.TW-ID,Name,MarketValue,Capital,NetIncomeGrowthRate,OperIncomeGrowthRate,FinancialStatementsTime,TFXRatio,MonthlyNetSalesYoY,RevenueMonth" advise="1">
        <values cols="10">
          <value t="str">
            <val>6829</val>
          </value>
          <value t="str">
            <val>千附精密</val>
          </value>
          <value t="str">
            <val>42.0</val>
          </value>
          <value t="str">
            <val>5.92</val>
          </value>
          <value t="str">
            <val>94.79</val>
          </value>
          <value t="str">
            <val>67.03</val>
          </value>
          <value t="str">
            <val>2022/03</val>
          </value>
          <value t="str">
            <val>-9.97</val>
          </value>
          <value t="str">
            <val>8.85</val>
          </value>
          <value t="str">
            <val>2022/06</val>
          </value>
        </values>
      </ddeItem>
      <ddeItem name="6829.TW-OperatingProfitRatio,Price,PriceChangeRatio,InOutRatioNumber,Value,YearReturn,MonthReturn,WeekReturn,FinanceBalanceDif,ChipsField2" advise="1">
        <values cols="10">
          <value t="str">
            <val>20.15</val>
          </value>
          <value>
            <val>71</val>
          </value>
          <value>
            <val>0.85</val>
          </value>
          <value t="str">
            <val>50.00%</val>
          </value>
          <value t="str">
            <val>255萬</val>
          </value>
          <value t="str">
            <val>--</val>
          </value>
          <value t="str">
            <val>+7.54</val>
          </value>
          <value t="str">
            <val>+2.67</val>
          </value>
          <value>
            <val>0</val>
          </value>
          <value>
            <val>10</val>
          </value>
        </values>
      </ddeItem>
      <ddeItem name="7402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0</val>
          </value>
          <value t="str">
            <val>--</val>
          </value>
          <value t="str">
            <val>1.50</val>
          </value>
          <value>
            <val>3.19</val>
          </value>
          <value t="str">
            <val>1.59</val>
          </value>
          <value t="str">
            <val>0.18</val>
          </value>
          <value t="str">
            <val>邑錡</val>
          </value>
          <value t="str">
            <val>上櫃光電</val>
          </value>
          <value t="str">
            <val>以「Brinno」為品牌之縮時攝影機供應商</val>
          </value>
        </values>
      </ddeItem>
      <ddeItem name="7402.TW-CName,InvestorConferenceDate,DateofMeetingofShareHolders,TradingDate" advise="1">
        <values cols="4">
          <value t="str">
            <val>邑錡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7402.TW-ID,Name,MarketValue,Capital,NetIncomeGrowthRate,OperIncomeGrowthRate,FinancialStatementsTime,TFXRatio,MonthlyNetSalesYoY,RevenueMonth" advise="1">
        <values cols="10">
          <value t="str">
            <val>7402</val>
          </value>
          <value t="str">
            <val>邑錡</val>
          </value>
          <value t="str">
            <val>11.7</val>
          </value>
          <value t="str">
            <val>2.48</val>
          </value>
          <value t="str">
            <val>7.85</val>
          </value>
          <value t="str">
            <val>-100.10</val>
          </value>
          <value t="str">
            <val>2022/03</val>
          </value>
          <value t="str">
            <val>5.31</val>
          </value>
          <value t="str">
            <val>26.52</val>
          </value>
          <value t="str">
            <val>2022/06</val>
          </value>
        </values>
      </ddeItem>
      <ddeItem name="7402.TW-OperatingProfitRatio,Price,PriceChangeRatio,InOutRatioNumber,Value,YearReturn,MonthReturn,WeekReturn,FinanceBalanceDif,ChipsField2" advise="1">
        <values cols="10">
          <value t="str">
            <val>0.00</val>
          </value>
          <value>
            <val>47</val>
          </value>
          <value>
            <val>0</val>
          </value>
          <value t="str">
            <val>10.53%</val>
          </value>
          <value t="str">
            <val>89.3萬</val>
          </value>
          <value t="str">
            <val>+20.05</val>
          </value>
          <value t="str">
            <val>-8.56</val>
          </value>
          <value t="str">
            <val>-0.42</val>
          </value>
          <value>
            <val>0</val>
          </value>
          <value>
            <val>0</val>
          </value>
        </values>
      </ddeItem>
      <ddeItem name="75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2022/07/15</val>
          </value>
          <value t="str">
            <val>2.80</val>
          </value>
          <value>
            <val>2.33</val>
          </value>
          <value t="str">
            <val>5.03</val>
          </value>
          <value t="str">
            <val>1.31</val>
          </value>
          <value t="str">
            <val>意德士</val>
          </value>
          <value t="str">
            <val>上櫃半導體</val>
          </value>
          <value t="str">
            <val>半導體設備耗材供應商</val>
          </value>
        </values>
      </ddeItem>
      <ddeItem name="7556.TW-CName,InvestorConferenceDate,DateofMeetingofShareHolders,TradingDate" advise="1">
        <values cols="4">
          <value t="str">
            <val>意德士</val>
          </value>
          <value t="str">
            <val>2022/07/26</val>
          </value>
          <value t="str">
            <val>2022/06/08</val>
          </value>
          <value t="str">
            <val>2022/08/01</val>
          </value>
        </values>
      </ddeItem>
      <ddeItem name="7556.TW-ID,Name,MarketValue,Capital,NetIncomeGrowthRate,OperIncomeGrowthRate,FinancialStatementsTime,TFXRatio,MonthlyNetSalesYoY,RevenueMonth" advise="1">
        <values cols="10">
          <value t="str">
            <val>7556</val>
          </value>
          <value t="str">
            <val>意德士</val>
          </value>
          <value t="str">
            <val>27.5</val>
          </value>
          <value t="str">
            <val>2.29</val>
          </value>
          <value t="str">
            <val>38.97</val>
          </value>
          <value t="str">
            <val>29.42</val>
          </value>
          <value t="str">
            <val>2022/03</val>
          </value>
          <value t="str">
            <val>-18.49</val>
          </value>
          <value t="str">
            <val>4.20</val>
          </value>
          <value t="str">
            <val>2022/06</val>
          </value>
        </values>
      </ddeItem>
      <ddeItem name="7556.TW-OperatingProfitRatio,Price,PriceChangeRatio,InOutRatioNumber,Value,YearReturn,MonthReturn,WeekReturn,FinanceBalanceDif,ChipsField2" advise="1">
        <values cols="10">
          <value t="str">
            <val>25.68</val>
          </value>
          <value>
            <val>120</val>
          </value>
          <value>
            <val>0.84</val>
          </value>
          <value t="str">
            <val>60.00%</val>
          </value>
          <value t="str">
            <val>239萬</val>
          </value>
          <value t="str">
            <val>+0.47</val>
          </value>
          <value t="str">
            <val>+9.41</val>
          </value>
          <value t="str">
            <val>+2.56</val>
          </value>
          <value>
            <val>0</val>
          </value>
          <value>
            <val>0</val>
          </value>
        </values>
      </ddeItem>
      <ddeItem name="80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42</val>
          </value>
          <value t="str">
            <val>2022/07/04</val>
          </value>
          <value t="str">
            <val>1.40</val>
          </value>
          <value>
            <val>6.57</val>
          </value>
          <value t="str">
            <val>2.27</val>
          </value>
          <value t="str">
            <val>0.64</val>
          </value>
          <value t="str">
            <val>佑華</val>
          </value>
          <value t="str">
            <val>上櫃半導體</val>
          </value>
          <value t="str">
            <val>玩具語音IC與MCU生產商</val>
          </value>
        </values>
      </ddeItem>
      <ddeItem name="8024.TW-CName,InvestorConferenceDate,DateofMeetingofShareHolders,TradingDate" advise="1">
        <values cols="4">
          <value t="str">
            <val>佑華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8024.TW-ID,Name,MarketValue,Capital,NetIncomeGrowthRate,OperIncomeGrowthRate,FinancialStatementsTime,TFXRatio,MonthlyNetSalesYoY,RevenueMonth" advise="1">
        <values cols="10">
          <value t="str">
            <val>8024</val>
          </value>
          <value t="str">
            <val>佑華</val>
          </value>
          <value t="str">
            <val>9.6</val>
          </value>
          <value t="str">
            <val>4.52</val>
          </value>
          <value t="str">
            <val>1102.70</val>
          </value>
          <value t="str">
            <val>906.26</val>
          </value>
          <value t="str">
            <val>2022/03</val>
          </value>
          <value t="str">
            <val>11.78</val>
          </value>
          <value t="str">
            <val>-14.90</val>
          </value>
          <value t="str">
            <val>2022/06</val>
          </value>
        </values>
      </ddeItem>
      <ddeItem name="8024.TW-OperatingProfitRatio,Price,PriceChangeRatio,InOutRatioNumber,Value,YearReturn,MonthReturn,WeekReturn,FinanceBalanceDif,ChipsField2" advise="1">
        <values cols="10">
          <value t="str">
            <val>15.24</val>
          </value>
          <value>
            <val>21.3</val>
          </value>
          <value>
            <val>1.19</val>
          </value>
          <value t="str">
            <val>56.52%</val>
          </value>
          <value t="str">
            <val>197萬</val>
          </value>
          <value t="str">
            <val>-23.87</val>
          </value>
          <value t="str">
            <val>+18.01</val>
          </value>
          <value t="str">
            <val>+2.40</val>
          </value>
          <value>
            <val>-18</val>
          </value>
          <value>
            <val>0</val>
          </value>
        </values>
      </ddeItem>
      <ddeItem name="8027.TW-ChipsField3,ChipsField1,ChipsField25,CashAndStockDividend,CashDividendYieldRate,ProfitFourSeason,ProfitSingle,CName,ExchangeIndustry,CompanyPos" advise="1">
        <values cols="10">
          <value>
            <val>7</val>
          </value>
          <value>
            <val>152</val>
          </value>
          <value t="str">
            <val>2022/06/21</val>
          </value>
          <value t="str">
            <val>1.59</val>
          </value>
          <value>
            <val>2.36</val>
          </value>
          <value t="str">
            <val>2.90</val>
          </value>
          <value t="str">
            <val>1.18</val>
          </value>
          <value t="str">
            <val>鈦昇</val>
          </value>
          <value t="str">
            <val>上櫃電機機械</val>
          </value>
          <value t="str">
            <val>專業於半導體、主機板、高階基板材料等設備廠商</val>
          </value>
        </values>
      </ddeItem>
      <ddeItem name="8027.TW-CName,InvestorConferenceDate,DateofMeetingofShareHolders,TradingDate" advise="1">
        <values cols="4">
          <value t="str">
            <val>鈦昇</val>
          </value>
          <value t="str">
            <val>2022/05/06</val>
          </value>
          <value t="str">
            <val>2022/06/16</val>
          </value>
          <value t="str">
            <val>2022/08/01</val>
          </value>
        </values>
      </ddeItem>
      <ddeItem name="8027.TW-ID,Name,MarketValue,Capital,NetIncomeGrowthRate,OperIncomeGrowthRate,FinancialStatementsTime,TFXRatio,MonthlyNetSalesYoY,RevenueMonth" advise="1">
        <values cols="10">
          <value t="str">
            <val>8027</val>
          </value>
          <value t="str">
            <val>鈦昇</val>
          </value>
          <value t="str">
            <val>67.4</val>
          </value>
          <value t="str">
            <val>10.01</val>
          </value>
          <value t="str">
            <val>35.85</val>
          </value>
          <value t="str">
            <val>20.08</val>
          </value>
          <value t="str">
            <val>2022/03</val>
          </value>
          <value t="str">
            <val>-4.49</val>
          </value>
          <value t="str">
            <val>17.62</val>
          </value>
          <value t="str">
            <val>2022/06</val>
          </value>
        </values>
      </ddeItem>
      <ddeItem name="8027.TW-OperatingProfitRatio,Price,PriceChangeRatio,InOutRatioNumber,Value,YearReturn,MonthReturn,WeekReturn,FinanceBalanceDif,ChipsField2" advise="1">
        <values cols="10">
          <value t="str">
            <val>13.89</val>
          </value>
          <value>
            <val>67.3</val>
          </value>
          <value>
            <val>0.15</val>
          </value>
          <value t="str">
            <val>40.51%</val>
          </value>
          <value t="str">
            <val>1464萬</val>
          </value>
          <value t="str">
            <val>-0.23</val>
          </value>
          <value t="str">
            <val>+4.99</val>
          </value>
          <value t="str">
            <val>+0.45</val>
          </value>
          <value>
            <val>4</val>
          </value>
          <value>
            <val>0</val>
          </value>
        </values>
      </ddeItem>
      <ddeItem name="80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191</val>
          </value>
          <value t="str">
            <val>--</val>
          </value>
          <value t="str">
            <val>1.80</val>
          </value>
          <value>
            <val>5.13</val>
          </value>
          <value t="str">
            <val>3.51</val>
          </value>
          <value t="str">
            <val>1.04</val>
          </value>
          <value t="str">
            <val>光菱</val>
          </value>
          <value t="str">
            <val>上櫃電子通路</val>
          </value>
          <value t="str">
            <val>瑞薩、三菱等日系原廠產品在台代理商</val>
          </value>
        </values>
      </ddeItem>
      <ddeItem name="8032.TW-CName,InvestorConferenceDate,DateofMeetingofShareHolders,TradingDate" advise="1">
        <values cols="4">
          <value t="str">
            <val>光菱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8032.TW-ID,Name,MarketValue,Capital,NetIncomeGrowthRate,OperIncomeGrowthRate,FinancialStatementsTime,TFXRatio,MonthlyNetSalesYoY,RevenueMonth" advise="1">
        <values cols="10">
          <value t="str">
            <val>8032</val>
          </value>
          <value t="str">
            <val>光菱</val>
          </value>
          <value t="str">
            <val>18.2</val>
          </value>
          <value t="str">
            <val>5.18</val>
          </value>
          <value t="str">
            <val>136.14</val>
          </value>
          <value t="str">
            <val>95.66</val>
          </value>
          <value t="str">
            <val>2022/03</val>
          </value>
          <value t="str">
            <val>3.87</val>
          </value>
          <value t="str">
            <val>30.17</val>
          </value>
          <value t="str">
            <val>2022/06</val>
          </value>
        </values>
      </ddeItem>
      <ddeItem name="8032.TW-OperatingProfitRatio,Price,PriceChangeRatio,InOutRatioNumber,Value,YearReturn,MonthReturn,WeekReturn,FinanceBalanceDif,ChipsField2" advise="1">
        <values cols="10">
          <value t="str">
            <val>6.05</val>
          </value>
          <value>
            <val>35.1</val>
          </value>
          <value>
            <val>0.28999999999999998</val>
          </value>
          <value t="str">
            <val>38.50%</val>
          </value>
          <value t="str">
            <val>7501萬</val>
          </value>
          <value t="str">
            <val>+52.40</val>
          </value>
          <value t="str">
            <val>+25.81</val>
          </value>
          <value t="str">
            <val>+12.50</val>
          </value>
          <value>
            <val>62</val>
          </value>
          <value>
            <val>0</val>
          </value>
        </values>
      </ddeItem>
      <ddeItem name="80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40</val>
          </value>
          <value t="str">
            <val>2022/06/14</val>
          </value>
          <value t="str">
            <val>1.00</val>
          </value>
          <value>
            <val>6.51</val>
          </value>
          <value t="str">
            <val>1.43</val>
          </value>
          <value t="str">
            <val>0.02</val>
          </value>
          <value t="str">
            <val>榮群</val>
          </value>
          <value t="str">
            <val>上櫃通信網路</val>
          </value>
          <value t="str">
            <val>台灣網路接取設備製造商</val>
          </value>
        </values>
      </ddeItem>
      <ddeItem name="8034.TW-CName,InvestorConferenceDate,DateofMeetingofShareHolders,TradingDate" advise="1">
        <values cols="4">
          <value t="str">
            <val>榮群</val>
          </value>
          <value t="str">
            <val>2021/12/27</val>
          </value>
          <value t="str">
            <val>2022/05/27</val>
          </value>
          <value t="str">
            <val>2022/08/01</val>
          </value>
        </values>
      </ddeItem>
      <ddeItem name="8034.TW-ID,Name,MarketValue,Capital,NetIncomeGrowthRate,OperIncomeGrowthRate,FinancialStatementsTime,TFXRatio,MonthlyNetSalesYoY,RevenueMonth" advise="1">
        <values cols="10">
          <value t="str">
            <val>8034</val>
          </value>
          <value t="str">
            <val>榮群</val>
          </value>
          <value t="str">
            <val>9.7</val>
          </value>
          <value t="str">
            <val>6.29</val>
          </value>
          <value t="str">
            <val>115.60</val>
          </value>
          <value t="str">
            <val>80.53</val>
          </value>
          <value t="str">
            <val>2022/03</val>
          </value>
          <value t="str">
            <val>39.58</val>
          </value>
          <value t="str">
            <val>125.12</val>
          </value>
          <value t="str">
            <val>2022/06</val>
          </value>
        </values>
      </ddeItem>
      <ddeItem name="8034.TW-OperatingProfitRatio,Price,PriceChangeRatio,InOutRatioNumber,Value,YearReturn,MonthReturn,WeekReturn,FinanceBalanceDif,ChipsField2" advise="1">
        <values cols="10">
          <value t="str">
            <val>-3.20</val>
          </value>
          <value>
            <val>15.35</val>
          </value>
          <value>
            <val>-2.54</val>
          </value>
          <value t="str">
            <val>36.14%</val>
          </value>
          <value t="str">
            <val>1580萬</val>
          </value>
          <value t="str">
            <val>+0.15</val>
          </value>
          <value t="str">
            <val>+11.23</val>
          </value>
          <value t="str">
            <val>+10.43</val>
          </value>
          <value>
            <val>87</val>
          </value>
          <value>
            <val>0</val>
          </value>
        </values>
      </ddeItem>
      <ddeItem name="80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34</val>
          </value>
          <value t="str">
            <val>--</val>
          </value>
          <value t="str">
            <val>0.00</val>
          </value>
          <value>
            <val>0</val>
          </value>
          <value t="str">
            <val>-1.68</val>
          </value>
          <value t="str">
            <val>-0.13</val>
          </value>
          <value t="str">
            <val>長園科</val>
          </value>
          <value t="str">
            <val>上櫃電子零組件</val>
          </value>
          <value t="str">
            <val>氧化鋰鐵電池模組系統應用生產商</val>
          </value>
        </values>
      </ddeItem>
      <ddeItem name="8038.TW-CName,InvestorConferenceDate,DateofMeetingofShareHolders,TradingDate" advise="1">
        <values cols="4">
          <value t="str">
            <val>長園科</val>
          </value>
          <value t="str">
            <val>2021/11/30</val>
          </value>
          <value t="str">
            <val>2022/06/09</val>
          </value>
          <value t="str">
            <val>2022/08/01</val>
          </value>
        </values>
      </ddeItem>
      <ddeItem name="8038.TW-ID,Name,MarketValue,Capital,NetIncomeGrowthRate,OperIncomeGrowthRate,FinancialStatementsTime,TFXRatio,MonthlyNetSalesYoY,RevenueMonth" advise="1">
        <values cols="10">
          <value t="str">
            <val>8038</val>
          </value>
          <value t="str">
            <val>長園科</val>
          </value>
          <value t="str">
            <val>23.6</val>
          </value>
          <value t="str">
            <val>5.99</val>
          </value>
          <value t="str">
            <val>71.29</val>
          </value>
          <value t="str">
            <val>67.85</val>
          </value>
          <value t="str">
            <val>2022/03</val>
          </value>
          <value t="str">
            <val>-62.67</val>
          </value>
          <value t="str">
            <val>131.43</val>
          </value>
          <value t="str">
            <val>2022/06</val>
          </value>
        </values>
      </ddeItem>
      <ddeItem name="8038.TW-OperatingProfitRatio,Price,PriceChangeRatio,InOutRatioNumber,Value,YearReturn,MonthReturn,WeekReturn,FinanceBalanceDif,ChipsField2" advise="1">
        <values cols="10">
          <value t="str">
            <val>-58.27</val>
          </value>
          <value>
            <val>39.35</val>
          </value>
          <value>
            <val>1.68</val>
          </value>
          <value t="str">
            <val>60.00%</val>
          </value>
          <value t="str">
            <val>336萬</val>
          </value>
          <value t="str">
            <val>+9.31</val>
          </value>
          <value t="str">
            <val>+6.21</val>
          </value>
          <value t="str">
            <val>+0.64</val>
          </value>
          <value>
            <val>0</val>
          </value>
          <value>
            <val>0</val>
          </value>
        </values>
      </ddeItem>
      <ddeItem name="80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134</val>
          </value>
          <value t="str">
            <val>2022/07/01</val>
          </value>
          <value t="str">
            <val>0.60</val>
          </value>
          <value>
            <val>1.41</val>
          </value>
          <value t="str">
            <val>1.33</val>
          </value>
          <value t="str">
            <val>0.12</val>
          </value>
          <value t="str">
            <val>九暘</val>
          </value>
          <value t="str">
            <val>上櫃半導體</val>
          </value>
          <value t="str">
            <val>台灣前二大乙太網路IC供應商</val>
          </value>
        </values>
      </ddeItem>
      <ddeItem name="8040.TW-CName,InvestorConferenceDate,DateofMeetingofShareHolders,TradingDate" advise="1">
        <values cols="4">
          <value t="str">
            <val>九暘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8040.TW-ID,Name,MarketValue,Capital,NetIncomeGrowthRate,OperIncomeGrowthRate,FinancialStatementsTime,TFXRatio,MonthlyNetSalesYoY,RevenueMonth" advise="1">
        <values cols="10">
          <value t="str">
            <val>8040</val>
          </value>
          <value t="str">
            <val>九暘</val>
          </value>
          <value t="str">
            <val>29.2</val>
          </value>
          <value t="str">
            <val>6.89</val>
          </value>
          <value t="str">
            <val>139.45</val>
          </value>
          <value t="str">
            <val>237.82</val>
          </value>
          <value t="str">
            <val>2022/03</val>
          </value>
          <value t="str">
            <val>6.18</val>
          </value>
          <value t="str">
            <val>3.83</val>
          </value>
          <value t="str">
            <val>2022/06</val>
          </value>
        </values>
      </ddeItem>
      <ddeItem name="8040.TW-OperatingProfitRatio,Price,PriceChangeRatio,InOutRatioNumber,Value,YearReturn,MonthReturn,WeekReturn,FinanceBalanceDif,ChipsField2" advise="1">
        <values cols="10">
          <value t="str">
            <val>13.01</val>
          </value>
          <value>
            <val>42.45</val>
          </value>
          <value>
            <val>-0.7</val>
          </value>
          <value t="str">
            <val>36.79%</val>
          </value>
          <value t="str">
            <val>468萬</val>
          </value>
          <value t="str">
            <val>-36.17</val>
          </value>
          <value t="str">
            <val>+11.56</val>
          </value>
          <value t="str">
            <val>-2.64</val>
          </value>
          <value>
            <val>-32</val>
          </value>
          <value>
            <val>0</val>
          </value>
        </values>
      </ddeItem>
      <ddeItem name="80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2022/07/07</val>
          </value>
          <value t="str">
            <val>1.00</val>
          </value>
          <value>
            <val>2.82</val>
          </value>
          <value t="str">
            <val>1.76</val>
          </value>
          <value t="str">
            <val>0.56</val>
          </value>
          <value t="str">
            <val>金山電</val>
          </value>
          <value t="str">
            <val>上櫃電子零組件</val>
          </value>
          <value t="str">
            <val>MB、SPS、CRT用之鋁質電解電容器大廠</val>
          </value>
        </values>
      </ddeItem>
      <ddeItem name="8042.TW-CName,InvestorConferenceDate,DateofMeetingofShareHolders,TradingDate" advise="1">
        <values cols="4">
          <value t="str">
            <val>金山電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8042.TW-ID,Name,MarketValue,Capital,NetIncomeGrowthRate,OperIncomeGrowthRate,FinancialStatementsTime,TFXRatio,MonthlyNetSalesYoY,RevenueMonth" advise="1">
        <values cols="10">
          <value t="str">
            <val>8042</val>
          </value>
          <value t="str">
            <val>金山電</val>
          </value>
          <value t="str">
            <val>45.8</val>
          </value>
          <value t="str">
            <val>12.95</val>
          </value>
          <value t="str">
            <val>876.84</val>
          </value>
          <value t="str">
            <val>87.26</val>
          </value>
          <value t="str">
            <val>2022/03</val>
          </value>
          <value t="str">
            <val>-12.14</val>
          </value>
          <value t="str">
            <val>-25.39</val>
          </value>
          <value t="str">
            <val>2022/06</val>
          </value>
        </values>
      </ddeItem>
      <ddeItem name="8042.TW-OperatingProfitRatio,Price,PriceChangeRatio,InOutRatioNumber,Value,YearReturn,MonthReturn,WeekReturn,FinanceBalanceDif,ChipsField2" advise="1">
        <values cols="10">
          <value t="str">
            <val>2.33</val>
          </value>
          <value>
            <val>35.4</val>
          </value>
          <value>
            <val>0.14000000000000001</val>
          </value>
          <value t="str">
            <val>33.33%</val>
          </value>
          <value t="str">
            <val>21.2萬</val>
          </value>
          <value t="str">
            <val>-22.06</val>
          </value>
          <value t="str">
            <val>-1.32</val>
          </value>
          <value t="str">
            <val>-0.14</val>
          </value>
          <value>
            <val>1</val>
          </value>
          <value>
            <val>0</val>
          </value>
        </values>
      </ddeItem>
      <ddeItem name="80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</val>
          </value>
          <value t="str">
            <val>2022/08/16</val>
          </value>
          <value t="str">
            <val>1.00</val>
          </value>
          <value>
            <val>3.95</val>
          </value>
          <value t="str">
            <val>1.86</val>
          </value>
          <value t="str">
            <val>0.70</val>
          </value>
          <value t="str">
            <val>蜜望實</val>
          </value>
          <value t="str">
            <val>上櫃電子零組件</val>
          </value>
          <value t="str">
            <val>太陽誘電在台MLCC代理商</val>
          </value>
        </values>
      </ddeItem>
      <ddeItem name="8043.TW-CName,InvestorConferenceDate,DateofMeetingofShareHolders,TradingDate" advise="1">
        <values cols="4">
          <value t="str">
            <val>蜜望實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8043.TW-ID,Name,MarketValue,Capital,NetIncomeGrowthRate,OperIncomeGrowthRate,FinancialStatementsTime,TFXRatio,MonthlyNetSalesYoY,RevenueMonth" advise="1">
        <values cols="10">
          <value t="str">
            <val>8043</val>
          </value>
          <value t="str">
            <val>蜜望實</val>
          </value>
          <value t="str">
            <val>20.2</val>
          </value>
          <value t="str">
            <val>7.99</val>
          </value>
          <value t="str">
            <val>15.45</val>
          </value>
          <value t="str">
            <val>78.41</val>
          </value>
          <value t="str">
            <val>2022/03</val>
          </value>
          <value t="str">
            <val>-7.77</val>
          </value>
          <value t="str">
            <val>-0.93</val>
          </value>
          <value t="str">
            <val>2022/06</val>
          </value>
        </values>
      </ddeItem>
      <ddeItem name="8043.TW-OperatingProfitRatio,Price,PriceChangeRatio,InOutRatioNumber,Value,YearReturn,MonthReturn,WeekReturn,FinanceBalanceDif,ChipsField2" advise="1">
        <values cols="10">
          <value t="str">
            <val>1.80</val>
          </value>
          <value>
            <val>25.3</val>
          </value>
          <value>
            <val>0</val>
          </value>
          <value t="str">
            <val>50.00%</val>
          </value>
          <value t="str">
            <val>149萬</val>
          </value>
          <value t="str">
            <val>-17.76</val>
          </value>
          <value t="str">
            <val>+14.22</val>
          </value>
          <value t="str">
            <val>-2.50</val>
          </value>
          <value>
            <val>-9</val>
          </value>
          <value>
            <val>0</val>
          </value>
        </values>
      </ddeItem>
      <ddeItem name="8044.TW-ChipsField3,ChipsField1,ChipsField25,CashAndStockDividend,CashDividendYieldRate,ProfitFourSeason,ProfitSingle,CName,ExchangeIndustry,CompanyPos" advise="1">
        <values cols="10">
          <value>
            <val>8</val>
          </value>
          <value>
            <val>-190</val>
          </value>
          <value t="str">
            <val>2022/07/26</val>
          </value>
          <value t="str">
            <val>0.51</val>
          </value>
          <value>
            <val>0.85</val>
          </value>
          <value t="str">
            <val>-0.60</val>
          </value>
          <value t="str">
            <val>-0.25</val>
          </value>
          <value t="str">
            <val>網家</val>
          </value>
          <value t="str">
            <val>上櫃電子商務</val>
          </value>
          <value t="str">
            <val>台灣最大的電子商務集團</val>
          </value>
        </values>
      </ddeItem>
      <ddeItem name="8044.TW-CName,InvestorConferenceDate,DateofMeetingofShareHolders,TradingDate" advise="1">
        <values cols="4">
          <value t="str">
            <val>網家</val>
          </value>
          <value t="str">
            <val>2021/03/18</val>
          </value>
          <value t="str">
            <val>2022/06/22</val>
          </value>
          <value t="str">
            <val>2022/08/01</val>
          </value>
        </values>
      </ddeItem>
      <ddeItem name="8044.TW-ID,Name,MarketValue,Capital,NetIncomeGrowthRate,OperIncomeGrowthRate,FinancialStatementsTime,TFXRatio,MonthlyNetSalesYoY,RevenueMonth" advise="1">
        <values cols="10">
          <value t="str">
            <val>8044</val>
          </value>
          <value t="str">
            <val>網家</val>
          </value>
          <value t="str">
            <val>77.0</val>
          </value>
          <value t="str">
            <val>12.85</val>
          </value>
          <value t="str">
            <val>-121.53</val>
          </value>
          <value t="str">
            <val>-99.16</val>
          </value>
          <value t="str">
            <val>2022/03</val>
          </value>
          <value t="str">
            <val>-1.21</val>
          </value>
          <value t="str">
            <val>-9.93</val>
          </value>
          <value t="str">
            <val>2022/06</val>
          </value>
        </values>
      </ddeItem>
      <ddeItem name="8044.TW-OperatingProfitRatio,Price,PriceChangeRatio,InOutRatioNumber,Value,YearReturn,MonthReturn,WeekReturn,FinanceBalanceDif,ChipsField2" advise="1">
        <values cols="10">
          <value t="str">
            <val>0.01</val>
          </value>
          <value>
            <val>59.9</val>
          </value>
          <value>
            <val>-6.55</val>
          </value>
          <value t="str">
            <val>24.53%</val>
          </value>
          <value t="str">
            <val>1.36億</val>
          </value>
          <value t="str">
            <val>-54.10</val>
          </value>
          <value t="str">
            <val>-10.45</val>
          </value>
          <value t="str">
            <val>-9.91</val>
          </value>
          <value>
            <val>181</val>
          </value>
          <value>
            <val>0</val>
          </value>
        </values>
      </ddeItem>
      <ddeItem name="80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0.25</val>
          </value>
          <value>
            <val>2.0099999999999998</val>
          </value>
          <value t="str">
            <val>0.76</val>
          </value>
          <value t="str">
            <val>0.02</val>
          </value>
          <value t="str">
            <val>星雲</val>
          </value>
          <value t="str">
            <val>上櫃其他電子</val>
          </value>
          <value t="str">
            <val>世界知名的電腦割字機製造大廠</val>
          </value>
        </values>
      </ddeItem>
      <ddeItem name="8047.TW-CName,InvestorConferenceDate,DateofMeetingofShareHolders,TradingDate" advise="1">
        <values cols="4">
          <value t="str">
            <val>星雲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8047.TW-ID,Name,MarketValue,Capital,NetIncomeGrowthRate,OperIncomeGrowthRate,FinancialStatementsTime,TFXRatio,MonthlyNetSalesYoY,RevenueMonth" advise="1">
        <values cols="10">
          <value t="str">
            <val>8047</val>
          </value>
          <value t="str">
            <val>星雲</val>
          </value>
          <value t="str">
            <val>5.2</val>
          </value>
          <value t="str">
            <val>4.17</val>
          </value>
          <value t="str">
            <val>108.19</val>
          </value>
          <value t="str">
            <val>102.18</val>
          </value>
          <value t="str">
            <val>2022/03</val>
          </value>
          <value t="str">
            <val>26.86</val>
          </value>
          <value t="str">
            <val>-2.49</val>
          </value>
          <value t="str">
            <val>2022/06</val>
          </value>
        </values>
      </ddeItem>
      <ddeItem name="8047.TW-OperatingProfitRatio,Price,PriceChangeRatio,InOutRatioNumber,Value,YearReturn,MonthReturn,WeekReturn,FinanceBalanceDif,ChipsField2" advise="1">
        <values cols="10">
          <value t="str">
            <val>0.15</val>
          </value>
          <value>
            <val>12.45</val>
          </value>
          <value>
            <val>-1.19</val>
          </value>
          <value t="str">
            <val>50.00%</val>
          </value>
          <value t="str">
            <val>12.4萬</val>
          </value>
          <value t="str">
            <val>+2.87</val>
          </value>
          <value t="str">
            <val>-8.12</val>
          </value>
          <value t="str">
            <val>+0.81</val>
          </value>
          <value>
            <val>-2</val>
          </value>
          <value>
            <val>0</val>
          </value>
        </values>
      </ddeItem>
      <ddeItem name="804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2022/07/05</val>
          </value>
          <value t="str">
            <val>2.20</val>
          </value>
          <value>
            <val>7.18</val>
          </value>
          <value t="str">
            <val>2.02</val>
          </value>
          <value t="str">
            <val>0.28</val>
          </value>
          <value t="str">
            <val>德勝</val>
          </value>
          <value t="str">
            <val>上櫃通信網路</val>
          </value>
          <value t="str">
            <val>台灣光纖網路局端、用戶端設備製造商</val>
          </value>
        </values>
      </ddeItem>
      <ddeItem name="8048.TW-CName,InvestorConferenceDate,DateofMeetingofShareHolders,TradingDate" advise="1">
        <values cols="4">
          <value t="str">
            <val>德勝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8048.TW-ID,Name,MarketValue,Capital,NetIncomeGrowthRate,OperIncomeGrowthRate,FinancialStatementsTime,TFXRatio,MonthlyNetSalesYoY,RevenueMonth" advise="1">
        <values cols="10">
          <value t="str">
            <val>8048</val>
          </value>
          <value t="str">
            <val>德勝</val>
          </value>
          <value t="str">
            <val>16.7</val>
          </value>
          <value t="str">
            <val>5.45</val>
          </value>
          <value t="str">
            <val>-76.72</val>
          </value>
          <value t="str">
            <val>5.00</val>
          </value>
          <value t="str">
            <val>2022/03</val>
          </value>
          <value t="str">
            <val>4.11</val>
          </value>
          <value t="str">
            <val>2.28</val>
          </value>
          <value t="str">
            <val>2022/06</val>
          </value>
        </values>
      </ddeItem>
      <ddeItem name="8048.TW-OperatingProfitRatio,Price,PriceChangeRatio,InOutRatioNumber,Value,YearReturn,MonthReturn,WeekReturn,FinanceBalanceDif,ChipsField2" advise="1">
        <values cols="10">
          <value t="str">
            <val>8.35</val>
          </value>
          <value>
            <val>30.65</val>
          </value>
          <value>
            <val>1.1599999999999999</val>
          </value>
          <value t="str">
            <val>44.07%</val>
          </value>
          <value t="str">
            <val>181萬</val>
          </value>
          <value t="str">
            <val>-9.26</val>
          </value>
          <value t="str">
            <val>+4.49</val>
          </value>
          <value t="str">
            <val>-0.97</val>
          </value>
          <value>
            <val>0</val>
          </value>
          <value>
            <val>0</val>
          </value>
        </values>
      </ddeItem>
      <ddeItem name="80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84</val>
          </value>
          <value t="str">
            <val>--</val>
          </value>
          <value t="str">
            <val>2.10</val>
          </value>
          <value>
            <val>7.84</val>
          </value>
          <value t="str">
            <val>2.56</val>
          </value>
          <value t="str">
            <val>0.61</val>
          </value>
          <value t="str">
            <val>晶采</val>
          </value>
          <value t="str">
            <val>上櫃光電</val>
          </value>
          <value t="str">
            <val>台灣中小尺寸液晶模組廠</val>
          </value>
        </values>
      </ddeItem>
      <ddeItem name="8049.TW-CName,InvestorConferenceDate,DateofMeetingofShareHolders,TradingDate" advise="1">
        <values cols="4">
          <value t="str">
            <val>晶采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8049.TW-ID,Name,MarketValue,Capital,NetIncomeGrowthRate,OperIncomeGrowthRate,FinancialStatementsTime,TFXRatio,MonthlyNetSalesYoY,RevenueMonth" advise="1">
        <values cols="10">
          <value t="str">
            <val>8049</val>
          </value>
          <value t="str">
            <val>晶采</val>
          </value>
          <value t="str">
            <val>31.7</val>
          </value>
          <value t="str">
            <val>11.83</val>
          </value>
          <value t="str">
            <val>-7.97</val>
          </value>
          <value t="str">
            <val>-8.40</val>
          </value>
          <value t="str">
            <val>2022/03</val>
          </value>
          <value t="str">
            <val>25.91</val>
          </value>
          <value t="str">
            <val>22.61</val>
          </value>
          <value t="str">
            <val>2022/06</val>
          </value>
        </values>
      </ddeItem>
      <ddeItem name="8049.TW-OperatingProfitRatio,Price,PriceChangeRatio,InOutRatioNumber,Value,YearReturn,MonthReturn,WeekReturn,FinanceBalanceDif,ChipsField2" advise="1">
        <values cols="10">
          <value t="str">
            <val>13.07</val>
          </value>
          <value>
            <val>26.8</val>
          </value>
          <value>
            <val>1.9</val>
          </value>
          <value t="str">
            <val>45.55%</val>
          </value>
          <value t="str">
            <val>7331萬</val>
          </value>
          <value t="str">
            <val>+17.84</val>
          </value>
          <value t="str">
            <val>+10.29</val>
          </value>
          <value t="str">
            <val>+1.52</val>
          </value>
          <value>
            <val>-43</val>
          </value>
          <value>
            <val>0</val>
          </value>
        </values>
      </ddeItem>
      <ddeItem name="8050.TW-ChipsField3,ChipsField1,ChipsField25,CashAndStockDividend,CashDividendYieldRate,ProfitFourSeason,ProfitSingle,CName,ExchangeIndustry,CompanyPos" advise="1">
        <values cols="10">
          <value>
            <val>15</val>
          </value>
          <value>
            <val>631</val>
          </value>
          <value t="str">
            <val>2022/07/14</val>
          </value>
          <value t="str">
            <val>2.16</val>
          </value>
          <value>
            <val>3.08</val>
          </value>
          <value t="str">
            <val>3.88</val>
          </value>
          <value t="str">
            <val>1.53</val>
          </value>
          <value t="str">
            <val>廣積</val>
          </value>
          <value t="str">
            <val>上櫃電腦及週邊設備</val>
          </value>
          <value t="str">
            <val>以工業級嵌入式系統為主之工業電腦廠商</val>
          </value>
        </values>
      </ddeItem>
      <ddeItem name="8050.TW-CName,InvestorConferenceDate,DateofMeetingofShareHolders,TradingDate" advise="1">
        <values cols="4">
          <value t="str">
            <val>廣積</val>
          </value>
          <value t="str">
            <val>2021/12/15</val>
          </value>
          <value t="str">
            <val>2022/06/22</val>
          </value>
          <value t="str">
            <val>2022/08/01</val>
          </value>
        </values>
      </ddeItem>
      <ddeItem name="8050.TW-ID,Name,MarketValue,Capital,NetIncomeGrowthRate,OperIncomeGrowthRate,FinancialStatementsTime,TFXRatio,MonthlyNetSalesYoY,RevenueMonth" advise="1">
        <values cols="10">
          <value t="str">
            <val>8050</val>
          </value>
          <value t="str">
            <val>廣積</val>
          </value>
          <value t="str">
            <val>124.3</val>
          </value>
          <value t="str">
            <val>17.71</val>
          </value>
          <value t="str">
            <val>109016.56</val>
          </value>
          <value t="str">
            <val>1097.62</val>
          </value>
          <value t="str">
            <val>2022/03</val>
          </value>
          <value t="str">
            <val>44.56</val>
          </value>
          <value t="str">
            <val>16.63</val>
          </value>
          <value t="str">
            <val>2022/06</val>
          </value>
        </values>
      </ddeItem>
      <ddeItem name="8050.TW-OperatingProfitRatio,Price,PriceChangeRatio,InOutRatioNumber,Value,YearReturn,MonthReturn,WeekReturn,FinanceBalanceDif,ChipsField2" advise="1">
        <values cols="10">
          <value t="str">
            <val>12.15</val>
          </value>
          <value>
            <val>70.2</val>
          </value>
          <value>
            <val>2.0299999999999998</val>
          </value>
          <value t="str">
            <val>53.17%</val>
          </value>
          <value t="str">
            <val>11.5億</val>
          </value>
          <value t="str">
            <val>+84.88</val>
          </value>
          <value t="str">
            <val>+19.50</val>
          </value>
          <value t="str">
            <val>+6.36</val>
          </value>
          <value>
            <val>-79</val>
          </value>
          <value>
            <val>675</val>
          </value>
        </values>
      </ddeItem>
      <ddeItem name="8054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51</val>
          </value>
          <value t="str">
            <val>2022/06/21</val>
          </value>
          <value t="str">
            <val>1.65</val>
          </value>
          <value>
            <val>4.4400000000000004</val>
          </value>
          <value t="str">
            <val>2.70</val>
          </value>
          <value t="str">
            <val>0.18</val>
          </value>
          <value t="str">
            <val>安國</val>
          </value>
          <value t="str">
            <val>上櫃半導體</val>
          </value>
          <value t="str">
            <val>台灣USB介面裝置控制IC廠</val>
          </value>
        </values>
      </ddeItem>
      <ddeItem name="8054.TW-CName,InvestorConferenceDate,DateofMeetingofShareHolders,TradingDate" advise="1">
        <values cols="4">
          <value t="str">
            <val>安國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8054.TW-ID,Name,MarketValue,Capital,NetIncomeGrowthRate,OperIncomeGrowthRate,FinancialStatementsTime,TFXRatio,MonthlyNetSalesYoY,RevenueMonth" advise="1">
        <values cols="10">
          <value t="str">
            <val>8054</val>
          </value>
          <value t="str">
            <val>安國</val>
          </value>
          <value t="str">
            <val>33.8</val>
          </value>
          <value t="str">
            <val>9.09</val>
          </value>
          <value t="str">
            <val>-50.81</val>
          </value>
          <value t="str">
            <val>-63.52</val>
          </value>
          <value t="str">
            <val>2022/03</val>
          </value>
          <value t="str">
            <val>28.58</val>
          </value>
          <value t="str">
            <val>60.02</val>
          </value>
          <value t="str">
            <val>2022/06</val>
          </value>
        </values>
      </ddeItem>
      <ddeItem name="8054.TW-OperatingProfitRatio,Price,PriceChangeRatio,InOutRatioNumber,Value,YearReturn,MonthReturn,WeekReturn,FinanceBalanceDif,ChipsField2" advise="1">
        <values cols="10">
          <value t="str">
            <val>7.09</val>
          </value>
          <value>
            <val>37.200000000000003</val>
          </value>
          <value>
            <val>-1.59</val>
          </value>
          <value t="str">
            <val>55.60%</val>
          </value>
          <value t="str">
            <val>2115萬</val>
          </value>
          <value t="str">
            <val>-31.62</val>
          </value>
          <value t="str">
            <val>+17.54</val>
          </value>
          <value t="str">
            <val>-2.11</val>
          </value>
          <value>
            <val>-33</val>
          </value>
          <value>
            <val>0</val>
          </value>
        </values>
      </ddeItem>
      <ddeItem name="805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-0.74</val>
          </value>
          <value t="str">
            <val>-0.11</val>
          </value>
          <value t="str">
            <val>凱碩</val>
          </value>
          <value t="str">
            <val>上櫃通信網路</val>
          </value>
          <value t="str">
            <val>新金寶集團轉投資的Cable Modem廠</val>
          </value>
        </values>
      </ddeItem>
      <ddeItem name="8059.TW-CName,InvestorConferenceDate,DateofMeetingofShareHolders,TradingDate" advise="1">
        <values cols="4">
          <value t="str">
            <val>凱碩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8059.TW-ID,Name,MarketValue,Capital,NetIncomeGrowthRate,OperIncomeGrowthRate,FinancialStatementsTime,TFXRatio,MonthlyNetSalesYoY,RevenueMonth" advise="1">
        <values cols="10">
          <value t="str">
            <val>8059</val>
          </value>
          <value t="str">
            <val>凱碩</val>
          </value>
          <value t="str">
            <val>18.9</val>
          </value>
          <value t="str">
            <val>18.86</val>
          </value>
          <value t="str">
            <val>32.37</val>
          </value>
          <value t="str">
            <val>22.61</val>
          </value>
          <value t="str">
            <val>2022/03</val>
          </value>
          <value t="str">
            <val>-38.44</val>
          </value>
          <value t="str">
            <val>78.87</val>
          </value>
          <value t="str">
            <val>2022/06</val>
          </value>
        </values>
      </ddeItem>
      <ddeItem name="8059.TW-OperatingProfitRatio,Price,PriceChangeRatio,InOutRatioNumber,Value,YearReturn,MonthReturn,WeekReturn,FinanceBalanceDif,ChipsField2" advise="1">
        <values cols="10">
          <value t="str">
            <val>-6.67</val>
          </value>
          <value>
            <val>10</val>
          </value>
          <value>
            <val>0.2</val>
          </value>
          <value t="str">
            <val>71.05%</val>
          </value>
          <value t="str">
            <val>115萬</val>
          </value>
          <value t="str">
            <val>-1.96</val>
          </value>
          <value t="str">
            <val>+7.76</val>
          </value>
          <value t="str">
            <val>-1.48</val>
          </value>
          <value>
            <val>0</val>
          </value>
          <value>
            <val>0</val>
          </value>
        </values>
      </ddeItem>
      <ddeItem name="8064.TW-ChipsField3,ChipsField1,ChipsField25,CashAndStockDividend,CashDividendYieldRate,ProfitFourSeason,ProfitSingle,CName,ExchangeIndustry,CompanyPos" advise="1">
        <values cols="10">
          <value>
            <val>-85</val>
          </value>
          <value>
            <val>12</val>
          </value>
          <value t="str">
            <val>2022/07/06</val>
          </value>
          <value t="str">
            <val>1.25</val>
          </value>
          <value>
            <val>7.96</val>
          </value>
          <value t="str">
            <val>2.48</val>
          </value>
          <value t="str">
            <val>0.59</val>
          </value>
          <value t="str">
            <val>東捷</val>
          </value>
          <value t="str">
            <val>上櫃光電</val>
          </value>
          <value t="str">
            <val>提供群創的面板設備供應商</val>
          </value>
        </values>
      </ddeItem>
      <ddeItem name="8064.TW-CName,InvestorConferenceDate,DateofMeetingofShareHolders,TradingDate" advise="1">
        <values cols="4">
          <value t="str">
            <val>東捷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8064.TW-ID,Name,MarketValue,Capital,NetIncomeGrowthRate,OperIncomeGrowthRate,FinancialStatementsTime,TFXRatio,MonthlyNetSalesYoY,RevenueMonth" advise="1">
        <values cols="10">
          <value t="str">
            <val>8064</val>
          </value>
          <value t="str">
            <val>東捷</val>
          </value>
          <value t="str">
            <val>25.9</val>
          </value>
          <value t="str">
            <val>16.48</val>
          </value>
          <value t="str">
            <val>156.89</val>
          </value>
          <value t="str">
            <val>-30.86</val>
          </value>
          <value t="str">
            <val>2022/03</val>
          </value>
          <value t="str">
            <val>-19.67</val>
          </value>
          <value t="str">
            <val>-53.14</val>
          </value>
          <value t="str">
            <val>2022/06</val>
          </value>
        </values>
      </ddeItem>
      <ddeItem name="8064.TW-OperatingProfitRatio,Price,PriceChangeRatio,InOutRatioNumber,Value,YearReturn,MonthReturn,WeekReturn,FinanceBalanceDif,ChipsField2" advise="1">
        <values cols="10">
          <value t="str">
            <val>6.40</val>
          </value>
          <value>
            <val>15.7</val>
          </value>
          <value>
            <val>1.62</val>
          </value>
          <value t="str">
            <val>59.78%</val>
          </value>
          <value t="str">
            <val>144萬</val>
          </value>
          <value t="str">
            <val>-17.57</val>
          </value>
          <value t="str">
            <val>+4.24</val>
          </value>
          <value t="str">
            <val>-0.63</val>
          </value>
          <value>
            <val>-2</val>
          </value>
          <value>
            <val>0</val>
          </value>
        </values>
      </ddeItem>
      <ddeItem name="806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2022/06/29</val>
          </value>
          <value t="str">
            <val>1.00</val>
          </value>
          <value>
            <val>3.66</val>
          </value>
          <value t="str">
            <val>0.96</val>
          </value>
          <value t="str">
            <val>0.32</val>
          </value>
          <value t="str">
            <val>來思達</val>
          </value>
          <value t="str">
            <val>上櫃貿易百貨</val>
          </value>
          <value t="str">
            <val>擁有自有品牌之B2B傢俱商，為美國進口傢俱前五名廠商</val>
          </value>
        </values>
      </ddeItem>
      <ddeItem name="8066.TW-CName,InvestorConferenceDate,DateofMeetingofShareHolders,TradingDate" advise="1">
        <values cols="4">
          <value t="str">
            <val>來思達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8066.TW-ID,Name,MarketValue,Capital,NetIncomeGrowthRate,OperIncomeGrowthRate,FinancialStatementsTime,TFXRatio,MonthlyNetSalesYoY,RevenueMonth" advise="1">
        <values cols="10">
          <value t="str">
            <val>8066</val>
          </value>
          <value t="str">
            <val>來思達</val>
          </value>
          <value t="str">
            <val>8.2</val>
          </value>
          <value t="str">
            <val>3.02</val>
          </value>
          <value t="str">
            <val>-36.15</val>
          </value>
          <value t="str">
            <val>-11.97</val>
          </value>
          <value t="str">
            <val>2022/03</val>
          </value>
          <value t="str">
            <val>2.12</val>
          </value>
          <value t="str">
            <val>-4.87</val>
          </value>
          <value t="str">
            <val>2022/06</val>
          </value>
        </values>
      </ddeItem>
      <ddeItem name="8066.TW-OperatingProfitRatio,Price,PriceChangeRatio,InOutRatioNumber,Value,YearReturn,MonthReturn,WeekReturn,FinanceBalanceDif,ChipsField2" advise="1">
        <values cols="10">
          <value t="str">
            <val>2.88</val>
          </value>
          <value>
            <val>27.3</val>
          </value>
          <value>
            <val>0.55000000000000004</val>
          </value>
          <value t="str">
            <val>6.25%</val>
          </value>
          <value t="str">
            <val>165萬</val>
          </value>
          <value t="str">
            <val>-35.39</val>
          </value>
          <value t="str">
            <val>+7.27</val>
          </value>
          <value t="str">
            <val>+5.61</val>
          </value>
          <value>
            <val>0</val>
          </value>
          <value>
            <val>0</val>
          </value>
        </values>
      </ddeItem>
      <ddeItem name="80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-0.75</val>
          </value>
          <value t="str">
            <val>-0.06</val>
          </value>
          <value t="str">
            <val>志旭</val>
          </value>
          <value t="str">
            <val>上櫃電子通路</val>
          </value>
          <value t="str">
            <val>主要代理及銷售儲存媒體、多媒體及電腦系統產品等</val>
          </value>
        </values>
      </ddeItem>
      <ddeItem name="8067.TW-CName,InvestorConferenceDate,DateofMeetingofShareHolders,TradingDate" advise="1">
        <values cols="4">
          <value t="str">
            <val>志旭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8067.TW-ID,Name,MarketValue,Capital,NetIncomeGrowthRate,OperIncomeGrowthRate,FinancialStatementsTime,TFXRatio,MonthlyNetSalesYoY,RevenueMonth" advise="1">
        <values cols="10">
          <value t="str">
            <val>8067</val>
          </value>
          <value t="str">
            <val>志旭</val>
          </value>
          <value t="str">
            <val>2.6</val>
          </value>
          <value t="str">
            <val>3.00</val>
          </value>
          <value t="str">
            <val>79.52</val>
          </value>
          <value t="str">
            <val>67.95</val>
          </value>
          <value t="str">
            <val>2022/03</val>
          </value>
          <value t="str">
            <val>-10.57</val>
          </value>
          <value t="str">
            <val>-9.98</val>
          </value>
          <value t="str">
            <val>2022/06</val>
          </value>
        </values>
      </ddeItem>
      <ddeItem name="8067.TW-OperatingProfitRatio,Price,PriceChangeRatio,InOutRatioNumber,Value,YearReturn,MonthReturn,WeekReturn,FinanceBalanceDif,ChipsField2" advise="1">
        <values cols="10">
          <value t="str">
            <val>-3.48</val>
          </value>
          <value>
            <val>8.7899999999999991</val>
          </value>
          <value>
            <val>-0.68</val>
          </value>
          <value t="str">
            <val>20.37%</val>
          </value>
          <value t="str">
            <val>95.8萬</val>
          </value>
          <value t="str">
            <val>-9.75</val>
          </value>
          <value t="str">
            <val>+6.67</val>
          </value>
          <value t="str">
            <val>+1.62</val>
          </value>
          <value>
            <val>0</val>
          </value>
          <value>
            <val>0</val>
          </value>
        </values>
      </ddeItem>
      <ddeItem name="80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38</val>
          </value>
          <value t="str">
            <val>--</val>
          </value>
          <value t="str">
            <val>0.00</val>
          </value>
          <value>
            <val>0</val>
          </value>
          <value t="str">
            <val>-0.35</val>
          </value>
          <value t="str">
            <val>0.00</val>
          </value>
          <value t="str">
            <val>全達</val>
          </value>
          <value t="str">
            <val>上櫃電子通路</val>
          </value>
          <value t="str">
            <val>威盛旗下IC零組件通路商</val>
          </value>
        </values>
      </ddeItem>
      <ddeItem name="8068.TW-CName,InvestorConferenceDate,DateofMeetingofShareHolders,TradingDate" advise="1">
        <values cols="4">
          <value t="str">
            <val>全達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8068.TW-ID,Name,MarketValue,Capital,NetIncomeGrowthRate,OperIncomeGrowthRate,FinancialStatementsTime,TFXRatio,MonthlyNetSalesYoY,RevenueMonth" advise="1">
        <values cols="10">
          <value t="str">
            <val>8068</val>
          </value>
          <value t="str">
            <val>全達</val>
          </value>
          <value t="str">
            <val>25.7</val>
          </value>
          <value t="str">
            <val>7.67</val>
          </value>
          <value t="str">
            <val>133.62</val>
          </value>
          <value t="str">
            <val>76.83</val>
          </value>
          <value t="str">
            <val>2022/03</val>
          </value>
          <value t="str">
            <val>192.82</val>
          </value>
          <value t="str">
            <val>1067.97</val>
          </value>
          <value t="str">
            <val>2022/06</val>
          </value>
        </values>
      </ddeItem>
      <ddeItem name="8068.TW-OperatingProfitRatio,Price,PriceChangeRatio,InOutRatioNumber,Value,YearReturn,MonthReturn,WeekReturn,FinanceBalanceDif,ChipsField2" advise="1">
        <values cols="10">
          <value t="str">
            <val>-0.77</val>
          </value>
          <value>
            <val>33.549999999999997</val>
          </value>
          <value>
            <val>10</val>
          </value>
          <value t="str">
            <val>80.10%</val>
          </value>
          <value t="str">
            <val>1946萬</val>
          </value>
          <value t="str">
            <val>+68.17</val>
          </value>
          <value t="str">
            <val>+28.30</val>
          </value>
          <value t="str">
            <val>+14.51</val>
          </value>
          <value>
            <val>0</val>
          </value>
          <value>
            <val>0</val>
          </value>
        </values>
      </ddeItem>
      <ddeItem name="8069.TW-ChipsField3,ChipsField1,ChipsField25,CashAndStockDividend,CashDividendYieldRate,ProfitFourSeason,ProfitSingle,CName,ExchangeIndustry,CompanyPos" advise="1">
        <values cols="10">
          <value>
            <val>-583</val>
          </value>
          <value>
            <val>1076</val>
          </value>
          <value t="str">
            <val>2022/07/25</val>
          </value>
          <value t="str">
            <val>3.20</val>
          </value>
          <value>
            <val>1.69</val>
          </value>
          <value t="str">
            <val>4.78</val>
          </value>
          <value t="str">
            <val>1.28</val>
          </value>
          <value t="str">
            <val>元太</val>
          </value>
          <value t="str">
            <val>上櫃光電</val>
          </value>
          <value t="str">
            <val>全球電子紙龍頭廠</val>
          </value>
        </values>
      </ddeItem>
      <ddeItem name="8069.TW-CName,InvestorConferenceDate,DateofMeetingofShareHolders,TradingDate" advise="1">
        <values cols="4">
          <value t="str">
            <val>元太</val>
          </value>
          <value t="str">
            <val>2022/05/18</val>
          </value>
          <value t="str">
            <val>2022/06/22</val>
          </value>
          <value t="str">
            <val>2022/08/01</val>
          </value>
        </values>
      </ddeItem>
      <ddeItem name="8069.TW-ID,Name,MarketValue,Capital,NetIncomeGrowthRate,OperIncomeGrowthRate,FinancialStatementsTime,TFXRatio,MonthlyNetSalesYoY,RevenueMonth" advise="1">
        <values cols="10">
          <value t="str">
            <val>8069</val>
          </value>
          <value t="str">
            <val>元太</val>
          </value>
          <value t="str">
            <val>2161.1</val>
          </value>
          <value t="str">
            <val>114.04</val>
          </value>
          <value t="str">
            <val>24.37</val>
          </value>
          <value t="str">
            <val>47.27</val>
          </value>
          <value t="str">
            <val>2022/03</val>
          </value>
          <value t="str">
            <val>-2.07</val>
          </value>
          <value t="str">
            <val>81.36</val>
          </value>
          <value t="str">
            <val>2022/06</val>
          </value>
        </values>
      </ddeItem>
      <ddeItem name="8069.TW-OperatingProfitRatio,Price,PriceChangeRatio,InOutRatioNumber,Value,YearReturn,MonthReturn,WeekReturn,FinanceBalanceDif,ChipsField2" advise="1">
        <values cols="10">
          <value t="str">
            <val>23.92</val>
          </value>
          <value>
            <val>189.5</val>
          </value>
          <value>
            <val>-3.07</val>
          </value>
          <value t="str">
            <val>44.43%</val>
          </value>
          <value t="str">
            <val>28.8億</val>
          </value>
          <value t="str">
            <val>+139.18</val>
          </value>
          <value t="str">
            <val>+13.40</val>
          </value>
          <value t="str">
            <val>+2.16</val>
          </value>
          <value>
            <val>-216</val>
          </value>
          <value>
            <val>433</val>
          </value>
        </values>
      </ddeItem>
      <ddeItem name="80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-46</val>
          </value>
          <value t="str">
            <val>--</val>
          </value>
          <value t="str">
            <val>1.20</val>
          </value>
          <value>
            <val>6.74</val>
          </value>
          <value t="str">
            <val>0.74</val>
          </value>
          <value t="str">
            <val>0.03</val>
          </value>
          <value t="str">
            <val>能率網通</val>
          </value>
          <value t="str">
            <val>上櫃電子零組件</val>
          </value>
          <value t="str">
            <val>轉型從事事務機零件製造業務</val>
          </value>
        </values>
      </ddeItem>
      <ddeItem name="8071.TW-CName,InvestorConferenceDate,DateofMeetingofShareHolders,TradingDate" advise="1">
        <values cols="4">
          <value t="str">
            <val>能率網通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8071.TW-ID,Name,MarketValue,Capital,NetIncomeGrowthRate,OperIncomeGrowthRate,FinancialStatementsTime,TFXRatio,MonthlyNetSalesYoY,RevenueMonth" advise="1">
        <values cols="10">
          <value t="str">
            <val>8071</val>
          </value>
          <value t="str">
            <val>能率網通</val>
          </value>
          <value t="str">
            <val>9.2</val>
          </value>
          <value t="str">
            <val>5.19</val>
          </value>
          <value t="str">
            <val>-48.61</val>
          </value>
          <value t="str">
            <val>21.53</val>
          </value>
          <value t="str">
            <val>2022/03</val>
          </value>
          <value t="str">
            <val>5.33</val>
          </value>
          <value t="str">
            <val>145.95</val>
          </value>
          <value t="str">
            <val>2022/06</val>
          </value>
        </values>
      </ddeItem>
      <ddeItem name="8071.TW-OperatingProfitRatio,Price,PriceChangeRatio,InOutRatioNumber,Value,YearReturn,MonthReturn,WeekReturn,FinanceBalanceDif,ChipsField2" advise="1">
        <values cols="10">
          <value t="str">
            <val>2.43</val>
          </value>
          <value>
            <val>17.8</val>
          </value>
          <value>
            <val>1.1399999999999999</val>
          </value>
          <value t="str">
            <val>65.69%</val>
          </value>
          <value t="str">
            <val>437萬</val>
          </value>
          <value t="str">
            <val>+39.84</val>
          </value>
          <value t="str">
            <val>+11.95</val>
          </value>
          <value t="str">
            <val>-0.84</val>
          </value>
          <value>
            <val>3</val>
          </value>
          <value>
            <val>0</val>
          </value>
        </values>
      </ddeItem>
      <ddeItem name="80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</val>
          </value>
          <value t="str">
            <val>2022/05/25</val>
          </value>
          <value t="str">
            <val>1.00</val>
          </value>
          <value>
            <val>5.46</val>
          </value>
          <value t="str">
            <val>0.83</val>
          </value>
          <value t="str">
            <val>0.21</val>
          </value>
          <value t="str">
            <val>鉅橡</val>
          </value>
          <value t="str">
            <val>上櫃電子零組件</val>
          </value>
          <value t="str">
            <val>全球最大PCB墊板供應商</val>
          </value>
        </values>
      </ddeItem>
      <ddeItem name="8074.TW-CName,InvestorConferenceDate,DateofMeetingofShareHolders,TradingDate" advise="1">
        <values cols="4">
          <value t="str">
            <val>鉅橡</val>
          </value>
          <value t="str">
            <val>--</val>
          </value>
          <value t="str">
            <val>2022/04/26</val>
          </value>
          <value t="str">
            <val>2022/08/01</val>
          </value>
        </values>
      </ddeItem>
      <ddeItem name="8074.TW-ID,Name,MarketValue,Capital,NetIncomeGrowthRate,OperIncomeGrowthRate,FinancialStatementsTime,TFXRatio,MonthlyNetSalesYoY,RevenueMonth" advise="1">
        <values cols="10">
          <value t="str">
            <val>8074</val>
          </value>
          <value t="str">
            <val>鉅橡</val>
          </value>
          <value t="str">
            <val>15.5</val>
          </value>
          <value t="str">
            <val>8.46</val>
          </value>
          <value t="str">
            <val>-23.68</val>
          </value>
          <value t="str">
            <val>-66.99</val>
          </value>
          <value t="str">
            <val>2022/03</val>
          </value>
          <value t="str">
            <val>-2.81</val>
          </value>
          <value t="str">
            <val>1.40</val>
          </value>
          <value t="str">
            <val>2022/06</val>
          </value>
        </values>
      </ddeItem>
      <ddeItem name="8074.TW-OperatingProfitRatio,Price,PriceChangeRatio,InOutRatioNumber,Value,YearReturn,MonthReturn,WeekReturn,FinanceBalanceDif,ChipsField2" advise="1">
        <values cols="10">
          <value t="str">
            <val>3.37</val>
          </value>
          <value>
            <val>18.3</val>
          </value>
          <value>
            <val>0</val>
          </value>
          <value t="str">
            <val>35.90%</val>
          </value>
          <value t="str">
            <val>71.5萬</val>
          </value>
          <value t="str">
            <val>-7.75</val>
          </value>
          <value t="str">
            <val>+3.39</val>
          </value>
          <value t="str">
            <val>+0.27</val>
          </value>
          <value>
            <val>1</val>
          </value>
          <value>
            <val>0</val>
          </value>
        </values>
      </ddeItem>
      <ddeItem name="8076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507</val>
          </value>
          <value t="str">
            <val>--</val>
          </value>
          <value t="str">
            <val>1.00</val>
          </value>
          <value>
            <val>3.18</val>
          </value>
          <value t="str">
            <val>0.95</val>
          </value>
          <value t="str">
            <val>0.30</val>
          </value>
          <value t="str">
            <val>伍豐</val>
          </value>
          <value t="str">
            <val>上櫃電腦及週邊設備</val>
          </value>
          <value t="str">
            <val>跨入博奕產業之台灣POS專業廠商</val>
          </value>
        </values>
      </ddeItem>
      <ddeItem name="8076.TW-CName,InvestorConferenceDate,DateofMeetingofShareHolders,TradingDate" advise="1">
        <values cols="4">
          <value t="str">
            <val>伍豐</val>
          </value>
          <value t="str">
            <val>2021/12/10</val>
          </value>
          <value t="str">
            <val>2022/06/29</val>
          </value>
          <value t="str">
            <val>2022/08/01</val>
          </value>
        </values>
      </ddeItem>
      <ddeItem name="8076.TW-ID,Name,MarketValue,Capital,NetIncomeGrowthRate,OperIncomeGrowthRate,FinancialStatementsTime,TFXRatio,MonthlyNetSalesYoY,RevenueMonth" advise="1">
        <values cols="10">
          <value t="str">
            <val>8076</val>
          </value>
          <value t="str">
            <val>伍豐</val>
          </value>
          <value t="str">
            <val>87.1</val>
          </value>
          <value t="str">
            <val>27.75</val>
          </value>
          <value t="str">
            <val>377.66</val>
          </value>
          <value t="str">
            <val>350.35</val>
          </value>
          <value t="str">
            <val>2022/03</val>
          </value>
          <value t="str">
            <val>2.02</val>
          </value>
          <value t="str">
            <val>30.53</val>
          </value>
          <value t="str">
            <val>2022/06</val>
          </value>
        </values>
      </ddeItem>
      <ddeItem name="8076.TW-OperatingProfitRatio,Price,PriceChangeRatio,InOutRatioNumber,Value,YearReturn,MonthReturn,WeekReturn,FinanceBalanceDif,ChipsField2" advise="1">
        <values cols="10">
          <value t="str">
            <val>3.99</val>
          </value>
          <value>
            <val>31.4</val>
          </value>
          <value>
            <val>0</val>
          </value>
          <value t="str">
            <val>39.13%</val>
          </value>
          <value t="str">
            <val>3024萬</val>
          </value>
          <value t="str">
            <val>+0.56</val>
          </value>
          <value t="str">
            <val>+17.16</val>
          </value>
          <value t="str">
            <val>+2.28</val>
          </value>
          <value>
            <val>-2</val>
          </value>
          <value>
            <val>0</val>
          </value>
        </values>
      </ddeItem>
      <ddeItem name="80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-3.06</val>
          </value>
          <value t="str">
            <val>-0.54</val>
          </value>
          <value t="str">
            <val>洛碁</val>
          </value>
          <value t="str">
            <val>上櫃觀光</val>
          </value>
          <value t="str">
            <val>轉型為飯店經營</val>
          </value>
        </values>
      </ddeItem>
      <ddeItem name="8077.TW-CName,InvestorConferenceDate,DateofMeetingofShareHolders,TradingDate" advise="1">
        <values cols="4">
          <value t="str">
            <val>洛碁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8077.TW-ID,Name,MarketValue,Capital,NetIncomeGrowthRate,OperIncomeGrowthRate,FinancialStatementsTime,TFXRatio,MonthlyNetSalesYoY,RevenueMonth" advise="1">
        <values cols="10">
          <value t="str">
            <val>8077</val>
          </value>
          <value t="str">
            <val>洛碁</val>
          </value>
          <value t="str">
            <val>10.6</val>
          </value>
          <value t="str">
            <val>10.97</val>
          </value>
          <value t="str">
            <val>31.38</val>
          </value>
          <value t="str">
            <val>36.49</val>
          </value>
          <value t="str">
            <val>2022/03</val>
          </value>
          <value t="str">
            <val>-12.75</val>
          </value>
          <value t="str">
            <val>160.66</val>
          </value>
          <value t="str">
            <val>2022/06</val>
          </value>
        </values>
      </ddeItem>
      <ddeItem name="8077.TW-OperatingProfitRatio,Price,PriceChangeRatio,InOutRatioNumber,Value,YearReturn,MonthReturn,WeekReturn,FinanceBalanceDif,ChipsField2" advise="1">
        <values cols="10">
          <value t="str">
            <val>-34.20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-16.71</val>
          </value>
          <value t="str">
            <val>-4.28</val>
          </value>
          <value t="str">
            <val>-1.84</val>
          </value>
          <value>
            <val>0</val>
          </value>
          <value>
            <val>0</val>
          </value>
        </values>
      </ddeItem>
      <ddeItem name="808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-1.35</val>
          </value>
          <value t="str">
            <val>-0.26</val>
          </value>
          <value t="str">
            <val>永利聯合</val>
          </value>
          <value t="str">
            <val>上櫃電子零組件,上櫃建材營造</val>
          </value>
          <value t="str">
            <val>轉型為營建剩餘土石方工程商</val>
          </value>
        </values>
      </ddeItem>
      <ddeItem name="8080.TW-CName,InvestorConferenceDate,DateofMeetingofShareHolders,TradingDate" advise="1">
        <values cols="4">
          <value t="str">
            <val>永利聯合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8080.TW-ID,Name,MarketValue,Capital,NetIncomeGrowthRate,OperIncomeGrowthRate,FinancialStatementsTime,TFXRatio,MonthlyNetSalesYoY,RevenueMonth" advise="1">
        <values cols="10">
          <value t="str">
            <val>8080</val>
          </value>
          <value t="str">
            <val>永利聯合</val>
          </value>
          <value t="str">
            <val>2.9</val>
          </value>
          <value t="str">
            <val>2.32</val>
          </value>
          <value t="str">
            <val>-4.34</val>
          </value>
          <value t="str">
            <val>104.66</val>
          </value>
          <value t="str">
            <val>2022/03</val>
          </value>
          <value t="str">
            <val>-7.53</val>
          </value>
          <value t="str">
            <val>98.79</val>
          </value>
          <value t="str">
            <val>2022/06</val>
          </value>
        </values>
      </ddeItem>
      <ddeItem name="8080.TW-OperatingProfitRatio,Price,PriceChangeRatio,InOutRatioNumber,Value,YearReturn,MonthReturn,WeekReturn,FinanceBalanceDif,ChipsField2" advise="1">
        <values cols="10">
          <value t="str">
            <val>0.27</val>
          </value>
          <value>
            <val>12.5</val>
          </value>
          <value>
            <val>3.73</val>
          </value>
          <value t="str">
            <val>80.00%</val>
          </value>
          <value t="str">
            <val>6.21萬</val>
          </value>
          <value t="str">
            <val>--</val>
          </value>
          <value t="str">
            <val>+18.48</val>
          </value>
          <value t="str">
            <val>+1.21</val>
          </value>
          <value>
            <val>0</val>
          </value>
          <value>
            <val>0</val>
          </value>
        </values>
      </ddeItem>
      <ddeItem name="80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2022/07/05</val>
          </value>
          <value t="str">
            <val>10.20</val>
          </value>
          <value>
            <val>6</val>
          </value>
          <value t="str">
            <val>10.79</val>
          </value>
          <value t="str">
            <val>3.20</val>
          </value>
          <value t="str">
            <val>瑞穎</val>
          </value>
          <value t="str">
            <val>上櫃電機機械</val>
          </value>
          <value t="str">
            <val>台灣軸承製造商，主要應用於車庫門、手推車等</val>
          </value>
        </values>
      </ddeItem>
      <ddeItem name="8083.TW-CName,InvestorConferenceDate,DateofMeetingofShareHolders,TradingDate" advise="1">
        <values cols="4">
          <value t="str">
            <val>瑞穎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8083.TW-ID,Name,MarketValue,Capital,NetIncomeGrowthRate,OperIncomeGrowthRate,FinancialStatementsTime,TFXRatio,MonthlyNetSalesYoY,RevenueMonth" advise="1">
        <values cols="10">
          <value t="str">
            <val>8083</val>
          </value>
          <value t="str">
            <val>瑞穎</val>
          </value>
          <value t="str">
            <val>59.7</val>
          </value>
          <value t="str">
            <val>3.51</val>
          </value>
          <value t="str">
            <val>12.87</val>
          </value>
          <value t="str">
            <val>-16.79</val>
          </value>
          <value t="str">
            <val>2022/06</val>
          </value>
          <value t="str">
            <val>11.89</val>
          </value>
          <value t="str">
            <val>-20.27</val>
          </value>
          <value t="str">
            <val>2022/06</val>
          </value>
        </values>
      </ddeItem>
      <ddeItem name="8083.TW-OperatingProfitRatio,Price,PriceChangeRatio,InOutRatioNumber,Value,YearReturn,MonthReturn,WeekReturn,FinanceBalanceDif,ChipsField2" advise="1">
        <values cols="10">
          <value t="str">
            <val>21.51</val>
          </value>
          <value>
            <val>170</val>
          </value>
          <value>
            <val>0.89</val>
          </value>
          <value t="str">
            <val>57.14%</val>
          </value>
          <value t="str">
            <val>2197萬</val>
          </value>
          <value t="str">
            <val>-3.77</val>
          </value>
          <value t="str">
            <val>+4.29</val>
          </value>
          <value t="str">
            <val>+1.49</val>
          </value>
          <value>
            <val>0</val>
          </value>
          <value>
            <val>0</val>
          </value>
        </values>
      </ddeItem>
      <ddeItem name="80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0.00</val>
          </value>
          <value t="str">
            <val>0.76</val>
          </value>
          <value t="str">
            <val>巨虹</val>
          </value>
          <value t="str">
            <val>上櫃電子通路</val>
          </value>
          <value t="str">
            <val>記憶卡為主營收項，並轉型為手機資安系統設計商</val>
          </value>
        </values>
      </ddeItem>
      <ddeItem name="8084.TW-CName,InvestorConferenceDate,DateofMeetingofShareHolders,TradingDate" advise="1">
        <values cols="4">
          <value t="str">
            <val>巨虹</val>
          </value>
          <value t="str">
            <val>--</val>
          </value>
          <value t="str">
            <val>2022/09/13</val>
          </value>
          <value t="str">
            <val>2022/08/01</val>
          </value>
        </values>
      </ddeItem>
      <ddeItem name="8084.TW-ID,Name,MarketValue,Capital,NetIncomeGrowthRate,OperIncomeGrowthRate,FinancialStatementsTime,TFXRatio,MonthlyNetSalesYoY,RevenueMonth" advise="1">
        <values cols="10">
          <value t="str">
            <val>8084</val>
          </value>
          <value t="str">
            <val>巨虹</val>
          </value>
          <value t="str">
            <val>56.4</val>
          </value>
          <value t="str">
            <val>6.95</val>
          </value>
          <value t="str">
            <val>1629.04</val>
          </value>
          <value t="str">
            <val>1071.55</val>
          </value>
          <value t="str">
            <val>2022/03</val>
          </value>
          <value t="str">
            <val>29.48</val>
          </value>
          <value t="str">
            <val>19.37</val>
          </value>
          <value t="str">
            <val>2022/06</val>
          </value>
        </values>
      </ddeItem>
      <ddeItem name="8084.TW-OperatingProfitRatio,Price,PriceChangeRatio,InOutRatioNumber,Value,YearReturn,MonthReturn,WeekReturn,FinanceBalanceDif,ChipsField2" advise="1">
        <values cols="10">
          <value t="str">
            <val>8.54</val>
          </value>
          <value>
            <val>81.099999999999994</val>
          </value>
          <value>
            <val>-2.64</val>
          </value>
          <value t="str">
            <val>5.95%</val>
          </value>
          <value t="str">
            <val>702萬</val>
          </value>
          <value t="str">
            <val>+5.87</val>
          </value>
          <value t="str">
            <val>-3.68</val>
          </value>
          <value t="str">
            <val>-1.34</val>
          </value>
          <value>
            <val>0</val>
          </value>
          <value>
            <val>0</val>
          </value>
        </values>
      </ddeItem>
      <ddeItem name="80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65</val>
          </value>
          <value t="str">
            <val>2022/07/26</val>
          </value>
          <value t="str">
            <val>0.20</val>
          </value>
          <value>
            <val>1.02</val>
          </value>
          <value t="str">
            <val>0.28</val>
          </value>
          <value t="str">
            <val>0.14</val>
          </value>
          <value t="str">
            <val>福華</val>
          </value>
          <value t="str">
            <val>上櫃其他電子</val>
          </value>
          <value t="str">
            <val>泛大同集團股的電子零組件廠</val>
          </value>
        </values>
      </ddeItem>
      <ddeItem name="8085.TW-CName,InvestorConferenceDate,DateofMeetingofShareHolders,TradingDate" advise="1">
        <values cols="4">
          <value t="str">
            <val>福華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8085.TW-ID,Name,MarketValue,Capital,NetIncomeGrowthRate,OperIncomeGrowthRate,FinancialStatementsTime,TFXRatio,MonthlyNetSalesYoY,RevenueMonth" advise="1">
        <values cols="10">
          <value t="str">
            <val>8085</val>
          </value>
          <value t="str">
            <val>福華</val>
          </value>
          <value t="str">
            <val>27.4</val>
          </value>
          <value t="str">
            <val>14.00</val>
          </value>
          <value t="str">
            <val>74.92</val>
          </value>
          <value t="str">
            <val>13.42</val>
          </value>
          <value t="str">
            <val>2022/03</val>
          </value>
          <value t="str">
            <val>-11.60</val>
          </value>
          <value t="str">
            <val>24.91</val>
          </value>
          <value t="str">
            <val>2022/06</val>
          </value>
        </values>
      </ddeItem>
      <ddeItem name="8085.TW-OperatingProfitRatio,Price,PriceChangeRatio,InOutRatioNumber,Value,YearReturn,MonthReturn,WeekReturn,FinanceBalanceDif,ChipsField2" advise="1">
        <values cols="10">
          <value t="str">
            <val>-4.01</val>
          </value>
          <value>
            <val>19.55</val>
          </value>
          <value>
            <val>-1.26</val>
          </value>
          <value t="str">
            <val>23.86%</val>
          </value>
          <value t="str">
            <val>695萬</val>
          </value>
          <value t="str">
            <val>+24.67</val>
          </value>
          <value t="str">
            <val>+12.52</val>
          </value>
          <value t="str">
            <val>-1.26</val>
          </value>
          <value>
            <val>9</val>
          </value>
          <value>
            <val>0</val>
          </value>
        </values>
      </ddeItem>
      <ddeItem name="8086.TW-ChipsField3,ChipsField1,ChipsField25,CashAndStockDividend,CashDividendYieldRate,ProfitFourSeason,ProfitSingle,CName,ExchangeIndustry,CompanyPos" advise="1">
        <values cols="10">
          <value>
            <val>59</val>
          </value>
          <value>
            <val>95</val>
          </value>
          <value t="str">
            <val>2022/07/06</val>
          </value>
          <value t="str">
            <val>2.80</val>
          </value>
          <value>
            <val>3.87</val>
          </value>
          <value t="str">
            <val>3.64</val>
          </value>
          <value t="str">
            <val>0.24</val>
          </value>
          <value t="str">
            <val>宏捷科</val>
          </value>
          <value t="str">
            <val>上櫃半導體</val>
          </value>
          <value t="str">
            <val>全球前三大砷化鎵晶圓代工廠</val>
          </value>
        </values>
      </ddeItem>
      <ddeItem name="8086.TW-CName,InvestorConferenceDate,DateofMeetingofShareHolders,TradingDate" advise="1">
        <values cols="4">
          <value t="str">
            <val>宏捷科</val>
          </value>
          <value t="str">
            <val>2021/04/13</val>
          </value>
          <value t="str">
            <val>2022/06/20</val>
          </value>
          <value t="str">
            <val>2022/08/01</val>
          </value>
        </values>
      </ddeItem>
      <ddeItem name="8086.TW-ID,Name,MarketValue,Capital,NetIncomeGrowthRate,OperIncomeGrowthRate,FinancialStatementsTime,TFXRatio,MonthlyNetSalesYoY,RevenueMonth" advise="1">
        <values cols="10">
          <value t="str">
            <val>8086</val>
          </value>
          <value t="str">
            <val>宏捷科</val>
          </value>
          <value t="str">
            <val>142.3</val>
          </value>
          <value t="str">
            <val>19.65</val>
          </value>
          <value t="str">
            <val>-72.65</val>
          </value>
          <value t="str">
            <val>-78.60</val>
          </value>
          <value t="str">
            <val>2022/03</val>
          </value>
          <value t="str">
            <val>3.38</val>
          </value>
          <value t="str">
            <val>-48.60</val>
          </value>
          <value t="str">
            <val>2022/06</val>
          </value>
        </values>
      </ddeItem>
      <ddeItem name="8086.TW-OperatingProfitRatio,Price,PriceChangeRatio,InOutRatioNumber,Value,YearReturn,MonthReturn,WeekReturn,FinanceBalanceDif,ChipsField2" advise="1">
        <values cols="10">
          <value t="str">
            <val>6.96</val>
          </value>
          <value>
            <val>72.400000000000006</val>
          </value>
          <value>
            <val>0.42</val>
          </value>
          <value t="str">
            <val>59.10%</val>
          </value>
          <value t="str">
            <val>4625萬</val>
          </value>
          <value t="str">
            <val>-54.03</val>
          </value>
          <value t="str">
            <val>-2.22</val>
          </value>
          <value t="str">
            <val>-6.58</val>
          </value>
          <value>
            <val>-35</val>
          </value>
          <value>
            <val>0</val>
          </value>
        </values>
      </ddeItem>
      <ddeItem name="80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--</val>
          </value>
          <value t="str">
            <val>0.00</val>
          </value>
          <value>
            <val>0</val>
          </value>
          <value t="str">
            <val>0.73</val>
          </value>
          <value t="str">
            <val>1.58</val>
          </value>
          <value t="str">
            <val>華鎂鑫</val>
          </value>
          <value t="str">
            <val>上櫃光電</val>
          </value>
          <value t="str">
            <val>台灣專業碟片預錄廠</val>
          </value>
        </values>
      </ddeItem>
      <ddeItem name="8087.TW-CName,InvestorConferenceDate,DateofMeetingofShareHolders,TradingDate" advise="1">
        <values cols="4">
          <value t="str">
            <val>華鎂鑫</val>
          </value>
          <value t="str">
            <val>--</val>
          </value>
          <value t="str">
            <val>2022/04/08</val>
          </value>
          <value t="str">
            <val>2022/08/01</val>
          </value>
        </values>
      </ddeItem>
      <ddeItem name="8087.TW-ID,Name,MarketValue,Capital,NetIncomeGrowthRate,OperIncomeGrowthRate,FinancialStatementsTime,TFXRatio,MonthlyNetSalesYoY,RevenueMonth" advise="1">
        <values cols="10">
          <value t="str">
            <val>8087</val>
          </value>
          <value t="str">
            <val>華鎂鑫</val>
          </value>
          <value t="str">
            <val>10.5</val>
          </value>
          <value t="str">
            <val>2.91</val>
          </value>
          <value t="str">
            <val>17921.96</val>
          </value>
          <value t="str">
            <val>-137.43</val>
          </value>
          <value t="str">
            <val>2022/03</val>
          </value>
          <value t="str">
            <val>-30.17</val>
          </value>
          <value t="str">
            <val>880.99</val>
          </value>
          <value t="str">
            <val>2022/06</val>
          </value>
        </values>
      </ddeItem>
      <ddeItem name="8087.TW-OperatingProfitRatio,Price,PriceChangeRatio,InOutRatioNumber,Value,YearReturn,MonthReturn,WeekReturn,FinanceBalanceDif,ChipsField2" advise="1">
        <values cols="10">
          <value t="str">
            <val>-10.22</val>
          </value>
          <value>
            <val>36.15</val>
          </value>
          <value>
            <val>-1.5</val>
          </value>
          <value t="str">
            <val>32.49%</val>
          </value>
          <value t="str">
            <val>2654萬</val>
          </value>
          <value t="str">
            <val>+30.51</val>
          </value>
          <value t="str">
            <val>+7.43</val>
          </value>
          <value t="str">
            <val>+13.32</val>
          </value>
          <value>
            <val>0</val>
          </value>
          <value>
            <val>0</val>
          </value>
        </values>
      </ddeItem>
      <ddeItem name="80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2022/07/05</val>
          </value>
          <value t="str">
            <val>1.00</val>
          </value>
          <value>
            <val>5.24</val>
          </value>
          <value t="str">
            <val>1.93</val>
          </value>
          <value t="str">
            <val>0.62</val>
          </value>
          <value t="str">
            <val>品安</val>
          </value>
          <value t="str">
            <val>上櫃半導體</val>
          </value>
          <value t="str">
            <val>金士頓轉投資DRAM模組廠</val>
          </value>
        </values>
      </ddeItem>
      <ddeItem name="8088.TW-CName,InvestorConferenceDate,DateofMeetingofShareHolders,TradingDate" advise="1">
        <values cols="4">
          <value t="str">
            <val>品安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8088.TW-ID,Name,MarketValue,Capital,NetIncomeGrowthRate,OperIncomeGrowthRate,FinancialStatementsTime,TFXRatio,MonthlyNetSalesYoY,RevenueMonth" advise="1">
        <values cols="10">
          <value t="str">
            <val>8088</val>
          </value>
          <value t="str">
            <val>品安</val>
          </value>
          <value t="str">
            <val>11.6</val>
          </value>
          <value t="str">
            <val>6.09</val>
          </value>
          <value t="str">
            <val>87.91</val>
          </value>
          <value t="str">
            <val>9.19</val>
          </value>
          <value t="str">
            <val>2022/03</val>
          </value>
          <value t="str">
            <val>11.50</val>
          </value>
          <value t="str">
            <val>14.02</val>
          </value>
          <value t="str">
            <val>2022/06</val>
          </value>
        </values>
      </ddeItem>
      <ddeItem name="8088.TW-OperatingProfitRatio,Price,PriceChangeRatio,InOutRatioNumber,Value,YearReturn,MonthReturn,WeekReturn,FinanceBalanceDif,ChipsField2" advise="1">
        <values cols="10">
          <value t="str">
            <val>7.66</val>
          </value>
          <value>
            <val>19.100000000000001</val>
          </value>
          <value>
            <val>0.79</val>
          </value>
          <value t="str">
            <val>75.00%</val>
          </value>
          <value t="str">
            <val>68.9萬</val>
          </value>
          <value t="str">
            <val>-22.83</val>
          </value>
          <value t="str">
            <val>+11.37</val>
          </value>
          <value t="str">
            <val>-0.52</val>
          </value>
          <value>
            <val>-4</val>
          </value>
          <value>
            <val>0</val>
          </value>
        </values>
      </ddeItem>
      <ddeItem name="80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</val>
          </value>
          <value t="str">
            <val>2022/07/14</val>
          </value>
          <value t="str">
            <val>0.99</val>
          </value>
          <value>
            <val>4.04</val>
          </value>
          <value t="str">
            <val>-0.19</val>
          </value>
          <value t="str">
            <val>0.09</val>
          </value>
          <value t="str">
            <val>康全電訊</val>
          </value>
          <value t="str">
            <val>上櫃通信網路</val>
          </value>
          <value t="str">
            <val>訊舟轉投資網路通訊設備廠</val>
          </value>
        </values>
      </ddeItem>
      <ddeItem name="8089.TW-CName,InvestorConferenceDate,DateofMeetingofShareHolders,TradingDate" advise="1">
        <values cols="4">
          <value t="str">
            <val>康全電訊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8089.TW-ID,Name,MarketValue,Capital,NetIncomeGrowthRate,OperIncomeGrowthRate,FinancialStatementsTime,TFXRatio,MonthlyNetSalesYoY,RevenueMonth" advise="1">
        <values cols="10">
          <value t="str">
            <val>8089</val>
          </value>
          <value t="str">
            <val>康全電訊</val>
          </value>
          <value t="str">
            <val>14.3</val>
          </value>
          <value t="str">
            <val>5.82</val>
          </value>
          <value t="str">
            <val>150.38</val>
          </value>
          <value t="str">
            <val>141.12</val>
          </value>
          <value t="str">
            <val>2022/03</val>
          </value>
          <value t="str">
            <val>8.76</val>
          </value>
          <value t="str">
            <val>-7.02</val>
          </value>
          <value t="str">
            <val>2022/06</val>
          </value>
        </values>
      </ddeItem>
      <ddeItem name="8089.TW-OperatingProfitRatio,Price,PriceChangeRatio,InOutRatioNumber,Value,YearReturn,MonthReturn,WeekReturn,FinanceBalanceDif,ChipsField2" advise="1">
        <values cols="10">
          <value t="str">
            <val>0.80</val>
          </value>
          <value>
            <val>24.5</val>
          </value>
          <value>
            <val>0.2</val>
          </value>
          <value t="str">
            <val>50.00%</val>
          </value>
          <value t="str">
            <val>123萬</val>
          </value>
          <value t="str">
            <val>-5.26</val>
          </value>
          <value t="str">
            <val>+20.74</val>
          </value>
          <value t="str">
            <val>+0.41</val>
          </value>
          <value>
            <val>-7</val>
          </value>
          <value>
            <val>0</val>
          </value>
        </values>
      </ddeItem>
      <ddeItem name="8091.TW-ChipsField3,ChipsField1,ChipsField25,CashAndStockDividend,CashDividendYieldRate,ProfitFourSeason,ProfitSingle,CName,ExchangeIndustry,CompanyPos" advise="1">
        <values cols="10">
          <value>
            <val>38</val>
          </value>
          <value>
            <val>10</val>
          </value>
          <value t="str">
            <val>2022/07/18</val>
          </value>
          <value t="str">
            <val>3.91</val>
          </value>
          <value>
            <val>5.34</val>
          </value>
          <value t="str">
            <val>7.41</val>
          </value>
          <value t="str">
            <val>2.16</val>
          </value>
          <value t="str">
            <val>翔名</val>
          </value>
          <value t="str">
            <val>上櫃電子零組件</val>
          </value>
          <value t="str">
            <val>台灣半導體離子植入機之關鍵零件最大供應商</val>
          </value>
        </values>
      </ddeItem>
      <ddeItem name="8091.TW-CName,InvestorConferenceDate,DateofMeetingofShareHolders,TradingDate" advise="1">
        <values cols="4">
          <value t="str">
            <val>翔名</val>
          </value>
          <value t="str">
            <val>2022/03/23</val>
          </value>
          <value t="str">
            <val>2022/06/20</val>
          </value>
          <value t="str">
            <val>2022/08/01</val>
          </value>
        </values>
      </ddeItem>
      <ddeItem name="8091.TW-ID,Name,MarketValue,Capital,NetIncomeGrowthRate,OperIncomeGrowthRate,FinancialStatementsTime,TFXRatio,MonthlyNetSalesYoY,RevenueMonth" advise="1">
        <values cols="10">
          <value t="str">
            <val>8091</val>
          </value>
          <value t="str">
            <val>翔名</val>
          </value>
          <value t="str">
            <val>33.3</val>
          </value>
          <value t="str">
            <val>4.56</val>
          </value>
          <value t="str">
            <val>224.73</val>
          </value>
          <value t="str">
            <val>156.21</val>
          </value>
          <value t="str">
            <val>2022/03</val>
          </value>
          <value t="str">
            <val>18.88</val>
          </value>
          <value t="str">
            <val>56.78</val>
          </value>
          <value t="str">
            <val>2022/06</val>
          </value>
        </values>
      </ddeItem>
      <ddeItem name="8091.TW-OperatingProfitRatio,Price,PriceChangeRatio,InOutRatioNumber,Value,YearReturn,MonthReturn,WeekReturn,FinanceBalanceDif,ChipsField2" advise="1">
        <values cols="10">
          <value t="str">
            <val>24.47</val>
          </value>
          <value>
            <val>73.2</val>
          </value>
          <value>
            <val>2.38</val>
          </value>
          <value t="str">
            <val>52.94%</val>
          </value>
          <value t="str">
            <val>1615萬</val>
          </value>
          <value t="str">
            <val>+36.00</val>
          </value>
          <value t="str">
            <val>+15.34</val>
          </value>
          <value t="str">
            <val>+2.81</val>
          </value>
          <value>
            <val>6</val>
          </value>
          <value>
            <val>0</val>
          </value>
        </values>
      </ddeItem>
      <ddeItem name="80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0.00</val>
          </value>
          <value>
            <val>0</val>
          </value>
          <value t="str">
            <val>-0.26</val>
          </value>
          <value t="str">
            <val>0.02</val>
          </value>
          <value t="str">
            <val>建暐</val>
          </value>
          <value t="str">
            <val>上櫃其他電子</val>
          </value>
          <value t="str">
            <val>IC封裝模具及量測儀器廠製造商</val>
          </value>
        </values>
      </ddeItem>
      <ddeItem name="8092.TW-CName,InvestorConferenceDate,DateofMeetingofShareHolders,TradingDate" advise="1">
        <values cols="4">
          <value t="str">
            <val>建暐</val>
          </value>
          <value t="str">
            <val>--</val>
          </value>
          <value t="str">
            <val>2022/06/21</val>
          </value>
          <value t="str">
            <val>2022/08/01</val>
          </value>
        </values>
      </ddeItem>
      <ddeItem name="8092.TW-ID,Name,MarketValue,Capital,NetIncomeGrowthRate,OperIncomeGrowthRate,FinancialStatementsTime,TFXRatio,MonthlyNetSalesYoY,RevenueMonth" advise="1">
        <values cols="10">
          <value t="str">
            <val>8092</val>
          </value>
          <value t="str">
            <val>建暐</val>
          </value>
          <value t="str">
            <val>4.1</val>
          </value>
          <value t="str">
            <val>3.89</val>
          </value>
          <value t="str">
            <val>108.20</val>
          </value>
          <value t="str">
            <val>102.87</val>
          </value>
          <value t="str">
            <val>2022/03</val>
          </value>
          <value t="str">
            <val>42.68</val>
          </value>
          <value t="str">
            <val>8.89</val>
          </value>
          <value t="str">
            <val>2022/06</val>
          </value>
        </values>
      </ddeItem>
      <ddeItem name="8092.TW-OperatingProfitRatio,Price,PriceChangeRatio,InOutRatioNumber,Value,YearReturn,MonthReturn,WeekReturn,FinanceBalanceDif,ChipsField2" advise="1">
        <values cols="10">
          <value t="str">
            <val>0.41</val>
          </value>
          <value>
            <val>10.6</val>
          </value>
          <value>
            <val>-0.93</val>
          </value>
          <value t="str">
            <val>25.00%</val>
          </value>
          <value t="str">
            <val>77.0萬</val>
          </value>
          <value t="str">
            <val>+11.23</val>
          </value>
          <value t="str">
            <val>+9.05</val>
          </value>
          <value t="str">
            <val>+3.41</val>
          </value>
          <value>
            <val>0</val>
          </value>
          <value>
            <val>0</val>
          </value>
        </values>
      </ddeItem>
      <ddeItem name="809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--</val>
          </value>
          <value t="str">
            <val>0.00</val>
          </value>
          <value>
            <val>0</val>
          </value>
          <value t="str">
            <val>-0.83</val>
          </value>
          <value t="str">
            <val>-0.10</val>
          </value>
          <value t="str">
            <val>保銳</val>
          </value>
          <value t="str">
            <val>上櫃電子零組件</val>
          </value>
          <value t="str">
            <val>主攻高階DIY市場且經營自有品牌之電源與電腦週邊廠</val>
          </value>
        </values>
      </ddeItem>
      <ddeItem name="8093.TW-CName,InvestorConferenceDate,DateofMeetingofShareHolders,TradingDate" advise="1">
        <values cols="4">
          <value t="str">
            <val>保銳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8093.TW-ID,Name,MarketValue,Capital,NetIncomeGrowthRate,OperIncomeGrowthRate,FinancialStatementsTime,TFXRatio,MonthlyNetSalesYoY,RevenueMonth" advise="1">
        <values cols="10">
          <value t="str">
            <val>8093</val>
          </value>
          <value t="str">
            <val>保銳</val>
          </value>
          <value t="str">
            <val>4.6</val>
          </value>
          <value t="str">
            <val>6.42</val>
          </value>
          <value t="str">
            <val>-4.90</val>
          </value>
          <value t="str">
            <val>-253.48</val>
          </value>
          <value t="str">
            <val>2022/03</val>
          </value>
          <value t="str">
            <val>-51.10</val>
          </value>
          <value t="str">
            <val>-57.83</val>
          </value>
          <value t="str">
            <val>2022/06</val>
          </value>
        </values>
      </ddeItem>
      <ddeItem name="8093.TW-OperatingProfitRatio,Price,PriceChangeRatio,InOutRatioNumber,Value,YearReturn,MonthReturn,WeekReturn,FinanceBalanceDif,ChipsField2" advise="1">
        <values cols="10">
          <value t="str">
            <val>-48.68</val>
          </value>
          <value>
            <val>7.11</val>
          </value>
          <value>
            <val>-1.39</val>
          </value>
          <value t="str">
            <val>35.29%</val>
          </value>
          <value t="str">
            <val>24.5萬</val>
          </value>
          <value t="str">
            <val>-25.47</val>
          </value>
          <value t="str">
            <val>+3.49</val>
          </value>
          <value t="str">
            <val>-3.66</val>
          </value>
          <value>
            <val>0</val>
          </value>
          <value>
            <val>0</val>
          </value>
        </values>
      </ddeItem>
      <ddeItem name="80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244</val>
          </value>
          <value t="str">
            <val>--</val>
          </value>
          <value t="str">
            <val>0.50</val>
          </value>
          <value>
            <val>3.72</val>
          </value>
          <value t="str">
            <val>1.58</val>
          </value>
          <value t="str">
            <val>0.73</val>
          </value>
          <value t="str">
            <val>擎亞</val>
          </value>
          <value t="str">
            <val>上櫃電子通路</val>
          </value>
          <value t="str">
            <val>為韓國三星在台灣IC設計服務之主要合作夥伴</val>
          </value>
        </values>
      </ddeItem>
      <ddeItem name="8096.TW-CName,InvestorConferenceDate,DateofMeetingofShareHolders,TradingDate" advise="1">
        <values cols="4">
          <value t="str">
            <val>擎亞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8096.TW-ID,Name,MarketValue,Capital,NetIncomeGrowthRate,OperIncomeGrowthRate,FinancialStatementsTime,TFXRatio,MonthlyNetSalesYoY,RevenueMonth" advise="1">
        <values cols="10">
          <value t="str">
            <val>8096</val>
          </value>
          <value t="str">
            <val>擎亞</val>
          </value>
          <value t="str">
            <val>19.5</val>
          </value>
          <value t="str">
            <val>14.53</val>
          </value>
          <value t="str">
            <val>150.36</val>
          </value>
          <value t="str">
            <val>62.64</val>
          </value>
          <value t="str">
            <val>2022/03</val>
          </value>
          <value t="str">
            <val>-15.59</val>
          </value>
          <value t="str">
            <val>-33.76</val>
          </value>
          <value t="str">
            <val>2022/06</val>
          </value>
        </values>
      </ddeItem>
      <ddeItem name="8096.TW-OperatingProfitRatio,Price,PriceChangeRatio,InOutRatioNumber,Value,YearReturn,MonthReturn,WeekReturn,FinanceBalanceDif,ChipsField2" advise="1">
        <values cols="10">
          <value t="str">
            <val>1.26</val>
          </value>
          <value>
            <val>13.45</val>
          </value>
          <value>
            <val>3.07</val>
          </value>
          <value t="str">
            <val>59.06%</val>
          </value>
          <value t="str">
            <val>1538萬</val>
          </value>
          <value t="str">
            <val>-6.83</val>
          </value>
          <value t="str">
            <val>+4.26</val>
          </value>
          <value t="str">
            <val>+1.89</val>
          </value>
          <value>
            <val>-28</val>
          </value>
          <value>
            <val>0</val>
          </value>
        </values>
      </ddeItem>
      <ddeItem name="809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87</val>
          </value>
          <value t="str">
            <val>--</val>
          </value>
          <value t="str">
            <val>0.00</val>
          </value>
          <value>
            <val>0</val>
          </value>
          <value t="str">
            <val>0.29</val>
          </value>
          <value t="str">
            <val>0.57</val>
          </value>
          <value t="str">
            <val>常珵</val>
          </value>
          <value t="str">
            <val>上櫃通信網路</val>
          </value>
          <value t="str">
            <val>公司轉型為無線通訊、物聯網產品周邊及配件製造商</val>
          </value>
        </values>
      </ddeItem>
      <ddeItem name="8097.TW-CName,InvestorConferenceDate,DateofMeetingofShareHolders,TradingDate" advise="1">
        <values cols="4">
          <value t="str">
            <val>常珵</val>
          </value>
          <value t="str">
            <val>--</val>
          </value>
          <value t="str">
            <val>2022/06/30</val>
          </value>
          <value t="str">
            <val>2022/08/01</val>
          </value>
        </values>
      </ddeItem>
      <ddeItem name="8097.TW-ID,Name,MarketValue,Capital,NetIncomeGrowthRate,OperIncomeGrowthRate,FinancialStatementsTime,TFXRatio,MonthlyNetSalesYoY,RevenueMonth" advise="1">
        <values cols="10">
          <value t="str">
            <val>8097</val>
          </value>
          <value t="str">
            <val>常珵</val>
          </value>
          <value t="str">
            <val>34.4</val>
          </value>
          <value t="str">
            <val>4.32</val>
          </value>
          <value t="str">
            <val>734.16</val>
          </value>
          <value t="str">
            <val>877.74</val>
          </value>
          <value t="str">
            <val>2022/03</val>
          </value>
          <value t="str">
            <val>-17.82</val>
          </value>
          <value t="str">
            <val>522.98</val>
          </value>
          <value t="str">
            <val>2022/06</val>
          </value>
        </values>
      </ddeItem>
      <ddeItem name="8097.TW-OperatingProfitRatio,Price,PriceChangeRatio,InOutRatioNumber,Value,YearReturn,MonthReturn,WeekReturn,FinanceBalanceDif,ChipsField2" advise="1">
        <values cols="10">
          <value t="str">
            <val>12.83</val>
          </value>
          <value>
            <val>79.599999999999994</val>
          </value>
          <value>
            <val>1.53</val>
          </value>
          <value t="str">
            <val>53.52%</val>
          </value>
          <value t="str">
            <val>3.17億</val>
          </value>
          <value t="str">
            <val>+209.73</val>
          </value>
          <value t="str">
            <val>+19.70</val>
          </value>
          <value t="str">
            <val>+4.33</val>
          </value>
          <value>
            <val>8</val>
          </value>
          <value>
            <val>0</val>
          </value>
        </values>
      </ddeItem>
      <ddeItem name="80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2022/08/09</val>
          </value>
          <value t="str">
            <val>1.80</val>
          </value>
          <value>
            <val>4.5999999999999996</val>
          </value>
          <value t="str">
            <val>2.06</val>
          </value>
          <value t="str">
            <val>0.45</val>
          </value>
          <value t="str">
            <val>大世科</val>
          </value>
          <value t="str">
            <val>上櫃資訊服務</val>
          </value>
          <value t="str">
            <val>大同旗下資訊通信系統整合廠商</val>
          </value>
        </values>
      </ddeItem>
      <ddeItem name="8099.TW-CName,InvestorConferenceDate,DateofMeetingofShareHolders,TradingDate" advise="1">
        <values cols="4">
          <value t="str">
            <val>大世科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8099.TW-ID,Name,MarketValue,Capital,NetIncomeGrowthRate,OperIncomeGrowthRate,FinancialStatementsTime,TFXRatio,MonthlyNetSalesYoY,RevenueMonth" advise="1">
        <values cols="10">
          <value t="str">
            <val>8099</val>
          </value>
          <value t="str">
            <val>大世科</val>
          </value>
          <value t="str">
            <val>34.7</val>
          </value>
          <value t="str">
            <val>8.86</val>
          </value>
          <value t="str">
            <val>11.29</val>
          </value>
          <value t="str">
            <val>-16.52</val>
          </value>
          <value t="str">
            <val>2022/03</val>
          </value>
          <value t="str">
            <val>69.72</val>
          </value>
          <value t="str">
            <val>70.61</val>
          </value>
          <value t="str">
            <val>2022/06</val>
          </value>
        </values>
      </ddeItem>
      <ddeItem name="8099.TW-OperatingProfitRatio,Price,PriceChangeRatio,InOutRatioNumber,Value,YearReturn,MonthReturn,WeekReturn,FinanceBalanceDif,ChipsField2" advise="1">
        <values cols="10">
          <value t="str">
            <val>3.22</val>
          </value>
          <value>
            <val>39.15</val>
          </value>
          <value>
            <val>0.13</val>
          </value>
          <value t="str">
            <val>12.50%</val>
          </value>
          <value t="str">
            <val>62.5萬</val>
          </value>
          <value t="str">
            <val>+6.50</val>
          </value>
          <value t="str">
            <val>+5.53</val>
          </value>
          <value t="str">
            <val>-0.38</val>
          </value>
          <value>
            <val>0</val>
          </value>
          <value>
            <val>0</val>
          </value>
        </values>
      </ddeItem>
      <ddeItem name="81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31</val>
          </value>
          <value t="str">
            <val>--</val>
          </value>
          <value t="str">
            <val>0.15</val>
          </value>
          <value>
            <val>0.76</val>
          </value>
          <value t="str">
            <val>0.10</val>
          </value>
          <value t="str">
            <val>0.06</val>
          </value>
          <value t="str">
            <val>大億金茂</val>
          </value>
          <value t="str">
            <val>上櫃電機機械</val>
          </value>
          <value t="str">
            <val>屬大億集團，轉型為汽車零組件供應商</val>
          </value>
        </values>
      </ddeItem>
      <ddeItem name="8107.TW-CName,InvestorConferenceDate,DateofMeetingofShareHolders,TradingDate" advise="1">
        <values cols="4">
          <value t="str">
            <val>大億金茂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8107.TW-ID,Name,MarketValue,Capital,NetIncomeGrowthRate,OperIncomeGrowthRate,FinancialStatementsTime,TFXRatio,MonthlyNetSalesYoY,RevenueMonth" advise="1">
        <values cols="10">
          <value t="str">
            <val>8107</val>
          </value>
          <value t="str">
            <val>大億金茂</val>
          </value>
          <value t="str">
            <val>14.8</val>
          </value>
          <value t="str">
            <val>7.50</val>
          </value>
          <value t="str">
            <val>-75.52</val>
          </value>
          <value t="str">
            <val>-295.05</val>
          </value>
          <value t="str">
            <val>2022/03</val>
          </value>
          <value t="str">
            <val>32.25</val>
          </value>
          <value t="str">
            <val>6.10</val>
          </value>
          <value t="str">
            <val>2022/06</val>
          </value>
        </values>
      </ddeItem>
      <ddeItem name="8107.TW-OperatingProfitRatio,Price,PriceChangeRatio,InOutRatioNumber,Value,YearReturn,MonthReturn,WeekReturn,FinanceBalanceDif,ChipsField2" advise="1">
        <values cols="10">
          <value t="str">
            <val>-3.13</val>
          </value>
          <value>
            <val>19.7</val>
          </value>
          <value>
            <val>2.0699999999999998</val>
          </value>
          <value t="str">
            <val>64.54%</val>
          </value>
          <value t="str">
            <val>899萬</val>
          </value>
          <value t="str">
            <val>-1.13</val>
          </value>
          <value t="str">
            <val>+10.06</val>
          </value>
          <value t="str">
            <val>+2.34</val>
          </value>
          <value>
            <val>13</val>
          </value>
          <value>
            <val>0</val>
          </value>
        </values>
      </ddeItem>
      <ddeItem name="81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2022/04/14</val>
          </value>
          <value t="str">
            <val>4.00</val>
          </value>
          <value>
            <val>5.34</val>
          </value>
          <value t="str">
            <val>6.24</val>
          </value>
          <value t="str">
            <val>2.07</val>
          </value>
          <value t="str">
            <val>博大</val>
          </value>
          <value t="str">
            <val>上櫃電子零組件</val>
          </value>
          <value t="str">
            <val>台灣專攻工業與通訊應用之利基型電源廠</val>
          </value>
        </values>
      </ddeItem>
      <ddeItem name="8109.TW-CName,InvestorConferenceDate,DateofMeetingofShareHolders,TradingDate" advise="1">
        <values cols="4">
          <value t="str">
            <val>博大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8109.TW-ID,Name,MarketValue,Capital,NetIncomeGrowthRate,OperIncomeGrowthRate,FinancialStatementsTime,TFXRatio,MonthlyNetSalesYoY,RevenueMonth" advise="1">
        <values cols="10">
          <value t="str">
            <val>8109</val>
          </value>
          <value t="str">
            <val>博大</val>
          </value>
          <value t="str">
            <val>58.1</val>
          </value>
          <value t="str">
            <val>7.76</val>
          </value>
          <value t="str">
            <val>87.22</val>
          </value>
          <value t="str">
            <val>-4.32</val>
          </value>
          <value t="str">
            <val>2022/03</val>
          </value>
          <value t="str">
            <val>6.57</val>
          </value>
          <value t="str">
            <val>16.97</val>
          </value>
          <value t="str">
            <val>2022/06</val>
          </value>
        </values>
      </ddeItem>
      <ddeItem name="8109.TW-OperatingProfitRatio,Price,PriceChangeRatio,InOutRatioNumber,Value,YearReturn,MonthReturn,WeekReturn,FinanceBalanceDif,ChipsField2" advise="1">
        <values cols="10">
          <value t="str">
            <val>29.81</val>
          </value>
          <value>
            <val>74.900000000000006</val>
          </value>
          <value>
            <val>0.13</val>
          </value>
          <value t="str">
            <val>63.33%</val>
          </value>
          <value t="str">
            <val>225萬</val>
          </value>
          <value t="str">
            <val>+3.95</val>
          </value>
          <value t="str">
            <val>+4.90</val>
          </value>
          <value t="str">
            <val>+1.35</val>
          </value>
          <value>
            <val>0</val>
          </value>
          <value>
            <val>0</val>
          </value>
        </values>
      </ddeItem>
      <ddeItem name="81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35</val>
          </value>
          <value t="str">
            <val>2022/06/27</val>
          </value>
          <value t="str">
            <val>2.10</val>
          </value>
          <value>
            <val>12.46</val>
          </value>
          <value t="str">
            <val>3.44</val>
          </value>
          <value t="str">
            <val>0.29</val>
          </value>
          <value t="str">
            <val>立碁</val>
          </value>
          <value t="str">
            <val>上櫃光電</val>
          </value>
          <value t="str">
            <val>台灣LED元件生產商及封裝大廠</val>
          </value>
        </values>
      </ddeItem>
      <ddeItem name="8111.TW-CName,InvestorConferenceDate,DateofMeetingofShareHolders,TradingDate" advise="1">
        <values cols="4">
          <value t="str">
            <val>立碁</val>
          </value>
          <value t="str">
            <val>2021/11/09</val>
          </value>
          <value t="str">
            <val>2022/06/09</val>
          </value>
          <value t="str">
            <val>2022/08/01</val>
          </value>
        </values>
      </ddeItem>
      <ddeItem name="8111.TW-ID,Name,MarketValue,Capital,NetIncomeGrowthRate,OperIncomeGrowthRate,FinancialStatementsTime,TFXRatio,MonthlyNetSalesYoY,RevenueMonth" advise="1">
        <values cols="10">
          <value t="str">
            <val>8111</val>
          </value>
          <value t="str">
            <val>立碁</val>
          </value>
          <value t="str">
            <val>18.4</val>
          </value>
          <value t="str">
            <val>10.91</val>
          </value>
          <value t="str">
            <val>-39.53</val>
          </value>
          <value t="str">
            <val>-64.80</val>
          </value>
          <value t="str">
            <val>2022/03</val>
          </value>
          <value t="str">
            <val>-0.45</val>
          </value>
          <value t="str">
            <val>-29.28</val>
          </value>
          <value t="str">
            <val>2022/06</val>
          </value>
        </values>
      </ddeItem>
      <ddeItem name="8111.TW-OperatingProfitRatio,Price,PriceChangeRatio,InOutRatioNumber,Value,YearReturn,MonthReturn,WeekReturn,FinanceBalanceDif,ChipsField2" advise="1">
        <values cols="10">
          <value t="str">
            <val>6.80</val>
          </value>
          <value>
            <val>16.850000000000001</val>
          </value>
          <value>
            <val>-0.59</val>
          </value>
          <value t="str">
            <val>33.99%</val>
          </value>
          <value t="str">
            <val>260萬</val>
          </value>
          <value t="str">
            <val>-11.46</val>
          </value>
          <value t="str">
            <val>+7.32</val>
          </value>
          <value t="str">
            <val>-3.71</val>
          </value>
          <value>
            <val>-8</val>
          </value>
          <value>
            <val>0</val>
          </value>
        </values>
      </ddeItem>
      <ddeItem name="8121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15</val>
          </value>
          <value t="str">
            <val>--</val>
          </value>
          <value t="str">
            <val>0.00</val>
          </value>
          <value>
            <val>0</val>
          </value>
          <value t="str">
            <val>0.35</val>
          </value>
          <value t="str">
            <val>0.07</val>
          </value>
          <value t="str">
            <val>越峰</val>
          </value>
          <value t="str">
            <val>上櫃電子零組件</val>
          </value>
          <value t="str">
            <val>台聚旗下、台灣最大錳鋅系列鐵芯等電感類製造廠</val>
          </value>
        </values>
      </ddeItem>
      <ddeItem name="8121.TW-CName,InvestorConferenceDate,DateofMeetingofShareHolders,TradingDate" advise="1">
        <values cols="4">
          <value t="str">
            <val>越峰</val>
          </value>
          <value t="str">
            <val>2022/03/30</val>
          </value>
          <value t="str">
            <val>2022/05/30</val>
          </value>
          <value t="str">
            <val>2022/08/01</val>
          </value>
        </values>
      </ddeItem>
      <ddeItem name="8121.TW-ID,Name,MarketValue,Capital,NetIncomeGrowthRate,OperIncomeGrowthRate,FinancialStatementsTime,TFXRatio,MonthlyNetSalesYoY,RevenueMonth" advise="1">
        <values cols="10">
          <value t="str">
            <val>8121</val>
          </value>
          <value t="str">
            <val>越峰</val>
          </value>
          <value t="str">
            <val>60.2</val>
          </value>
          <value t="str">
            <val>18.30</val>
          </value>
          <value t="str">
            <val>93.99</val>
          </value>
          <value t="str">
            <val>10.89</val>
          </value>
          <value t="str">
            <val>2022/03</val>
          </value>
          <value t="str">
            <val>-10.16</val>
          </value>
          <value t="str">
            <val>4.99</val>
          </value>
          <value t="str">
            <val>2022/06</val>
          </value>
        </values>
      </ddeItem>
      <ddeItem name="8121.TW-OperatingProfitRatio,Price,PriceChangeRatio,InOutRatioNumber,Value,YearReturn,MonthReturn,WeekReturn,FinanceBalanceDif,ChipsField2" advise="1">
        <values cols="10">
          <value t="str">
            <val>3.73</val>
          </value>
          <value>
            <val>32.9</val>
          </value>
          <value>
            <val>0.77</val>
          </value>
          <value t="str">
            <val>42.06%</val>
          </value>
          <value t="str">
            <val>2963萬</val>
          </value>
          <value t="str">
            <val>+64.09</val>
          </value>
          <value t="str">
            <val>+15.85</val>
          </value>
          <value t="str">
            <val>+0.92</val>
          </value>
          <value>
            <val>0</val>
          </value>
          <value>
            <val>0</val>
          </value>
        </values>
      </ddeItem>
      <ddeItem name="81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1.10</val>
          </value>
          <value>
            <val>2.0499999999999998</val>
          </value>
          <value t="str">
            <val>2.21</val>
          </value>
          <value t="str">
            <val>0.93</val>
          </value>
          <value t="str">
            <val>正淩</val>
          </value>
          <value t="str">
            <val>上櫃電子零組件</val>
          </value>
          <value t="str">
            <val>生產PC、工業及通信用的連接器廠商</val>
          </value>
        </values>
      </ddeItem>
      <ddeItem name="8147.TW-CName,InvestorConferenceDate,DateofMeetingofShareHolders,TradingDate" advise="1">
        <values cols="4">
          <value t="str">
            <val>正淩</val>
          </value>
          <value t="str">
            <val>2021/01/14</val>
          </value>
          <value t="str">
            <val>2022/06/16</val>
          </value>
          <value t="str">
            <val>2022/08/01</val>
          </value>
        </values>
      </ddeItem>
      <ddeItem name="8147.TW-ID,Name,MarketValue,Capital,NetIncomeGrowthRate,OperIncomeGrowthRate,FinancialStatementsTime,TFXRatio,MonthlyNetSalesYoY,RevenueMonth" advise="1">
        <values cols="10">
          <value t="str">
            <val>8147</val>
          </value>
          <value t="str">
            <val>正淩</val>
          </value>
          <value t="str">
            <val>17.4</val>
          </value>
          <value t="str">
            <val>3.24</val>
          </value>
          <value t="str">
            <val>5504.85</val>
          </value>
          <value t="str">
            <val>1315.66</val>
          </value>
          <value t="str">
            <val>2022/03</val>
          </value>
          <value t="str">
            <val>-18.01</val>
          </value>
          <value t="str">
            <val>-12.24</val>
          </value>
          <value t="str">
            <val>2022/06</val>
          </value>
        </values>
      </ddeItem>
      <ddeItem name="8147.TW-OperatingProfitRatio,Price,PriceChangeRatio,InOutRatioNumber,Value,YearReturn,MonthReturn,WeekReturn,FinanceBalanceDif,ChipsField2" advise="1">
        <values cols="10">
          <value t="str">
            <val>11.08</val>
          </value>
          <value>
            <val>53.7</val>
          </value>
          <value>
            <val>1.32</val>
          </value>
          <value t="str">
            <val>48.39%</val>
          </value>
          <value t="str">
            <val>167萬</val>
          </value>
          <value t="str">
            <val>-2.97</val>
          </value>
          <value t="str">
            <val>+2.09</val>
          </value>
          <value t="str">
            <val>+4.07</val>
          </value>
          <value>
            <val>0</val>
          </value>
          <value>
            <val>0</val>
          </value>
        </values>
      </ddeItem>
      <ddeItem name="8155.TW-ChipsField3,ChipsField1,ChipsField25,CashAndStockDividend,CashDividendYieldRate,ProfitFourSeason,ProfitSingle,CName,ExchangeIndustry,CompanyPos" advise="1">
        <values cols="10">
          <value>
            <val>9</val>
          </value>
          <value>
            <val>309</val>
          </value>
          <value t="str">
            <val>2022/07/28</val>
          </value>
          <value t="str">
            <val>6.00</val>
          </value>
          <value>
            <val>5.53</val>
          </value>
          <value t="str">
            <val>9.51</val>
          </value>
          <value t="str">
            <val>3.53</val>
          </value>
          <value t="str">
            <val>博智</val>
          </value>
          <value t="str">
            <val>上櫃電子零組件</val>
          </value>
          <value t="str">
            <val>仁寶集團旗下的印刷電路板廠商</val>
          </value>
        </values>
      </ddeItem>
      <ddeItem name="8155.TW-CName,InvestorConferenceDate,DateofMeetingofShareHolders,TradingDate" advise="1">
        <values cols="4">
          <value t="str">
            <val>博智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8155.TW-ID,Name,MarketValue,Capital,NetIncomeGrowthRate,OperIncomeGrowthRate,FinancialStatementsTime,TFXRatio,MonthlyNetSalesYoY,RevenueMonth" advise="1">
        <values cols="10">
          <value t="str">
            <val>8155</val>
          </value>
          <value t="str">
            <val>博智</val>
          </value>
          <value t="str">
            <val>54.0</val>
          </value>
          <value t="str">
            <val>4.98</val>
          </value>
          <value t="str">
            <val>89.63</val>
          </value>
          <value t="str">
            <val>86.03</val>
          </value>
          <value t="str">
            <val>2022/03</val>
          </value>
          <value t="str">
            <val>-7.59</val>
          </value>
          <value t="str">
            <val>20.43</val>
          </value>
          <value t="str">
            <val>2022/06</val>
          </value>
        </values>
      </ddeItem>
      <ddeItem name="8155.TW-OperatingProfitRatio,Price,PriceChangeRatio,InOutRatioNumber,Value,YearReturn,MonthReturn,WeekReturn,FinanceBalanceDif,ChipsField2" advise="1">
        <values cols="10">
          <value t="str">
            <val>22.39</val>
          </value>
          <value>
            <val>108.5</val>
          </value>
          <value>
            <val>0</val>
          </value>
          <value t="str">
            <val>39.04%</val>
          </value>
          <value t="str">
            <val>1.75億</val>
          </value>
          <value t="str">
            <val>-6.20</val>
          </value>
          <value t="str">
            <val>+0.86</val>
          </value>
          <value t="str">
            <val>-11.65</val>
          </value>
          <value>
            <val>47</val>
          </value>
          <value>
            <val>-769</val>
          </value>
        </values>
      </ddeItem>
      <ddeItem name="81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71</val>
          </value>
          <value t="str">
            <val>--</val>
          </value>
          <value t="str">
            <val>0.00</val>
          </value>
          <value>
            <val>0</val>
          </value>
          <value t="str">
            <val>-0.17</val>
          </value>
          <value t="str">
            <val>0.80</val>
          </value>
          <value t="str">
            <val>天宇</val>
          </value>
          <value t="str">
            <val>上櫃通信網路</val>
          </value>
          <value t="str">
            <val>專攻電池模組與電源管理模組之廠商</val>
          </value>
        </values>
      </ddeItem>
      <ddeItem name="8171.TW-CName,InvestorConferenceDate,DateofMeetingofShareHolders,TradingDate" advise="1">
        <values cols="4">
          <value t="str">
            <val>天宇</val>
          </value>
          <value t="str">
            <val>2021/08/18</val>
          </value>
          <value t="str">
            <val>2022/06/01</val>
          </value>
          <value t="str">
            <val>2022/08/01</val>
          </value>
        </values>
      </ddeItem>
      <ddeItem name="8171.TW-ID,Name,MarketValue,Capital,NetIncomeGrowthRate,OperIncomeGrowthRate,FinancialStatementsTime,TFXRatio,MonthlyNetSalesYoY,RevenueMonth" advise="1">
        <values cols="10">
          <value t="str">
            <val>8171</val>
          </value>
          <value t="str">
            <val>天宇</val>
          </value>
          <value t="str">
            <val>23.7</val>
          </value>
          <value t="str">
            <val>5.87</val>
          </value>
          <value t="str">
            <val>515.28</val>
          </value>
          <value t="str">
            <val>327.15</val>
          </value>
          <value t="str">
            <val>2022/03</val>
          </value>
          <value t="str">
            <val>-19.41</val>
          </value>
          <value t="str">
            <val>-44.74</val>
          </value>
          <value t="str">
            <val>2022/06</val>
          </value>
        </values>
      </ddeItem>
      <ddeItem name="8171.TW-OperatingProfitRatio,Price,PriceChangeRatio,InOutRatioNumber,Value,YearReturn,MonthReturn,WeekReturn,FinanceBalanceDif,ChipsField2" advise="1">
        <values cols="10">
          <value t="str">
            <val>7.84</val>
          </value>
          <value>
            <val>40.299999999999997</val>
          </value>
          <value>
            <val>0.5</val>
          </value>
          <value t="str">
            <val>52.55%</val>
          </value>
          <value t="str">
            <val>554萬</val>
          </value>
          <value t="str">
            <val>-33.93</val>
          </value>
          <value t="str">
            <val>-3.01</val>
          </value>
          <value t="str">
            <val>+0.75</val>
          </value>
          <value>
            <val>-26</val>
          </value>
          <value>
            <val>0</val>
          </value>
        </values>
      </ddeItem>
      <ddeItem name="81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-0.84</val>
          </value>
          <value t="str">
            <val>-0.44</val>
          </value>
          <value t="str">
            <val>智捷</val>
          </value>
          <value t="str">
            <val>上櫃通信網路</val>
          </value>
          <value t="str">
            <val>台灣無線網路傳輸設備ODM/OEM廠</val>
          </value>
        </values>
      </ddeItem>
      <ddeItem name="8176.TW-CName,InvestorConferenceDate,DateofMeetingofShareHolders,TradingDate" advise="1">
        <values cols="4">
          <value t="str">
            <val>智捷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8176.TW-ID,Name,MarketValue,Capital,NetIncomeGrowthRate,OperIncomeGrowthRate,FinancialStatementsTime,TFXRatio,MonthlyNetSalesYoY,RevenueMonth" advise="1">
        <values cols="10">
          <value t="str">
            <val>8176</val>
          </value>
          <value t="str">
            <val>智捷</val>
          </value>
          <value t="str">
            <val>6.6</val>
          </value>
          <value t="str">
            <val>7.17</val>
          </value>
          <value t="str">
            <val>16.00</val>
          </value>
          <value t="str">
            <val>-205.24</val>
          </value>
          <value t="str">
            <val>2022/03</val>
          </value>
          <value t="str">
            <val>164.13</val>
          </value>
          <value t="str">
            <val>142.60</val>
          </value>
          <value t="str">
            <val>2022/06</val>
          </value>
        </values>
      </ddeItem>
      <ddeItem name="8176.TW-OperatingProfitRatio,Price,PriceChangeRatio,InOutRatioNumber,Value,YearReturn,MonthReturn,WeekReturn,FinanceBalanceDif,ChipsField2" advise="1">
        <values cols="10">
          <value t="str">
            <val>-86.71</val>
          </value>
          <value>
            <val>9.1999999999999993</val>
          </value>
          <value>
            <val>0.55000000000000004</val>
          </value>
          <value t="str">
            <val>27.08%</val>
          </value>
          <value t="str">
            <val>88.1萬</val>
          </value>
          <value t="str">
            <val>+2.22</val>
          </value>
          <value t="str">
            <val>+6.73</val>
          </value>
          <value t="str">
            <val>-0.54</val>
          </value>
          <value>
            <val>0</val>
          </value>
          <value>
            <val>0</val>
          </value>
        </values>
      </ddeItem>
      <ddeItem name="818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2022/07/19</val>
          </value>
          <value t="str">
            <val>3.00</val>
          </value>
          <value>
            <val>8.25</val>
          </value>
          <value t="str">
            <val>5.07</val>
          </value>
          <value t="str">
            <val>1.07</val>
          </value>
          <value t="str">
            <val>加高</val>
          </value>
          <value t="str">
            <val>上櫃電子零組件</val>
          </value>
          <value t="str">
            <val>日本大真空轉投資，為台灣石英元件製造商</val>
          </value>
        </values>
      </ddeItem>
      <ddeItem name="8182.TW-CName,InvestorConferenceDate,DateofMeetingofShareHolders,TradingDate" advise="1">
        <values cols="4">
          <value t="str">
            <val>加高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8182.TW-ID,Name,MarketValue,Capital,NetIncomeGrowthRate,OperIncomeGrowthRate,FinancialStatementsTime,TFXRatio,MonthlyNetSalesYoY,RevenueMonth" advise="1">
        <values cols="10">
          <value t="str">
            <val>8182</val>
          </value>
          <value t="str">
            <val>加高</val>
          </value>
          <value t="str">
            <val>38.9</val>
          </value>
          <value t="str">
            <val>10.70</val>
          </value>
          <value t="str">
            <val>40.51</val>
          </value>
          <value t="str">
            <val>3.48</val>
          </value>
          <value t="str">
            <val>2022/03</val>
          </value>
          <value t="str">
            <val>-13.05</val>
          </value>
          <value t="str">
            <val>-24.36</val>
          </value>
          <value t="str">
            <val>2022/06</val>
          </value>
        </values>
      </ddeItem>
      <ddeItem name="8182.TW-OperatingProfitRatio,Price,PriceChangeRatio,InOutRatioNumber,Value,YearReturn,MonthReturn,WeekReturn,FinanceBalanceDif,ChipsField2" advise="1">
        <values cols="10">
          <value t="str">
            <val>14.29</val>
          </value>
          <value>
            <val>36.35</val>
          </value>
          <value>
            <val>-0.55000000000000004</val>
          </value>
          <value t="str">
            <val>40.54%</val>
          </value>
          <value t="str">
            <val>138萬</val>
          </value>
          <value t="str">
            <val>-17.12</val>
          </value>
          <value t="str">
            <val>+2.23</val>
          </value>
          <value t="str">
            <val>-2.81</val>
          </value>
          <value>
            <val>0</val>
          </value>
          <value>
            <val>0</val>
          </value>
        </values>
      </ddeItem>
      <ddeItem name="8183.TW-ChipsField3,ChipsField1,ChipsField25,CashAndStockDividend,CashDividendYieldRate,ProfitFourSeason,ProfitSingle,CName,ExchangeIndustry,CompanyPos" advise="1">
        <values cols="10">
          <value>
            <val>5</val>
          </value>
          <value>
            <val>38</val>
          </value>
          <value t="str">
            <val>2022/08/09</val>
          </value>
          <value t="str">
            <val>1.26</val>
          </value>
          <value>
            <val>1.96</val>
          </value>
          <value t="str">
            <val>4.82</val>
          </value>
          <value t="str">
            <val>1.46</val>
          </value>
          <value t="str">
            <val>精星</val>
          </value>
          <value t="str">
            <val>上櫃其他電子</val>
          </value>
          <value t="str">
            <val>專業電子製造服務(EMS)廠商</val>
          </value>
        </values>
      </ddeItem>
      <ddeItem name="8183.TW-CName,InvestorConferenceDate,DateofMeetingofShareHolders,TradingDate" advise="1">
        <values cols="4">
          <value t="str">
            <val>精星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8183.TW-ID,Name,MarketValue,Capital,NetIncomeGrowthRate,OperIncomeGrowthRate,FinancialStatementsTime,TFXRatio,MonthlyNetSalesYoY,RevenueMonth" advise="1">
        <values cols="10">
          <value t="str">
            <val>8183</val>
          </value>
          <value t="str">
            <val>精星</val>
          </value>
          <value t="str">
            <val>78.1</val>
          </value>
          <value t="str">
            <val>12.13</val>
          </value>
          <value t="str">
            <val>81.37</val>
          </value>
          <value t="str">
            <val>64.11</val>
          </value>
          <value t="str">
            <val>2022/03</val>
          </value>
          <value t="str">
            <val>3.43</val>
          </value>
          <value t="str">
            <val>83.35</val>
          </value>
          <value t="str">
            <val>2022/06</val>
          </value>
        </values>
      </ddeItem>
      <ddeItem name="8183.TW-OperatingProfitRatio,Price,PriceChangeRatio,InOutRatioNumber,Value,YearReturn,MonthReturn,WeekReturn,FinanceBalanceDif,ChipsField2" advise="1">
        <values cols="10">
          <value t="str">
            <val>13.09</val>
          </value>
          <value>
            <val>64.400000000000006</val>
          </value>
          <value>
            <val>0.31</val>
          </value>
          <value t="str">
            <val>47.06%</val>
          </value>
          <value t="str">
            <val>2.24億</val>
          </value>
          <value t="str">
            <val>+30.72</val>
          </value>
          <value t="str">
            <val>+19.26</val>
          </value>
          <value t="str">
            <val>-3.16</val>
          </value>
          <value>
            <val>-151</val>
          </value>
          <value>
            <val>0</val>
          </value>
        </values>
      </ddeItem>
      <ddeItem name="8234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17</val>
          </value>
          <value t="str">
            <val>--</val>
          </value>
          <value t="str">
            <val>1.00</val>
          </value>
          <value>
            <val>3.09</val>
          </value>
          <value t="str">
            <val>1.90</val>
          </value>
          <value t="str">
            <val>0.66</val>
          </value>
          <value t="str">
            <val>新漢</val>
          </value>
          <value t="str">
            <val>上櫃電腦及週邊設備</val>
          </value>
          <value t="str">
            <val>台灣工業電腦廠商</val>
          </value>
        </values>
      </ddeItem>
      <ddeItem name="8234.TW-CName,InvestorConferenceDate,DateofMeetingofShareHolders,TradingDate" advise="1">
        <values cols="4">
          <value t="str">
            <val>新漢</val>
          </value>
          <value t="str">
            <val>--</val>
          </value>
          <value t="str">
            <val>2022/06/29</val>
          </value>
          <value t="str">
            <val>2022/08/01</val>
          </value>
        </values>
      </ddeItem>
      <ddeItem name="8234.TW-ID,Name,MarketValue,Capital,NetIncomeGrowthRate,OperIncomeGrowthRate,FinancialStatementsTime,TFXRatio,MonthlyNetSalesYoY,RevenueMonth" advise="1">
        <values cols="10">
          <value t="str">
            <val>8234</val>
          </value>
          <value t="str">
            <val>新漢</val>
          </value>
          <value t="str">
            <val>45.7</val>
          </value>
          <value t="str">
            <val>14.12</val>
          </value>
          <value t="str">
            <val>370.74</val>
          </value>
          <value t="str">
            <val>322.10</val>
          </value>
          <value t="str">
            <val>2022/03</val>
          </value>
          <value t="str">
            <val>21.57</val>
          </value>
          <value t="str">
            <val>17.62</val>
          </value>
          <value t="str">
            <val>2022/06</val>
          </value>
        </values>
      </ddeItem>
      <ddeItem name="8234.TW-OperatingProfitRatio,Price,PriceChangeRatio,InOutRatioNumber,Value,YearReturn,MonthReturn,WeekReturn,FinanceBalanceDif,ChipsField2" advise="1">
        <values cols="10">
          <value t="str">
            <val>4.80</val>
          </value>
          <value>
            <val>32.35</val>
          </value>
          <value>
            <val>-1.22</val>
          </value>
          <value t="str">
            <val>36.17%</val>
          </value>
          <value t="str">
            <val>4949萬</val>
          </value>
          <value t="str">
            <val>+45.56</val>
          </value>
          <value t="str">
            <val>+16.37</val>
          </value>
          <value t="str">
            <val>+2.05</val>
          </value>
          <value>
            <val>-14</val>
          </value>
          <value>
            <val>0</val>
          </value>
        </values>
      </ddeItem>
      <ddeItem name="82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2022/06/16</val>
          </value>
          <value t="str">
            <val>2.50</val>
          </value>
          <value>
            <val>9.56</val>
          </value>
          <value t="str">
            <val>4.10</val>
          </value>
          <value t="str">
            <val>0.69</val>
          </value>
          <value t="str">
            <val>華宏</val>
          </value>
          <value t="str">
            <val>上櫃光電</val>
          </value>
          <value t="str">
            <val>國內背光模組光學膜片最大專業製造裁切廠</val>
          </value>
        </values>
      </ddeItem>
      <ddeItem name="8240.TW-CName,InvestorConferenceDate,DateofMeetingofShareHolders,TradingDate" advise="1">
        <values cols="4">
          <value t="str">
            <val>華宏</val>
          </value>
          <value t="str">
            <val>--</val>
          </value>
          <value t="str">
            <val>2022/05/26</val>
          </value>
          <value t="str">
            <val>2022/08/01</val>
          </value>
        </values>
      </ddeItem>
      <ddeItem name="8240.TW-ID,Name,MarketValue,Capital,NetIncomeGrowthRate,OperIncomeGrowthRate,FinancialStatementsTime,TFXRatio,MonthlyNetSalesYoY,RevenueMonth" advise="1">
        <values cols="10">
          <value t="str">
            <val>8240</val>
          </value>
          <value t="str">
            <val>華宏</val>
          </value>
          <value t="str">
            <val>26.2</val>
          </value>
          <value t="str">
            <val>10.00</val>
          </value>
          <value t="str">
            <val>-30.16</val>
          </value>
          <value t="str">
            <val>24.60</val>
          </value>
          <value t="str">
            <val>2022/03</val>
          </value>
          <value t="str">
            <val>-0.21</val>
          </value>
          <value t="str">
            <val>-16.49</val>
          </value>
          <value t="str">
            <val>2022/06</val>
          </value>
        </values>
      </ddeItem>
      <ddeItem name="8240.TW-OperatingProfitRatio,Price,PriceChangeRatio,InOutRatioNumber,Value,YearReturn,MonthReturn,WeekReturn,FinanceBalanceDif,ChipsField2" advise="1">
        <values cols="10">
          <value t="str">
            <val>4.51</val>
          </value>
          <value>
            <val>26.15</val>
          </value>
          <value>
            <val>-0.76</val>
          </value>
          <value t="str">
            <val>8.11%</val>
          </value>
          <value t="str">
            <val>96.3萬</val>
          </value>
          <value t="str">
            <val>-13.45</val>
          </value>
          <value t="str">
            <val>+1.95</val>
          </value>
          <value t="str">
            <val>-1.51</val>
          </value>
          <value>
            <val>-1</val>
          </value>
          <value>
            <val>0</val>
          </value>
        </values>
      </ddeItem>
      <ddeItem name="8255.TW-ChipsField3,ChipsField1,ChipsField25,CashAndStockDividend,CashDividendYieldRate,ProfitFourSeason,ProfitSingle,CName,ExchangeIndustry,CompanyPos" advise="1">
        <values cols="10">
          <value>
            <val>99</val>
          </value>
          <value>
            <val>309</val>
          </value>
          <value t="str">
            <val>2022/07/06</val>
          </value>
          <value t="str">
            <val>4.00</val>
          </value>
          <value>
            <val>2.42</val>
          </value>
          <value t="str">
            <val>5.20</val>
          </value>
          <value t="str">
            <val>1.64</val>
          </value>
          <value t="str">
            <val>朋程</val>
          </value>
          <value t="str">
            <val>上櫃電機機械</val>
          </value>
          <value t="str">
            <val>全球前三大車用二極體廠</val>
          </value>
        </values>
      </ddeItem>
      <ddeItem name="8255.TW-CName,InvestorConferenceDate,DateofMeetingofShareHolders,TradingDate" advise="1">
        <values cols="4">
          <value t="str">
            <val>朋程</val>
          </value>
          <value t="str">
            <val>2022/06/10</val>
          </value>
          <value t="str">
            <val>2022/05/27</val>
          </value>
          <value t="str">
            <val>2022/08/01</val>
          </value>
        </values>
      </ddeItem>
      <ddeItem name="8255.TW-ID,Name,MarketValue,Capital,NetIncomeGrowthRate,OperIncomeGrowthRate,FinancialStatementsTime,TFXRatio,MonthlyNetSalesYoY,RevenueMonth" advise="1">
        <values cols="10">
          <value t="str">
            <val>8255</val>
          </value>
          <value t="str">
            <val>朋程</val>
          </value>
          <value t="str">
            <val>150.9</val>
          </value>
          <value t="str">
            <val>9.15</val>
          </value>
          <value t="str">
            <val>0.46</val>
          </value>
          <value t="str">
            <val>-45.23</val>
          </value>
          <value t="str">
            <val>2022/03</val>
          </value>
          <value t="str">
            <val>10.44</val>
          </value>
          <value t="str">
            <val>2.48</val>
          </value>
          <value t="str">
            <val>2022/06</val>
          </value>
        </values>
      </ddeItem>
      <ddeItem name="8255.TW-OperatingProfitRatio,Price,PriceChangeRatio,InOutRatioNumber,Value,YearReturn,MonthReturn,WeekReturn,FinanceBalanceDif,ChipsField2" advise="1">
        <values cols="10">
          <value t="str">
            <val>7.79</val>
          </value>
          <value>
            <val>165</val>
          </value>
          <value>
            <val>-2.37</val>
          </value>
          <value t="str">
            <val>32.67%</val>
          </value>
          <value t="str">
            <val>1.90億</val>
          </value>
          <value t="str">
            <val>-18.64</val>
          </value>
          <value t="str">
            <val>+19.61</val>
          </value>
          <value t="str">
            <val>0.00</val>
          </value>
          <value>
            <val>48</val>
          </value>
          <value>
            <val>199</val>
          </value>
        </values>
      </ddeItem>
      <ddeItem name="82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-0.73</val>
          </value>
          <value t="str">
            <val>-0.14</val>
          </value>
          <value t="str">
            <val>商丞</val>
          </value>
          <value t="str">
            <val>上櫃半導體</val>
          </value>
          <value t="str">
            <val>NB及OEM市場為主的記憶體模組廠</val>
          </value>
        </values>
      </ddeItem>
      <ddeItem name="8277.TW-CName,InvestorConferenceDate,DateofMeetingofShareHolders,TradingDate" advise="1">
        <values cols="4">
          <value t="str">
            <val>商丞</val>
          </value>
          <value t="str">
            <val>--</val>
          </value>
          <value t="str">
            <val>2022/06/10</val>
          </value>
          <value t="str">
            <val>2022/08/01</val>
          </value>
        </values>
      </ddeItem>
      <ddeItem name="8277.TW-ID,Name,MarketValue,Capital,NetIncomeGrowthRate,OperIncomeGrowthRate,FinancialStatementsTime,TFXRatio,MonthlyNetSalesYoY,RevenueMonth" advise="1">
        <values cols="10">
          <value t="str">
            <val>8277</val>
          </value>
          <value t="str">
            <val>商丞</val>
          </value>
          <value t="str">
            <val>8.5</val>
          </value>
          <value t="str">
            <val>9.16</val>
          </value>
          <value t="str">
            <val>28.69</val>
          </value>
          <value t="str">
            <val>8.84</val>
          </value>
          <value t="str">
            <val>2022/03</val>
          </value>
          <value t="str">
            <val>-33.18</val>
          </value>
          <value t="str">
            <val>142.19</val>
          </value>
          <value t="str">
            <val>2022/06</val>
          </value>
        </values>
      </ddeItem>
      <ddeItem name="8277.TW-OperatingProfitRatio,Price,PriceChangeRatio,InOutRatioNumber,Value,YearReturn,MonthReturn,WeekReturn,FinanceBalanceDif,ChipsField2" advise="1">
        <values cols="10">
          <value t="str">
            <val>-16.84</val>
          </value>
          <value>
            <val>9.25</val>
          </value>
          <value>
            <val>0.54</val>
          </value>
          <value t="str">
            <val>63.93%</val>
          </value>
          <value t="str">
            <val>117萬</val>
          </value>
          <value t="str">
            <val>-34.40</val>
          </value>
          <value t="str">
            <val>-1.39</val>
          </value>
          <value t="str">
            <val>-3.24</val>
          </value>
          <value>
            <val>0</val>
          </value>
          <value>
            <val>0</val>
          </value>
        </values>
      </ddeItem>
      <ddeItem name="827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2022/06/16</val>
          </value>
          <value t="str">
            <val>4.00</val>
          </value>
          <value>
            <val>2.96</val>
          </value>
          <value t="str">
            <val>10.93</val>
          </value>
          <value t="str">
            <val>3.53</val>
          </value>
          <value t="str">
            <val>生展生技</val>
          </value>
          <value t="str">
            <val>上櫃生技醫療</val>
          </value>
          <value t="str">
            <val>生達旗下原料藥及保健品研發廠商</val>
          </value>
        </values>
      </ddeItem>
      <ddeItem name="8279.TW-CName,InvestorConferenceDate,DateofMeetingofShareHolders,TradingDate" advise="1">
        <values cols="4">
          <value t="str">
            <val>生展生技</val>
          </value>
          <value t="str">
            <val>2021/12/22</val>
          </value>
          <value t="str">
            <val>2022/05/24</val>
          </value>
          <value t="str">
            <val>2022/08/01</val>
          </value>
        </values>
      </ddeItem>
      <ddeItem name="8279.TW-ID,Name,MarketValue,Capital,NetIncomeGrowthRate,OperIncomeGrowthRate,FinancialStatementsTime,TFXRatio,MonthlyNetSalesYoY,RevenueMonth" advise="1">
        <values cols="10">
          <value t="str">
            <val>8279</val>
          </value>
          <value t="str">
            <val>生展</val>
          </value>
          <value t="str">
            <val>36.6</val>
          </value>
          <value t="str">
            <val>2.71</val>
          </value>
          <value t="str">
            <val>57.19</val>
          </value>
          <value t="str">
            <val>38.96</val>
          </value>
          <value t="str">
            <val>2022/06</val>
          </value>
          <value t="str">
            <val>5.69</val>
          </value>
          <value t="str">
            <val>67.25</val>
          </value>
          <value t="str">
            <val>2022/06</val>
          </value>
        </values>
      </ddeItem>
      <ddeItem name="8279.TW-OperatingProfitRatio,Price,PriceChangeRatio,InOutRatioNumber,Value,YearReturn,MonthReturn,WeekReturn,FinanceBalanceDif,ChipsField2" advise="1">
        <values cols="10">
          <value t="str">
            <val>20.65</val>
          </value>
          <value>
            <val>135</val>
          </value>
          <value>
            <val>0.37</val>
          </value>
          <value t="str">
            <val>44.12%</val>
          </value>
          <value t="str">
            <val>472萬</val>
          </value>
          <value t="str">
            <val>+45.09</val>
          </value>
          <value t="str">
            <val>+16.38</val>
          </value>
          <value t="str">
            <val>+3.45</val>
          </value>
          <value>
            <val>0</val>
          </value>
          <value>
            <val>0</val>
          </value>
        </values>
      </ddeItem>
      <ddeItem name="82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2022/06/30</val>
          </value>
          <value t="str">
            <val>3.00</val>
          </value>
          <value>
            <val>6.02</val>
          </value>
          <value t="str">
            <val>4.69</val>
          </value>
          <value t="str">
            <val>1.37</val>
          </value>
          <value t="str">
            <val>三竹</val>
          </value>
          <value t="str">
            <val>上櫃資訊服務</val>
          </value>
          <value t="str">
            <val>金融服務軟體供應商</val>
          </value>
        </values>
      </ddeItem>
      <ddeItem name="8284.TW-CName,InvestorConferenceDate,DateofMeetingofShareHolders,TradingDate" advise="1">
        <values cols="4">
          <value t="str">
            <val>三竹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8284.TW-ID,Name,MarketValue,Capital,NetIncomeGrowthRate,OperIncomeGrowthRate,FinancialStatementsTime,TFXRatio,MonthlyNetSalesYoY,RevenueMonth" advise="1">
        <values cols="10">
          <value t="str">
            <val>8284</val>
          </value>
          <value t="str">
            <val>三竹</val>
          </value>
          <value t="str">
            <val>23.1</val>
          </value>
          <value t="str">
            <val>4.63</val>
          </value>
          <value t="str">
            <val>83.28</val>
          </value>
          <value t="str">
            <val>80.12</val>
          </value>
          <value t="str">
            <val>2022/03</val>
          </value>
          <value t="str">
            <val>0.59</val>
          </value>
          <value t="str">
            <val>7.40</val>
          </value>
          <value t="str">
            <val>2022/06</val>
          </value>
        </values>
      </ddeItem>
      <ddeItem name="8284.TW-OperatingProfitRatio,Price,PriceChangeRatio,InOutRatioNumber,Value,YearReturn,MonthReturn,WeekReturn,FinanceBalanceDif,ChipsField2" advise="1">
        <values cols="10">
          <value t="str">
            <val>11.82</val>
          </value>
          <value>
            <val>49.85</val>
          </value>
          <value>
            <val>0.2</val>
          </value>
          <value t="str">
            <val>11.76%</val>
          </value>
          <value t="str">
            <val>84.3萬</val>
          </value>
          <value t="str">
            <val>+18.64</val>
          </value>
          <value t="str">
            <val>+5.73</val>
          </value>
          <value t="str">
            <val>+0.40</val>
          </value>
          <value>
            <val>-1</val>
          </value>
          <value>
            <val>0</val>
          </value>
        </values>
      </ddeItem>
      <ddeItem name="82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48</val>
          </value>
          <value t="str">
            <val>--</val>
          </value>
          <value t="str">
            <val>2.10</val>
          </value>
          <value>
            <val>6.26</val>
          </value>
          <value t="str">
            <val>4.09</val>
          </value>
          <value t="str">
            <val>1.27</val>
          </value>
          <value t="str">
            <val>泰藝</val>
          </value>
          <value t="str">
            <val>上櫃電子零組件</val>
          </value>
          <value t="str">
            <val>台灣專業石英振盪器製造商</val>
          </value>
        </values>
      </ddeItem>
      <ddeItem name="8289.TW-CName,InvestorConferenceDate,DateofMeetingofShareHolders,TradingDate" advise="1">
        <values cols="4">
          <value t="str">
            <val>泰藝</val>
          </value>
          <value t="str">
            <val>--</val>
          </value>
          <value t="str">
            <val>2022/06/17</val>
          </value>
          <value t="str">
            <val>2022/08/01</val>
          </value>
        </values>
      </ddeItem>
      <ddeItem name="8289.TW-ID,Name,MarketValue,Capital,NetIncomeGrowthRate,OperIncomeGrowthRate,FinancialStatementsTime,TFXRatio,MonthlyNetSalesYoY,RevenueMonth" advise="1">
        <values cols="10">
          <value t="str">
            <val>8289</val>
          </value>
          <value t="str">
            <val>泰藝</val>
          </value>
          <value t="str">
            <val>22.9</val>
          </value>
          <value t="str">
            <val>6.83</val>
          </value>
          <value t="str">
            <val>323.07</val>
          </value>
          <value t="str">
            <val>343.01</val>
          </value>
          <value t="str">
            <val>2022/03</val>
          </value>
          <value t="str">
            <val>-5.09</val>
          </value>
          <value t="str">
            <val>11.77</val>
          </value>
          <value t="str">
            <val>2022/06</val>
          </value>
        </values>
      </ddeItem>
      <ddeItem name="8289.TW-OperatingProfitRatio,Price,PriceChangeRatio,InOutRatioNumber,Value,YearReturn,MonthReturn,WeekReturn,FinanceBalanceDif,ChipsField2" advise="1">
        <values cols="10">
          <value t="str">
            <val>17.15</val>
          </value>
          <value>
            <val>33.549999999999997</val>
          </value>
          <value>
            <val>-1.03</val>
          </value>
          <value t="str">
            <val>24.73%</val>
          </value>
          <value t="str">
            <val>323萬</val>
          </value>
          <value t="str">
            <val>+15.54</val>
          </value>
          <value t="str">
            <val>+8.05</val>
          </value>
          <value t="str">
            <val>-1.76</val>
          </value>
          <value>
            <val>3</val>
          </value>
          <value>
            <val>0</val>
          </value>
        </values>
      </ddeItem>
      <ddeItem name="82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-0.70</val>
          </value>
          <value t="str">
            <val>-0.23</val>
          </value>
          <value t="str">
            <val>尚茂</val>
          </value>
          <value t="str">
            <val>上櫃電子零組件</val>
          </value>
          <value t="str">
            <val>台灣利基型銅箔基板廠</val>
          </value>
        </values>
      </ddeItem>
      <ddeItem name="8291.TW-CName,InvestorConferenceDate,DateofMeetingofShareHolders,TradingDate" advise="1">
        <values cols="4">
          <value t="str">
            <val>尚茂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8291.TW-ID,Name,MarketValue,Capital,NetIncomeGrowthRate,OperIncomeGrowthRate,FinancialStatementsTime,TFXRatio,MonthlyNetSalesYoY,RevenueMonth" advise="1">
        <values cols="10">
          <value t="str">
            <val>8291</val>
          </value>
          <value t="str">
            <val>尚茂</val>
          </value>
          <value t="str">
            <val>3.2</val>
          </value>
          <value t="str">
            <val>4.73</val>
          </value>
          <value t="str">
            <val>-21.96</val>
          </value>
          <value t="str">
            <val>-27.45</val>
          </value>
          <value t="str">
            <val>2022/03</val>
          </value>
          <value t="str">
            <val>12.28</val>
          </value>
          <value t="str">
            <val>-32.12</val>
          </value>
          <value t="str">
            <val>2022/06</val>
          </value>
        </values>
      </ddeItem>
      <ddeItem name="8291.TW-OperatingProfitRatio,Price,PriceChangeRatio,InOutRatioNumber,Value,YearReturn,MonthReturn,WeekReturn,FinanceBalanceDif,ChipsField2" advise="1">
        <values cols="10">
          <value t="str">
            <val>-27.11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+0.15</val>
          </value>
          <value t="str">
            <val>+6.85</val>
          </value>
          <value t="str">
            <val>-0.15</val>
          </value>
          <value>
            <val>0</val>
          </value>
          <value>
            <val>0</val>
          </value>
        </values>
      </ddeItem>
      <ddeItem name="82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138</val>
          </value>
          <value t="str">
            <val>--</val>
          </value>
          <value t="str">
            <val>10.00</val>
          </value>
          <value>
            <val>8.0399999999999991</val>
          </value>
          <value t="str">
            <val>41.55</val>
          </value>
          <value t="str">
            <val>9.17</val>
          </value>
          <value t="str">
            <val>群聯</val>
          </value>
          <value t="str">
            <val>上櫃半導體</val>
          </value>
          <value t="str">
            <val>全球USB控制IC設計之龍頭企業</val>
          </value>
        </values>
      </ddeItem>
      <ddeItem name="8299.TW-CName,InvestorConferenceDate,DateofMeetingofShareHolders,TradingDate" advise="1">
        <values cols="4">
          <value t="str">
            <val>群聯</val>
          </value>
          <value t="str">
            <val>2022/01/07</val>
          </value>
          <value t="str">
            <val>2022/05/24</val>
          </value>
          <value t="str">
            <val>2022/08/01</val>
          </value>
        </values>
      </ddeItem>
      <ddeItem name="8299.TW-ID,Name,MarketValue,Capital,NetIncomeGrowthRate,OperIncomeGrowthRate,FinancialStatementsTime,TFXRatio,MonthlyNetSalesYoY,RevenueMonth" advise="1">
        <values cols="10">
          <value t="str">
            <val>8299</val>
          </value>
          <value t="str">
            <val>群聯</val>
          </value>
          <value t="str">
            <val>563.6</val>
          </value>
          <value t="str">
            <val>19.71</val>
          </value>
          <value t="str">
            <val>1.02</val>
          </value>
          <value t="str">
            <val>0.18</val>
          </value>
          <value t="str">
            <val>2022/06</val>
          </value>
          <value t="str">
            <val>3.62</val>
          </value>
          <value t="str">
            <val>3.14</val>
          </value>
          <value t="str">
            <val>2022/06</val>
          </value>
        </values>
      </ddeItem>
      <ddeItem name="8299.TW-OperatingProfitRatio,Price,PriceChangeRatio,InOutRatioNumber,Value,YearReturn,MonthReturn,WeekReturn,FinanceBalanceDif,ChipsField2" advise="1">
        <values cols="10">
          <value t="str">
            <val>13.12</val>
          </value>
          <value>
            <val>286</val>
          </value>
          <value>
            <val>-2.39</val>
          </value>
          <value t="str">
            <val>51.43%</val>
          </value>
          <value t="str">
            <val>10.0億</val>
          </value>
          <value t="str">
            <val>-32.71</val>
          </value>
          <value t="str">
            <val>+11.72</val>
          </value>
          <value t="str">
            <val>-4.19</val>
          </value>
          <value>
            <val>-116</val>
          </value>
          <value>
            <val>12</val>
          </value>
        </values>
      </ddeItem>
      <ddeItem name="83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2022/06/27</val>
          </value>
          <value t="str">
            <val>3.40</val>
          </value>
          <value>
            <val>6.65</val>
          </value>
          <value t="str">
            <val>4.67</val>
          </value>
          <value t="str">
            <val>1.85</val>
          </value>
          <value t="str">
            <val>益張</val>
          </value>
          <value t="str">
            <val>上櫃其他</val>
          </value>
          <value t="str">
            <val>台灣最大商用金屬展示架製造商</val>
          </value>
        </values>
      </ddeItem>
      <ddeItem name="8342.TW-CName,InvestorConferenceDate,DateofMeetingofShareHolders,TradingDate" advise="1">
        <values cols="4">
          <value t="str">
            <val>益張</val>
          </value>
          <value t="str">
            <val>2021/12/22</val>
          </value>
          <value t="str">
            <val>2022/06/09</val>
          </value>
          <value t="str">
            <val>2022/08/01</val>
          </value>
        </values>
      </ddeItem>
      <ddeItem name="8342.TW-ID,Name,MarketValue,Capital,NetIncomeGrowthRate,OperIncomeGrowthRate,FinancialStatementsTime,TFXRatio,MonthlyNetSalesYoY,RevenueMonth" advise="1">
        <values cols="10">
          <value t="str">
            <val>8342</val>
          </value>
          <value t="str">
            <val>益張</val>
          </value>
          <value t="str">
            <val>17.1</val>
          </value>
          <value t="str">
            <val>3.35</val>
          </value>
          <value t="str">
            <val>93.91</val>
          </value>
          <value t="str">
            <val>-4.64</val>
          </value>
          <value t="str">
            <val>2022/03</val>
          </value>
          <value t="str">
            <val>7.06</val>
          </value>
          <value t="str">
            <val>16.23</val>
          </value>
          <value t="str">
            <val>2022/06</val>
          </value>
        </values>
      </ddeItem>
      <ddeItem name="8342.TW-OperatingProfitRatio,Price,PriceChangeRatio,InOutRatioNumber,Value,YearReturn,MonthReturn,WeekReturn,FinanceBalanceDif,ChipsField2" advise="1">
        <values cols="10">
          <value t="str">
            <val>7.53</val>
          </value>
          <value>
            <val>51.1</val>
          </value>
          <value>
            <val>-0.97</val>
          </value>
          <value t="str">
            <val>0.00%</val>
          </value>
          <value t="str">
            <val>5.11萬</val>
          </value>
          <value t="str">
            <val>+6.66</val>
          </value>
          <value t="str">
            <val>+3.44</val>
          </value>
          <value t="str">
            <val>+0.39</val>
          </value>
          <value>
            <val>0</val>
          </value>
          <value>
            <val>0</val>
          </value>
        </values>
      </ddeItem>
      <ddeItem name="83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2022/07/13</val>
          </value>
          <value t="str">
            <val>2.20</val>
          </value>
          <value>
            <val>3.94</val>
          </value>
          <value t="str">
            <val>3.58</val>
          </value>
          <value t="str">
            <val>1.11</val>
          </value>
          <value t="str">
            <val>恒耀</val>
          </value>
          <value t="str">
            <val>上櫃鋼鐵</val>
          </value>
          <value t="str">
            <val>車用與工業用扣件製造與貿易廠商</val>
          </value>
        </values>
      </ddeItem>
      <ddeItem name="8349.TW-CName,InvestorConferenceDate,DateofMeetingofShareHolders,TradingDate" advise="1">
        <values cols="4">
          <value t="str">
            <val>恒耀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8349.TW-ID,Name,MarketValue,Capital,NetIncomeGrowthRate,OperIncomeGrowthRate,FinancialStatementsTime,TFXRatio,MonthlyNetSalesYoY,RevenueMonth" advise="1">
        <values cols="10">
          <value t="str">
            <val>8349</val>
          </value>
          <value t="str">
            <val>恒耀</val>
          </value>
          <value t="str">
            <val>66.6</val>
          </value>
          <value t="str">
            <val>11.93</val>
          </value>
          <value t="str">
            <val>49.68</val>
          </value>
          <value t="str">
            <val>1.19</val>
          </value>
          <value t="str">
            <val>2022/03</val>
          </value>
          <value t="str">
            <val>30.60</val>
          </value>
          <value t="str">
            <val>23.19</val>
          </value>
          <value t="str">
            <val>2022/06</val>
          </value>
        </values>
      </ddeItem>
      <ddeItem name="8349.TW-OperatingProfitRatio,Price,PriceChangeRatio,InOutRatioNumber,Value,YearReturn,MonthReturn,WeekReturn,FinanceBalanceDif,ChipsField2" advise="1">
        <values cols="10">
          <value t="str">
            <val>5.01</val>
          </value>
          <value>
            <val>55.8</val>
          </value>
          <value>
            <val>0.9</val>
          </value>
          <value t="str">
            <val>27.27%</val>
          </value>
          <value t="str">
            <val>60.8萬</val>
          </value>
          <value t="str">
            <val>-10.85</val>
          </value>
          <value t="str">
            <val>+4.09</val>
          </value>
          <value t="str">
            <val>+3.53</val>
          </value>
          <value>
            <val>-8</val>
          </value>
          <value>
            <val>0</val>
          </value>
        </values>
      </ddeItem>
      <ddeItem name="83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0.80</val>
          </value>
          <value>
            <val>5.44</val>
          </value>
          <value t="str">
            <val>3.22</val>
          </value>
          <value t="str">
            <val>0.43</val>
          </value>
          <value t="str">
            <val>冠好</val>
          </value>
          <value t="str">
            <val>上櫃其他</val>
          </value>
          <value t="str">
            <val>特殊商標專業製造廠，有粘標籤、自粘膠帶等</val>
          </value>
        </values>
      </ddeItem>
      <ddeItem name="8354.TW-CName,InvestorConferenceDate,DateofMeetingofShareHolders,TradingDate" advise="1">
        <values cols="4">
          <value t="str">
            <val>冠好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8354.TW-ID,Name,MarketValue,Capital,NetIncomeGrowthRate,OperIncomeGrowthRate,FinancialStatementsTime,TFXRatio,MonthlyNetSalesYoY,RevenueMonth" advise="1">
        <values cols="10">
          <value t="str">
            <val>8354</val>
          </value>
          <value t="str">
            <val>冠好</val>
          </value>
          <value t="str">
            <val>11.5</val>
          </value>
          <value t="str">
            <val>7.85</val>
          </value>
          <value t="str">
            <val>61.11</val>
          </value>
          <value t="str">
            <val>-53.48</val>
          </value>
          <value t="str">
            <val>2022/03</val>
          </value>
          <value t="str">
            <val>-5.68</val>
          </value>
          <value t="str">
            <val>-13.18</val>
          </value>
          <value t="str">
            <val>2022/06</val>
          </value>
        </values>
      </ddeItem>
      <ddeItem name="8354.TW-OperatingProfitRatio,Price,PriceChangeRatio,InOutRatioNumber,Value,YearReturn,MonthReturn,WeekReturn,FinanceBalanceDif,ChipsField2" advise="1">
        <values cols="10">
          <value t="str">
            <val>2.49</val>
          </value>
          <value>
            <val>14.7</val>
          </value>
          <value>
            <val>-1.01</val>
          </value>
          <value t="str">
            <val>1.96%</val>
          </value>
          <value t="str">
            <val>88.5萬</val>
          </value>
          <value t="str">
            <val>-1.62</val>
          </value>
          <value t="str">
            <val>+1.03</val>
          </value>
          <value t="str">
            <val>0.00</val>
          </value>
          <value>
            <val>0</val>
          </value>
          <value>
            <val>0</val>
          </value>
        </values>
      </ddeItem>
      <ddeItem name="8358.TW-ChipsField3,ChipsField1,ChipsField25,CashAndStockDividend,CashDividendYieldRate,ProfitFourSeason,ProfitSingle,CName,ExchangeIndustry,CompanyPos" advise="1">
        <values cols="10">
          <value>
            <val>-32</val>
          </value>
          <value>
            <val>-5</val>
          </value>
          <value t="str">
            <val>2022/07/18</val>
          </value>
          <value t="str">
            <val>4.20</val>
          </value>
          <value>
            <val>9.9600000000000009</val>
          </value>
          <value t="str">
            <val>6.62</val>
          </value>
          <value t="str">
            <val>1.51</val>
          </value>
          <value t="str">
            <val>金居</val>
          </value>
          <value t="str">
            <val>上櫃電子零組件</val>
          </value>
          <value t="str">
            <val>台灣前三大電解銅箔製造商</val>
          </value>
        </values>
      </ddeItem>
      <ddeItem name="8358.TW-CName,InvestorConferenceDate,DateofMeetingofShareHolders,TradingDate" advise="1">
        <values cols="4">
          <value t="str">
            <val>金居</val>
          </value>
          <value t="str">
            <val>2021/11/22</val>
          </value>
          <value t="str">
            <val>2022/06/21</val>
          </value>
          <value t="str">
            <val>2022/08/01</val>
          </value>
        </values>
      </ddeItem>
      <ddeItem name="8358.TW-ID,Name,MarketValue,Capital,NetIncomeGrowthRate,OperIncomeGrowthRate,FinancialStatementsTime,TFXRatio,MonthlyNetSalesYoY,RevenueMonth" advise="1">
        <values cols="10">
          <value t="str">
            <val>8358</val>
          </value>
          <value t="str">
            <val>金居</val>
          </value>
          <value t="str">
            <val>106.5</val>
          </value>
          <value t="str">
            <val>25.26</val>
          </value>
          <value t="str">
            <val>63.77</val>
          </value>
          <value t="str">
            <val>59.28</val>
          </value>
          <value t="str">
            <val>2022/03</val>
          </value>
          <value t="str">
            <val>-12.97</val>
          </value>
          <value t="str">
            <val>-24.57</val>
          </value>
          <value t="str">
            <val>2022/06</val>
          </value>
        </values>
      </ddeItem>
      <ddeItem name="8358.TW-OperatingProfitRatio,Price,PriceChangeRatio,InOutRatioNumber,Value,YearReturn,MonthReturn,WeekReturn,FinanceBalanceDif,ChipsField2" advise="1">
        <values cols="10">
          <value t="str">
            <val>22.09</val>
          </value>
          <value>
            <val>42.15</val>
          </value>
          <value>
            <val>-0.47</val>
          </value>
          <value t="str">
            <val>34.42%</val>
          </value>
          <value t="str">
            <val>5333萬</val>
          </value>
          <value t="str">
            <val>-39.67</val>
          </value>
          <value t="str">
            <val>+5.24</val>
          </value>
          <value t="str">
            <val>-5.92</val>
          </value>
          <value>
            <val>-42</val>
          </value>
          <value>
            <val>0</val>
          </value>
        </values>
      </ddeItem>
      <ddeItem name="83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2022/07/27</val>
          </value>
          <value t="str">
            <val>2.61</val>
          </value>
          <value>
            <val>7.09</val>
          </value>
          <value t="str">
            <val>-1.43</val>
          </value>
          <value t="str">
            <val>0.54</val>
          </value>
          <value t="str">
            <val>千附</val>
          </value>
          <value t="str">
            <val>上櫃其他電子</val>
          </value>
          <value t="str">
            <val>TFT-LCD及半導體廠無塵室供應商</val>
          </value>
        </values>
      </ddeItem>
      <ddeItem name="8383.TW-CName,InvestorConferenceDate,DateofMeetingofShareHolders,TradingDate" advise="1">
        <values cols="4">
          <value t="str">
            <val>千附</val>
          </value>
          <value t="str">
            <val>--</val>
          </value>
          <value t="str">
            <val>2022/05/27</val>
          </value>
          <value t="str">
            <val>2022/08/01</val>
          </value>
        </values>
      </ddeItem>
      <ddeItem name="8383.TW-ID,Name,MarketValue,Capital,NetIncomeGrowthRate,OperIncomeGrowthRate,FinancialStatementsTime,TFXRatio,MonthlyNetSalesYoY,RevenueMonth" advise="1">
        <values cols="10">
          <value t="str">
            <val>8383</val>
          </value>
          <value t="str">
            <val>千附</val>
          </value>
          <value t="str">
            <val>41.9</val>
          </value>
          <value t="str">
            <val>11.38</val>
          </value>
          <value t="str">
            <val>25.68</val>
          </value>
          <value t="str">
            <val>20.36</val>
          </value>
          <value t="str">
            <val>2022/03</val>
          </value>
          <value t="str">
            <val>-7.38</val>
          </value>
          <value t="str">
            <val>30.03</val>
          </value>
          <value t="str">
            <val>2022/06</val>
          </value>
        </values>
      </ddeItem>
      <ddeItem name="8383.TW-OperatingProfitRatio,Price,PriceChangeRatio,InOutRatioNumber,Value,YearReturn,MonthReturn,WeekReturn,FinanceBalanceDif,ChipsField2" advise="1">
        <values cols="10">
          <value t="str">
            <val>11.88</val>
          </value>
          <value>
            <val>36.799999999999997</val>
          </value>
          <value>
            <val>0.14000000000000001</val>
          </value>
          <value t="str">
            <val>32.93%</val>
          </value>
          <value t="str">
            <val>316萬</val>
          </value>
          <value t="str">
            <val>+0.73</val>
          </value>
          <value t="str">
            <val>+7.01</val>
          </value>
          <value t="str">
            <val>+1.77</val>
          </value>
          <value>
            <val>-18</val>
          </value>
          <value>
            <val>0</val>
          </value>
        </values>
      </ddeItem>
      <ddeItem name="8390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62</val>
          </value>
          <value t="str">
            <val>2022/07/28</val>
          </value>
          <value t="str">
            <val>1.80</val>
          </value>
          <value>
            <val>6.28</val>
          </value>
          <value t="str">
            <val>3.37</val>
          </value>
          <value t="str">
            <val>1.04</val>
          </value>
          <value t="str">
            <val>金益鼎</val>
          </value>
          <value t="str">
            <val>上櫃其他</val>
          </value>
          <value t="str">
            <val>台灣清運處理固體電子廢棄物業者</val>
          </value>
        </values>
      </ddeItem>
      <ddeItem name="8390.TW-CName,InvestorConferenceDate,DateofMeetingofShareHolders,TradingDate" advise="1">
        <values cols="4">
          <value t="str">
            <val>金益鼎</val>
          </value>
          <value t="str">
            <val>--</val>
          </value>
          <value t="str">
            <val>2022/06/27</val>
          </value>
          <value t="str">
            <val>2022/08/01</val>
          </value>
        </values>
      </ddeItem>
      <ddeItem name="8390.TW-ID,Name,MarketValue,Capital,NetIncomeGrowthRate,OperIncomeGrowthRate,FinancialStatementsTime,TFXRatio,MonthlyNetSalesYoY,RevenueMonth" advise="1">
        <values cols="10">
          <value t="str">
            <val>8390</val>
          </value>
          <value t="str">
            <val>金益鼎</val>
          </value>
          <value t="str">
            <val>34.4</val>
          </value>
          <value t="str">
            <val>11.99</val>
          </value>
          <value t="str">
            <val>-5.44</val>
          </value>
          <value t="str">
            <val>-18.66</val>
          </value>
          <value t="str">
            <val>2022/03</val>
          </value>
          <value t="str">
            <val>12.79</val>
          </value>
          <value t="str">
            <val>21.22</val>
          </value>
          <value t="str">
            <val>2022/06</val>
          </value>
        </values>
      </ddeItem>
      <ddeItem name="8390.TW-OperatingProfitRatio,Price,PriceChangeRatio,InOutRatioNumber,Value,YearReturn,MonthReturn,WeekReturn,FinanceBalanceDif,ChipsField2" advise="1">
        <values cols="10">
          <value t="str">
            <val>18.56</val>
          </value>
          <value>
            <val>28.65</val>
          </value>
          <value>
            <val>0.7</val>
          </value>
          <value t="str">
            <val>49.15%</val>
          </value>
          <value t="str">
            <val>674萬</val>
          </value>
          <value t="str">
            <val>-23.65</val>
          </value>
          <value t="str">
            <val>+8.95</val>
          </value>
          <value t="str">
            <val>+2.02</val>
          </value>
          <value>
            <val>-13</val>
          </value>
          <value>
            <val>0</val>
          </value>
        </values>
      </ddeItem>
      <ddeItem name="84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2022/03/24</val>
          </value>
          <value t="str">
            <val>1.73</val>
          </value>
          <value>
            <val>9.56</val>
          </value>
          <value t="str">
            <val>2.05</val>
          </value>
          <value t="str">
            <val>0.33</val>
          </value>
          <value t="str">
            <val>白紗科</val>
          </value>
          <value t="str">
            <val>上櫃其他</val>
          </value>
          <value t="str">
            <val>台灣合版印刷龍頭</val>
          </value>
        </values>
      </ddeItem>
      <ddeItem name="8401.TW-CName,InvestorConferenceDate,DateofMeetingofShareHolders,TradingDate" advise="1">
        <values cols="4">
          <value t="str">
            <val>白紗科</val>
          </value>
          <value t="str">
            <val>2022/02/24</val>
          </value>
          <value t="str">
            <val>2022/05/26</val>
          </value>
          <value t="str">
            <val>2022/08/01</val>
          </value>
        </values>
      </ddeItem>
      <ddeItem name="8401.TW-ID,Name,MarketValue,Capital,NetIncomeGrowthRate,OperIncomeGrowthRate,FinancialStatementsTime,TFXRatio,MonthlyNetSalesYoY,RevenueMonth" advise="1">
        <values cols="10">
          <value t="str">
            <val>8401</val>
          </value>
          <value t="str">
            <val>白紗科</val>
          </value>
          <value t="str">
            <val>10.9</val>
          </value>
          <value t="str">
            <val>6.00</val>
          </value>
          <value t="str">
            <val>33.69</val>
          </value>
          <value t="str">
            <val>27.19</val>
          </value>
          <value t="str">
            <val>2022/03</val>
          </value>
          <value t="str">
            <val>6.42</val>
          </value>
          <value t="str">
            <val>20.55</val>
          </value>
          <value t="str">
            <val>2022/06</val>
          </value>
        </values>
      </ddeItem>
      <ddeItem name="8401.TW-OperatingProfitRatio,Price,PriceChangeRatio,InOutRatioNumber,Value,YearReturn,MonthReturn,WeekReturn,FinanceBalanceDif,ChipsField2" advise="1">
        <values cols="10">
          <value t="str">
            <val>7.01</val>
          </value>
          <value>
            <val>18.100000000000001</val>
          </value>
          <value>
            <val>-2.16</val>
          </value>
          <value t="str">
            <val>23.40%</val>
          </value>
          <value t="str">
            <val>791萬</val>
          </value>
          <value t="str">
            <val>+41.37</val>
          </value>
          <value t="str">
            <val>+9.04</val>
          </value>
          <value t="str">
            <val>+9.70</val>
          </value>
          <value>
            <val>96</val>
          </value>
          <value>
            <val>0</val>
          </value>
        </values>
      </ddeItem>
      <ddeItem name="8403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341</val>
          </value>
          <value t="str">
            <val>--</val>
          </value>
          <value t="str">
            <val>1.00</val>
          </value>
          <value>
            <val>2.8</val>
          </value>
          <value t="str">
            <val>2.62</val>
          </value>
          <value t="str">
            <val>1.02</val>
          </value>
          <value t="str">
            <val>盛弘</val>
          </value>
          <value t="str">
            <val>上櫃生技醫療</val>
          </value>
          <value t="str">
            <val>敏盛醫控股旗下醫藥流通及健康管理業者</val>
          </value>
        </values>
      </ddeItem>
      <ddeItem name="8403.TW-CName,InvestorConferenceDate,DateofMeetingofShareHolders,TradingDate" advise="1">
        <values cols="4">
          <value t="str">
            <val>盛弘</val>
          </value>
          <value t="str">
            <val>2022/05/18</val>
          </value>
          <value t="str">
            <val>2022/06/29</val>
          </value>
          <value t="str">
            <val>2022/08/01</val>
          </value>
        </values>
      </ddeItem>
      <ddeItem name="8403.TW-ID,Name,MarketValue,Capital,NetIncomeGrowthRate,OperIncomeGrowthRate,FinancialStatementsTime,TFXRatio,MonthlyNetSalesYoY,RevenueMonth" advise="1">
        <values cols="10">
          <value t="str">
            <val>8403</val>
          </value>
          <value t="str">
            <val>盛弘</val>
          </value>
          <value t="str">
            <val>40.9</val>
          </value>
          <value t="str">
            <val>11.43</val>
          </value>
          <value t="str">
            <val>62.97</val>
          </value>
          <value t="str">
            <val>240.68</val>
          </value>
          <value t="str">
            <val>2022/03</val>
          </value>
          <value t="str">
            <val>12.61</val>
          </value>
          <value t="str">
            <val>19.88</val>
          </value>
          <value t="str">
            <val>2022/06</val>
          </value>
        </values>
      </ddeItem>
      <ddeItem name="8403.TW-OperatingProfitRatio,Price,PriceChangeRatio,InOutRatioNumber,Value,YearReturn,MonthReturn,WeekReturn,FinanceBalanceDif,ChipsField2" advise="1">
        <values cols="10">
          <value t="str">
            <val>11.92</val>
          </value>
          <value>
            <val>35.75</val>
          </value>
          <value>
            <val>1.71</val>
          </value>
          <value t="str">
            <val>59.01%</val>
          </value>
          <value t="str">
            <val>3154萬</val>
          </value>
          <value t="str">
            <val>+27.27</val>
          </value>
          <value t="str">
            <val>+16.07</val>
          </value>
          <value t="str">
            <val>+1.42</val>
          </value>
          <value>
            <val>-43</val>
          </value>
          <value>
            <val>0</val>
          </value>
        </values>
      </ddeItem>
      <ddeItem name="8409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45</val>
          </value>
          <value t="str">
            <val>--</val>
          </value>
          <value t="str">
            <val>0.00</val>
          </value>
          <value>
            <val>0</val>
          </value>
          <value t="str">
            <val>0.72</val>
          </value>
          <value t="str">
            <val>0.86</val>
          </value>
          <value t="str">
            <val>商之器</val>
          </value>
          <value t="str">
            <val>上櫃生技醫療</val>
          </value>
          <value t="str">
            <val>台灣第一大PACS廠</val>
          </value>
        </values>
      </ddeItem>
      <ddeItem name="8409.TW-CName,InvestorConferenceDate,DateofMeetingofShareHolders,TradingDate" advise="1">
        <values cols="4">
          <value t="str">
            <val>商之器</val>
          </value>
          <value t="str">
            <val>2021/12/16</val>
          </value>
          <value t="str">
            <val>2022/06/22</val>
          </value>
          <value t="str">
            <val>2022/08/01</val>
          </value>
        </values>
      </ddeItem>
      <ddeItem name="8409.TW-ID,Name,MarketValue,Capital,NetIncomeGrowthRate,OperIncomeGrowthRate,FinancialStatementsTime,TFXRatio,MonthlyNetSalesYoY,RevenueMonth" advise="1">
        <values cols="10">
          <value t="str">
            <val>8409</val>
          </value>
          <value t="str">
            <val>商之器</val>
          </value>
          <value t="str">
            <val>7.4</val>
          </value>
          <value t="str">
            <val>3.20</val>
          </value>
          <value t="str">
            <val>271.45</val>
          </value>
          <value t="str">
            <val>216.38</val>
          </value>
          <value t="str">
            <val>2022/03</val>
          </value>
          <value t="str">
            <val>44.00</val>
          </value>
          <value t="str">
            <val>21.29</val>
          </value>
          <value t="str">
            <val>2022/06</val>
          </value>
        </values>
      </ddeItem>
      <ddeItem name="8409.TW-OperatingProfitRatio,Price,PriceChangeRatio,InOutRatioNumber,Value,YearReturn,MonthReturn,WeekReturn,FinanceBalanceDif,ChipsField2" advise="1">
        <values cols="10">
          <value t="str">
            <val>14.86</val>
          </value>
          <value>
            <val>23.2</val>
          </value>
          <value>
            <val>2.2000000000000002</val>
          </value>
          <value t="str">
            <val>59.69%</val>
          </value>
          <value t="str">
            <val>764萬</val>
          </value>
          <value t="str">
            <val>+28.89</val>
          </value>
          <value t="str">
            <val>+5.22</val>
          </value>
          <value t="str">
            <val>+2.88</val>
          </value>
          <value>
            <val>0</val>
          </value>
          <value>
            <val>0</val>
          </value>
        </values>
      </ddeItem>
      <ddeItem name="84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0.60</val>
          </value>
          <value>
            <val>2.0099999999999998</val>
          </value>
          <value t="str">
            <val>1.24</val>
          </value>
          <value t="str">
            <val>1.32</val>
          </value>
          <value t="str">
            <val>森田</val>
          </value>
          <value t="str">
            <val>上櫃電腦及週邊設備</val>
          </value>
          <value t="str">
            <val>台灣最大3C產品之膜內轉印(IMR)印刷廠</val>
          </value>
        </values>
      </ddeItem>
      <ddeItem name="8410.TW-CName,InvestorConferenceDate,DateofMeetingofShareHolders,TradingDate" advise="1">
        <values cols="4">
          <value t="str">
            <val>森田</val>
          </value>
          <value t="str">
            <val>--</val>
          </value>
          <value t="str">
            <val>2022/06/28</val>
          </value>
          <value t="str">
            <val>2022/08/01</val>
          </value>
        </values>
      </ddeItem>
      <ddeItem name="8410.TW-ID,Name,MarketValue,Capital,NetIncomeGrowthRate,OperIncomeGrowthRate,FinancialStatementsTime,TFXRatio,MonthlyNetSalesYoY,RevenueMonth" advise="1">
        <values cols="10">
          <value t="str">
            <val>8410</val>
          </value>
          <value t="str">
            <val>森田</val>
          </value>
          <value t="str">
            <val>10.9</val>
          </value>
          <value t="str">
            <val>3.66</val>
          </value>
          <value t="str">
            <val>7.32</val>
          </value>
          <value t="str">
            <val>-39.87</val>
          </value>
          <value t="str">
            <val>2022/03</val>
          </value>
          <value t="str">
            <val>-9.86</val>
          </value>
          <value t="str">
            <val>17.44</val>
          </value>
          <value t="str">
            <val>2022/06</val>
          </value>
        </values>
      </ddeItem>
      <ddeItem name="8410.TW-OperatingProfitRatio,Price,PriceChangeRatio,InOutRatioNumber,Value,YearReturn,MonthReturn,WeekReturn,FinanceBalanceDif,ChipsField2" advise="1">
        <values cols="10">
          <value t="str">
            <val>10.30</val>
          </value>
          <value>
            <val>29.85</val>
          </value>
          <value>
            <val>0.34</val>
          </value>
          <value t="str">
            <val>60.00%</val>
          </value>
          <value t="str">
            <val>32.9萬</val>
          </value>
          <value t="str">
            <val>-21.74</val>
          </value>
          <value t="str">
            <val>+4.92</val>
          </value>
          <value t="str">
            <val>+0.17</val>
          </value>
          <value>
            <val>0</val>
          </value>
          <value>
            <val>0</val>
          </value>
        </values>
      </ddeItem>
      <ddeItem name="84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-52</val>
          </value>
          <value t="str">
            <val>2022/07/11</val>
          </value>
          <value t="str">
            <val>1.80</val>
          </value>
          <value>
            <val>5.1100000000000003</val>
          </value>
          <value t="str">
            <val>4.20</val>
          </value>
          <value t="str">
            <val>1.27</val>
          </value>
          <value t="str">
            <val>大國鋼</val>
          </value>
          <value t="str">
            <val>上櫃鋼鐵</val>
          </value>
          <value t="str">
            <val>大成鋼轉投資之大型螺絲螺帽配銷商</val>
          </value>
        </values>
      </ddeItem>
      <ddeItem name="8415.TW-CName,InvestorConferenceDate,DateofMeetingofShareHolders,TradingDate" advise="1">
        <values cols="4">
          <value t="str">
            <val>大國鋼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8415.TW-ID,Name,MarketValue,Capital,NetIncomeGrowthRate,OperIncomeGrowthRate,FinancialStatementsTime,TFXRatio,MonthlyNetSalesYoY,RevenueMonth" advise="1">
        <values cols="10">
          <value t="str">
            <val>8415</val>
          </value>
          <value t="str">
            <val>大國鋼</val>
          </value>
          <value t="str">
            <val>363.1</val>
          </value>
          <value t="str">
            <val>103.15</val>
          </value>
          <value t="str">
            <val>121.10</val>
          </value>
          <value t="str">
            <val>78.55</val>
          </value>
          <value t="str">
            <val>2022/03</val>
          </value>
          <value t="str">
            <val>2.79</val>
          </value>
          <value t="str">
            <val>20.05</val>
          </value>
          <value t="str">
            <val>2022/06</val>
          </value>
        </values>
      </ddeItem>
      <ddeItem name="8415.TW-OperatingProfitRatio,Price,PriceChangeRatio,InOutRatioNumber,Value,YearReturn,MonthReturn,WeekReturn,FinanceBalanceDif,ChipsField2" advise="1">
        <values cols="10">
          <value t="str">
            <val>23.95</val>
          </value>
          <value>
            <val>35.200000000000003</val>
          </value>
          <value>
            <val>2.33</val>
          </value>
          <value t="str">
            <val>75.99%</val>
          </value>
          <value t="str">
            <val>2975萬</val>
          </value>
          <value t="str">
            <val>-4.91</val>
          </value>
          <value t="str">
            <val>+5.86</val>
          </value>
          <value t="str">
            <val>-0.14</val>
          </value>
          <value>
            <val>12</val>
          </value>
          <value>
            <val>0</val>
          </value>
        </values>
      </ddeItem>
      <ddeItem name="84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2022/06/16</val>
          </value>
          <value t="str">
            <val>8.00</val>
          </value>
          <value>
            <val>6.48</val>
          </value>
          <value t="str">
            <val>12.10</val>
          </value>
          <value t="str">
            <val>2.47</val>
          </value>
          <value t="str">
            <val>實威</val>
          </value>
          <value t="str">
            <val>上櫃資訊服務</val>
          </value>
          <value t="str">
            <val>3D CAD/CAM/CAE/PDM軟硬體代理商</val>
          </value>
        </values>
      </ddeItem>
      <ddeItem name="8416.TW-CName,InvestorConferenceDate,DateofMeetingofShareHolders,TradingDate" advise="1">
        <values cols="4">
          <value t="str">
            <val>實威</val>
          </value>
          <value t="str">
            <val>--</val>
          </value>
          <value t="str">
            <val>2022/05/30</val>
          </value>
          <value t="str">
            <val>2022/08/01</val>
          </value>
        </values>
      </ddeItem>
      <ddeItem name="8416.TW-ID,Name,MarketValue,Capital,NetIncomeGrowthRate,OperIncomeGrowthRate,FinancialStatementsTime,TFXRatio,MonthlyNetSalesYoY,RevenueMonth" advise="1">
        <values cols="10">
          <value t="str">
            <val>8416</val>
          </value>
          <value t="str">
            <val>實威</val>
          </value>
          <value t="str">
            <val>34.8</val>
          </value>
          <value t="str">
            <val>2.82</val>
          </value>
          <value t="str">
            <val>43.31</val>
          </value>
          <value t="str">
            <val>55.93</val>
          </value>
          <value t="str">
            <val>2022/03</val>
          </value>
          <value t="str">
            <val>49.02</val>
          </value>
          <value t="str">
            <val>7.49</val>
          </value>
          <value t="str">
            <val>2022/06</val>
          </value>
        </values>
      </ddeItem>
      <ddeItem name="8416.TW-OperatingProfitRatio,Price,PriceChangeRatio,InOutRatioNumber,Value,YearReturn,MonthReturn,WeekReturn,FinanceBalanceDif,ChipsField2" advise="1">
        <values cols="10">
          <value t="str">
            <val>26.91</val>
          </value>
          <value>
            <val>123.5</val>
          </value>
          <value>
            <val>0</val>
          </value>
          <value t="str">
            <val>0.00%</val>
          </value>
          <value t="str">
            <val>49.4萬</val>
          </value>
          <value t="str">
            <val>+10.07</val>
          </value>
          <value t="str">
            <val>+4.66</val>
          </value>
          <value t="str">
            <val>-1.20</val>
          </value>
          <value>
            <val>0</val>
          </value>
          <value>
            <val>0</val>
          </value>
        </values>
      </ddeItem>
      <ddeItem name="84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-2.31</val>
          </value>
          <value t="str">
            <val>-0.38</val>
          </value>
          <value t="str">
            <val>捷必勝-KY</val>
          </value>
          <value t="str">
            <val>上櫃其他</val>
          </value>
          <value t="str">
            <val>新加坡工程設備租賃銷售業龍頭</val>
          </value>
        </values>
      </ddeItem>
      <ddeItem name="8418.TW-CName,InvestorConferenceDate,DateofMeetingofShareHolders,TradingDate" advise="1">
        <values cols="4">
          <value t="str">
            <val>捷必勝-KY</val>
          </value>
          <value t="str">
            <val>2021/10/21</val>
          </value>
          <value t="str">
            <val>2022/06/30</val>
          </value>
          <value t="str">
            <val>2022/08/01</val>
          </value>
        </values>
      </ddeItem>
      <ddeItem name="8418.TW-ID,Name,MarketValue,Capital,NetIncomeGrowthRate,OperIncomeGrowthRate,FinancialStatementsTime,TFXRatio,MonthlyNetSalesYoY,RevenueMonth" advise="1">
        <values cols="10">
          <value t="str">
            <val>8418</val>
          </value>
          <value t="str">
            <val>捷必勝-KY</val>
          </value>
          <value t="str">
            <val>7.7</val>
          </value>
          <value t="str">
            <val>7.84</val>
          </value>
          <value t="str">
            <val>-381.81</val>
          </value>
          <value t="str">
            <val>-221.86</val>
          </value>
          <value t="str">
            <val>2022/03</val>
          </value>
          <value t="str">
            <val>43.93</val>
          </value>
          <value t="str">
            <val>-5.95</val>
          </value>
          <value t="str">
            <val>2022/06</val>
          </value>
        </values>
      </ddeItem>
      <ddeItem name="8418.TW-OperatingProfitRatio,Price,PriceChangeRatio,InOutRatioNumber,Value,YearReturn,MonthReturn,WeekReturn,FinanceBalanceDif,ChipsField2" advise="1">
        <values cols="10">
          <value t="str">
            <val>-5.09</val>
          </value>
          <value>
            <val>9.8800000000000008</val>
          </value>
          <value>
            <val>-1.1000000000000001</val>
          </value>
          <value t="str">
            <val>65.00%</val>
          </value>
          <value t="str">
            <val>19.8萬</val>
          </value>
          <value t="str">
            <val>-13.71</val>
          </value>
          <value t="str">
            <val>+0.41</val>
          </value>
          <value t="str">
            <val>-0.40</val>
          </value>
          <value>
            <val>0</val>
          </value>
          <value>
            <val>0</val>
          </value>
        </values>
      </ddeItem>
      <ddeItem name="84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18</val>
          </value>
          <value t="str">
            <val>2022/06/24</val>
          </value>
          <value t="str">
            <val>2.50</val>
          </value>
          <value>
            <val>4.1399999999999997</val>
          </value>
          <value t="str">
            <val>5.97</val>
          </value>
          <value t="str">
            <val>1.75</val>
          </value>
          <value t="str">
            <val>明揚</val>
          </value>
          <value t="str">
            <val>上櫃其他</val>
          </value>
          <value t="str">
            <val>明安旗下以生產專業高爾夫球之公司</val>
          </value>
        </values>
      </ddeItem>
      <ddeItem name="8420.TW-CName,InvestorConferenceDate,DateofMeetingofShareHolders,TradingDate" advise="1">
        <values cols="4">
          <value t="str">
            <val>明揚</val>
          </value>
          <value t="str">
            <val>2022/03/31</val>
          </value>
          <value t="str">
            <val>2022/05/31</val>
          </value>
          <value t="str">
            <val>2022/08/01</val>
          </value>
        </values>
      </ddeItem>
      <ddeItem name="8420.TW-ID,Name,MarketValue,Capital,NetIncomeGrowthRate,OperIncomeGrowthRate,FinancialStatementsTime,TFXRatio,MonthlyNetSalesYoY,RevenueMonth" advise="1">
        <values cols="10">
          <value t="str">
            <val>8420</val>
          </value>
          <value t="str">
            <val>明揚</val>
          </value>
          <value t="str">
            <val>30.8</val>
          </value>
          <value t="str">
            <val>5.10</val>
          </value>
          <value t="str">
            <val>309.02</val>
          </value>
          <value t="str">
            <val>189.79</val>
          </value>
          <value t="str">
            <val>2022/03</val>
          </value>
          <value t="str">
            <val>1.72</val>
          </value>
          <value t="str">
            <val>45.09</val>
          </value>
          <value t="str">
            <val>2022/06</val>
          </value>
        </values>
      </ddeItem>
      <ddeItem name="8420.TW-OperatingProfitRatio,Price,PriceChangeRatio,InOutRatioNumber,Value,YearReturn,MonthReturn,WeekReturn,FinanceBalanceDif,ChipsField2" advise="1">
        <values cols="10">
          <value t="str">
            <val>13.26</val>
          </value>
          <value>
            <val>60.4</val>
          </value>
          <value>
            <val>3.6</val>
          </value>
          <value t="str">
            <val>67.17%</val>
          </value>
          <value t="str">
            <val>2376萬</val>
          </value>
          <value t="str">
            <val>+98.98</val>
          </value>
          <value t="str">
            <val>+25.83</val>
          </value>
          <value t="str">
            <val>+5.04</val>
          </value>
          <value>
            <val>-8</val>
          </value>
          <value>
            <val>0</val>
          </value>
        </values>
      </ddeItem>
      <ddeItem name="84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391</val>
          </value>
          <value t="str">
            <val>--</val>
          </value>
          <value t="str">
            <val>0.00</val>
          </value>
          <value>
            <val>0</val>
          </value>
          <value t="str">
            <val>7.60</val>
          </value>
          <value t="str">
            <val>9.26</val>
          </value>
          <value t="str">
            <val>旭源</val>
          </value>
          <value t="str">
            <val>上櫃其他</val>
          </value>
          <value t="str">
            <val>飲料標籤及生產設備製造商</val>
          </value>
        </values>
      </ddeItem>
      <ddeItem name="8421.TW-CName,InvestorConferenceDate,DateofMeetingofShareHolders,TradingDate" advise="1">
        <values cols="4">
          <value t="str">
            <val>旭源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8421.TW-ID,Name,MarketValue,Capital,NetIncomeGrowthRate,OperIncomeGrowthRate,FinancialStatementsTime,TFXRatio,MonthlyNetSalesYoY,RevenueMonth" advise="1">
        <values cols="10">
          <value t="str">
            <val>8421</val>
          </value>
          <value t="str">
            <val>旭源</val>
          </value>
          <value t="str">
            <val>9.4</val>
          </value>
          <value t="str">
            <val>5.48</val>
          </value>
          <value t="str">
            <val>1948.26</val>
          </value>
          <value t="str">
            <val>-216.11</val>
          </value>
          <value t="str">
            <val>2022/03</val>
          </value>
          <value t="str">
            <val>0.00</val>
          </value>
          <value t="str">
            <val>1.52</val>
          </value>
          <value t="str">
            <val>2022/06</val>
          </value>
        </values>
      </ddeItem>
      <ddeItem name="8421.TW-OperatingProfitRatio,Price,PriceChangeRatio,InOutRatioNumber,Value,YearReturn,MonthReturn,WeekReturn,FinanceBalanceDif,ChipsField2" advise="1">
        <values cols="10">
          <value t="str">
            <val>-9.83</val>
          </value>
          <value>
            <val>17.2</val>
          </value>
          <value>
            <val>-1.71</val>
          </value>
          <value t="str">
            <val>37.53%</val>
          </value>
          <value t="str">
            <val>1.00億</val>
          </value>
          <value t="str">
            <val>+69.46</val>
          </value>
          <value t="str">
            <val>+0.29</val>
          </value>
          <value t="str">
            <val>+4.88</val>
          </value>
          <value>
            <val>341</val>
          </value>
          <value>
            <val>0</val>
          </value>
        </values>
      </ddeItem>
      <ddeItem name="84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0.60</val>
          </value>
          <value>
            <val>3.35</val>
          </value>
          <value t="str">
            <val>0.65</val>
          </value>
          <value t="str">
            <val>0.26</val>
          </value>
          <value t="str">
            <val>保綠-KY</val>
          </value>
          <value t="str">
            <val>上櫃其他</val>
          </value>
          <value t="str">
            <val>馬來西亞最大的再生膠、膠粉及膠粒製造商</val>
          </value>
        </values>
      </ddeItem>
      <ddeItem name="8423.TW-CName,InvestorConferenceDate,DateofMeetingofShareHolders,TradingDate" advise="1">
        <values cols="4">
          <value t="str">
            <val>保綠-KY</val>
          </value>
          <value t="str">
            <val>2021/12/02</val>
          </value>
          <value t="str">
            <val>2022/06/29</val>
          </value>
          <value t="str">
            <val>2022/08/01</val>
          </value>
        </values>
      </ddeItem>
      <ddeItem name="8423.TW-ID,Name,MarketValue,Capital,NetIncomeGrowthRate,OperIncomeGrowthRate,FinancialStatementsTime,TFXRatio,MonthlyNetSalesYoY,RevenueMonth" advise="1">
        <values cols="10">
          <value t="str">
            <val>8423</val>
          </value>
          <value t="str">
            <val>保綠-KY</val>
          </value>
          <value t="str">
            <val>4.3</val>
          </value>
          <value t="str">
            <val>2.41</val>
          </value>
          <value t="str">
            <val>-29.09</val>
          </value>
          <value t="str">
            <val>-24.19</val>
          </value>
          <value t="str">
            <val>2022/03</val>
          </value>
          <value t="str">
            <val>11.92</val>
          </value>
          <value t="str">
            <val>112.72</val>
          </value>
          <value t="str">
            <val>2022/06</val>
          </value>
        </values>
      </ddeItem>
      <ddeItem name="8423.TW-OperatingProfitRatio,Price,PriceChangeRatio,InOutRatioNumber,Value,YearReturn,MonthReturn,WeekReturn,FinanceBalanceDif,ChipsField2" advise="1">
        <values cols="10">
          <value t="str">
            <val>9.57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+9.11</val>
          </value>
          <value t="str">
            <val>+1.70</val>
          </value>
          <value t="str">
            <val>0.00</val>
          </value>
          <value>
            <val>0</val>
          </value>
          <value>
            <val>0</val>
          </value>
        </values>
      </ddeItem>
      <ddeItem name="84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2022/06/10</val>
          </value>
          <value t="str">
            <val>4.50</val>
          </value>
          <value>
            <val>6.64</val>
          </value>
          <value t="str">
            <val>4.70</val>
          </value>
          <value t="str">
            <val>1.22</val>
          </value>
          <value t="str">
            <val>惠普</val>
          </value>
          <value t="str">
            <val>上櫃建材營造</val>
          </value>
          <value t="str">
            <val>台灣最大矽酸鈣板廠</val>
          </value>
        </values>
      </ddeItem>
      <ddeItem name="8424.TW-CName,InvestorConferenceDate,DateofMeetingofShareHolders,TradingDate" advise="1">
        <values cols="4">
          <value t="str">
            <val>惠普</val>
          </value>
          <value t="str">
            <val>2022/05/17</val>
          </value>
          <value t="str">
            <val>2022/05/20</val>
          </value>
          <value t="str">
            <val>2022/08/01</val>
          </value>
        </values>
      </ddeItem>
      <ddeItem name="8424.TW-ID,Name,MarketValue,Capital,NetIncomeGrowthRate,OperIncomeGrowthRate,FinancialStatementsTime,TFXRatio,MonthlyNetSalesYoY,RevenueMonth" advise="1">
        <values cols="10">
          <value t="str">
            <val>8424</val>
          </value>
          <value t="str">
            <val>惠普</val>
          </value>
          <value t="str">
            <val>24.4</val>
          </value>
          <value t="str">
            <val>3.61</val>
          </value>
          <value t="str">
            <val>8.62</val>
          </value>
          <value t="str">
            <val>9.31</val>
          </value>
          <value t="str">
            <val>2022/03</val>
          </value>
          <value t="str">
            <val>5.48</val>
          </value>
          <value t="str">
            <val>30.99</val>
          </value>
          <value t="str">
            <val>2022/06</val>
          </value>
        </values>
      </ddeItem>
      <ddeItem name="8424.TW-OperatingProfitRatio,Price,PriceChangeRatio,InOutRatioNumber,Value,YearReturn,MonthReturn,WeekReturn,FinanceBalanceDif,ChipsField2" advise="1">
        <values cols="10">
          <value t="str">
            <val>21.22</val>
          </value>
          <value>
            <val>67.8</val>
          </value>
          <value>
            <val>0.3</val>
          </value>
          <value t="str">
            <val>87.50%</val>
          </value>
          <value t="str">
            <val>67.8萬</val>
          </value>
          <value t="str">
            <val>+25.45</val>
          </value>
          <value t="str">
            <val>+1.50</val>
          </value>
          <value t="str">
            <val>+1.80</val>
          </value>
          <value>
            <val>0</val>
          </value>
          <value>
            <val>0</val>
          </value>
        </values>
      </ddeItem>
      <ddeItem name="84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-0.05</val>
          </value>
          <value t="str">
            <val>-0.55</val>
          </value>
          <value t="str">
            <val>紅木-KY</val>
          </value>
          <value t="str">
            <val>上櫃其他</val>
          </value>
          <value t="str">
            <val>國際精品的裝潢承包商</val>
          </value>
        </values>
      </ddeItem>
      <ddeItem name="8426.TW-CName,InvestorConferenceDate,DateofMeetingofShareHolders,TradingDate" advise="1">
        <values cols="4">
          <value t="str">
            <val>紅木-KY</val>
          </value>
          <value t="str">
            <val>2021/12/01</val>
          </value>
          <value t="str">
            <val>2022/06/27</val>
          </value>
          <value t="str">
            <val>2022/08/01</val>
          </value>
        </values>
      </ddeItem>
      <ddeItem name="8426.TW-ID,Name,MarketValue,Capital,NetIncomeGrowthRate,OperIncomeGrowthRate,FinancialStatementsTime,TFXRatio,MonthlyNetSalesYoY,RevenueMonth" advise="1">
        <values cols="10">
          <value t="str">
            <val>8426</val>
          </value>
          <value t="str">
            <val>紅木-KY</val>
          </value>
          <value t="str">
            <val>6.8</val>
          </value>
          <value t="str">
            <val>5.02</val>
          </value>
          <value t="str">
            <val>-44.11</val>
          </value>
          <value t="str">
            <val>-15.27</val>
          </value>
          <value t="str">
            <val>2022/03</val>
          </value>
          <value t="str">
            <val>42.68</val>
          </value>
          <value t="str">
            <val>30.67</val>
          </value>
          <value t="str">
            <val>2022/06</val>
          </value>
        </values>
      </ddeItem>
      <ddeItem name="8426.TW-OperatingProfitRatio,Price,PriceChangeRatio,InOutRatioNumber,Value,YearReturn,MonthReturn,WeekReturn,FinanceBalanceDif,ChipsField2" advise="1">
        <values cols="10">
          <value t="str">
            <val>-11.34</val>
          </value>
          <value>
            <val>13.6</val>
          </value>
          <value>
            <val>1.49</val>
          </value>
          <value t="str">
            <val>100.00%</val>
          </value>
          <value t="str">
            <val>1.36萬</val>
          </value>
          <value t="str">
            <val>-20.70</val>
          </value>
          <value t="str">
            <val>-3.55</val>
          </value>
          <value t="str">
            <val>+0.37</val>
          </value>
          <value>
            <val>0</val>
          </value>
          <value>
            <val>0</val>
          </value>
        </values>
      </ddeItem>
      <ddeItem name="84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2022/07/11</val>
          </value>
          <value t="str">
            <val>1.80</val>
          </value>
          <value>
            <val>3.22</val>
          </value>
          <value t="str">
            <val>3.24</val>
          </value>
          <value t="str">
            <val>0.23</val>
          </value>
          <value t="str">
            <val>匯鑽科</val>
          </value>
          <value t="str">
            <val>上櫃其他電子</val>
          </value>
          <value t="str">
            <val>亞太最大表面處理大廠</val>
          </value>
        </values>
      </ddeItem>
      <ddeItem name="8431.TW-CName,InvestorConferenceDate,DateofMeetingofShareHolders,TradingDate" advise="1">
        <values cols="4">
          <value t="str">
            <val>匯鑽科</val>
          </value>
          <value t="str">
            <val>2021/07/21</val>
          </value>
          <value t="str">
            <val>2022/06/22</val>
          </value>
          <value t="str">
            <val>2022/08/01</val>
          </value>
        </values>
      </ddeItem>
      <ddeItem name="8431.TW-ID,Name,MarketValue,Capital,NetIncomeGrowthRate,OperIncomeGrowthRate,FinancialStatementsTime,TFXRatio,MonthlyNetSalesYoY,RevenueMonth" advise="1">
        <values cols="10">
          <value t="str">
            <val>8431</val>
          </value>
          <value t="str">
            <val>匯鑽科</val>
          </value>
          <value t="str">
            <val>24.9</val>
          </value>
          <value t="str">
            <val>4.45</val>
          </value>
          <value t="str">
            <val>-65.85</val>
          </value>
          <value t="str">
            <val>-60.53</val>
          </value>
          <value t="str">
            <val>2022/03</val>
          </value>
          <value t="str">
            <val>6.01</val>
          </value>
          <value t="str">
            <val>8.05</val>
          </value>
          <value t="str">
            <val>2022/06</val>
          </value>
        </values>
      </ddeItem>
      <ddeItem name="8431.TW-OperatingProfitRatio,Price,PriceChangeRatio,InOutRatioNumber,Value,YearReturn,MonthReturn,WeekReturn,FinanceBalanceDif,ChipsField2" advise="1">
        <values cols="10">
          <value t="str">
            <val>10.77</val>
          </value>
          <value>
            <val>55.9</val>
          </value>
          <value>
            <val>0.54</val>
          </value>
          <value t="str">
            <val>40.98%</val>
          </value>
          <value t="str">
            <val>342萬</val>
          </value>
          <value t="str">
            <val>-18.02</val>
          </value>
          <value t="str">
            <val>+4.88</val>
          </value>
          <value t="str">
            <val>+0.54</val>
          </value>
          <value>
            <val>8</val>
          </value>
          <value>
            <val>0</val>
          </value>
        </values>
      </ddeItem>
      <ddeItem name="84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</val>
          </value>
          <value t="str">
            <val>2022/06/13</val>
          </value>
          <value t="str">
            <val>1.50</val>
          </value>
          <value>
            <val>3.38</val>
          </value>
          <value t="str">
            <val>1.48</val>
          </value>
          <value t="str">
            <val>0.51</val>
          </value>
          <value t="str">
            <val>東生華</val>
          </value>
          <value t="str">
            <val>上櫃生技醫療</val>
          </value>
          <value t="str">
            <val>東洋旗下慢性病用藥的新藥研發公司</val>
          </value>
        </values>
      </ddeItem>
      <ddeItem name="8432.TW-CName,InvestorConferenceDate,DateofMeetingofShareHolders,TradingDate" advise="1">
        <values cols="4">
          <value t="str">
            <val>東生華</val>
          </value>
          <value t="str">
            <val>2022/05/27</val>
          </value>
          <value t="str">
            <val>2022/05/25</val>
          </value>
          <value t="str">
            <val>2022/08/01</val>
          </value>
        </values>
      </ddeItem>
      <ddeItem name="8432.TW-ID,Name,MarketValue,Capital,NetIncomeGrowthRate,OperIncomeGrowthRate,FinancialStatementsTime,TFXRatio,MonthlyNetSalesYoY,RevenueMonth" advise="1">
        <values cols="10">
          <value t="str">
            <val>8432</val>
          </value>
          <value t="str">
            <val>東生華</val>
          </value>
          <value t="str">
            <val>17.0</val>
          </value>
          <value t="str">
            <val>3.84</val>
          </value>
          <value t="str">
            <val>100.59</val>
          </value>
          <value t="str">
            <val>83.41</val>
          </value>
          <value t="str">
            <val>2022/03</val>
          </value>
          <value t="str">
            <val>-1.26</val>
          </value>
          <value t="str">
            <val>7.24</val>
          </value>
          <value t="str">
            <val>2022/06</val>
          </value>
        </values>
      </ddeItem>
      <ddeItem name="8432.TW-OperatingProfitRatio,Price,PriceChangeRatio,InOutRatioNumber,Value,YearReturn,MonthReturn,WeekReturn,FinanceBalanceDif,ChipsField2" advise="1">
        <values cols="10">
          <value t="str">
            <val>18.29</val>
          </value>
          <value>
            <val>44.4</val>
          </value>
          <value>
            <val>-1.22</val>
          </value>
          <value t="str">
            <val>31.75%</val>
          </value>
          <value t="str">
            <val>1258萬</val>
          </value>
          <value t="str">
            <val>+17.72</val>
          </value>
          <value t="str">
            <val>+10.45</val>
          </value>
          <value t="str">
            <val>-7.40</val>
          </value>
          <value>
            <val>-19</val>
          </value>
          <value>
            <val>0</val>
          </value>
        </values>
      </ddeItem>
      <ddeItem name="8433.TW-ChipsField3,ChipsField1,ChipsField25,CashAndStockDividend,CashDividendYieldRate,ProfitFourSeason,ProfitSingle,CName,ExchangeIndustry,CompanyPos" advise="1">
        <values cols="10">
          <value>
            <val>4</val>
          </value>
          <value>
            <val>125</val>
          </value>
          <value t="str">
            <val>2022/07/12</val>
          </value>
          <value t="str">
            <val>2.50</val>
          </value>
          <value>
            <val>3.88</val>
          </value>
          <value t="str">
            <val>4.89</val>
          </value>
          <value t="str">
            <val>1.63</val>
          </value>
          <value t="str">
            <val>弘帆</val>
          </value>
          <value t="str">
            <val>上櫃貿易百貨</val>
          </value>
          <value t="str">
            <val>全方位女性與孩童配件飾品供應商，產品外銷歐美為主</val>
          </value>
        </values>
      </ddeItem>
      <ddeItem name="8433.TW-CName,InvestorConferenceDate,DateofMeetingofShareHolders,TradingDate" advise="1">
        <values cols="4">
          <value t="str">
            <val>弘帆</val>
          </value>
          <value t="str">
            <val>--</val>
          </value>
          <value t="str">
            <val>2022/06/24</val>
          </value>
          <value t="str">
            <val>2022/08/01</val>
          </value>
        </values>
      </ddeItem>
      <ddeItem name="8433.TW-ID,Name,MarketValue,Capital,NetIncomeGrowthRate,OperIncomeGrowthRate,FinancialStatementsTime,TFXRatio,MonthlyNetSalesYoY,RevenueMonth" advise="1">
        <values cols="10">
          <value t="str">
            <val>8433</val>
          </value>
          <value t="str">
            <val>弘帆</val>
          </value>
          <value t="str">
            <val>33.5</val>
          </value>
          <value t="str">
            <val>5.21</val>
          </value>
          <value t="str">
            <val>118.38</val>
          </value>
          <value t="str">
            <val>39.05</val>
          </value>
          <value t="str">
            <val>2022/03</val>
          </value>
          <value t="str">
            <val>37.11</val>
          </value>
          <value t="str">
            <val>72.97</val>
          </value>
          <value t="str">
            <val>2022/06</val>
          </value>
        </values>
      </ddeItem>
      <ddeItem name="8433.TW-OperatingProfitRatio,Price,PriceChangeRatio,InOutRatioNumber,Value,YearReturn,MonthReturn,WeekReturn,FinanceBalanceDif,ChipsField2" advise="1">
        <values cols="10">
          <value t="str">
            <val>8.82</val>
          </value>
          <value>
            <val>64.400000000000006</val>
          </value>
          <value>
            <val>2.5499999999999998</val>
          </value>
          <value t="str">
            <val>68.23%</val>
          </value>
          <value t="str">
            <val>1261萬</val>
          </value>
          <value t="str">
            <val>+60.57</val>
          </value>
          <value t="str">
            <val>+32.73</val>
          </value>
          <value t="str">
            <val>-3.59</val>
          </value>
          <value>
            <val>7</val>
          </value>
          <value>
            <val>0</val>
          </value>
        </values>
      </ddeItem>
      <ddeItem name="84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2022/04/06</val>
          </value>
          <value t="str">
            <val>3.80</val>
          </value>
          <value>
            <val>6.26</val>
          </value>
          <value t="str">
            <val>4.13</val>
          </value>
          <value t="str">
            <val>0.96</val>
          </value>
          <value t="str">
            <val>鉅邁</val>
          </value>
          <value t="str">
            <val>上櫃其他</val>
          </value>
          <value t="str">
            <val>台灣前三大工業水處理藥劑公司</val>
          </value>
        </values>
      </ddeItem>
      <ddeItem name="8435.TW-CName,InvestorConferenceDate,DateofMeetingofShareHolders,TradingDate" advise="1">
        <values cols="4">
          <value t="str">
            <val>鉅邁</val>
          </value>
          <value t="str">
            <val>--</val>
          </value>
          <value t="str">
            <val>2022/06/06</val>
          </value>
          <value t="str">
            <val>2022/08/01</val>
          </value>
        </values>
      </ddeItem>
      <ddeItem name="8435.TW-ID,Name,MarketValue,Capital,NetIncomeGrowthRate,OperIncomeGrowthRate,FinancialStatementsTime,TFXRatio,MonthlyNetSalesYoY,RevenueMonth" advise="1">
        <values cols="10">
          <value t="str">
            <val>8435</val>
          </value>
          <value t="str">
            <val>鉅邁</val>
          </value>
          <value t="str">
            <val>19.2</val>
          </value>
          <value t="str">
            <val>3.17</val>
          </value>
          <value t="str">
            <val>10.68</val>
          </value>
          <value t="str">
            <val>-14.61</val>
          </value>
          <value t="str">
            <val>2022/03</val>
          </value>
          <value t="str">
            <val>-9.95</val>
          </value>
          <value t="str">
            <val>1.99</val>
          </value>
          <value t="str">
            <val>2022/06</val>
          </value>
        </values>
      </ddeItem>
      <ddeItem name="8435.TW-OperatingProfitRatio,Price,PriceChangeRatio,InOutRatioNumber,Value,YearReturn,MonthReturn,WeekReturn,FinanceBalanceDif,ChipsField2" advise="1">
        <values cols="10">
          <value t="str">
            <val>15.74</val>
          </value>
          <value>
            <val>60.7</val>
          </value>
          <value>
            <val>0.33</val>
          </value>
          <value t="str">
            <val>3.57%</val>
          </value>
          <value t="str">
            <val>169萬</val>
          </value>
          <value t="str">
            <val>+15.54</val>
          </value>
          <value t="str">
            <val>+1.51</val>
          </value>
          <value t="str">
            <val>+1.00</val>
          </value>
          <value>
            <val>0</val>
          </value>
          <value>
            <val>0</val>
          </value>
        </values>
      </ddeItem>
      <ddeItem name="8436.TW-ChipsField3,ChipsField1,ChipsField25,CashAndStockDividend,CashDividendYieldRate,ProfitFourSeason,ProfitSingle,CName,ExchangeIndustry,CompanyPos" advise="1">
        <values cols="10">
          <value>
            <val>6</val>
          </value>
          <value>
            <val>67</val>
          </value>
          <value t="str">
            <val>2022/07/21</val>
          </value>
          <value t="str">
            <val>8.92</val>
          </value>
          <value>
            <val>6.19</val>
          </value>
          <value t="str">
            <val>11.24</val>
          </value>
          <value t="str">
            <val>1.32</val>
          </value>
          <value t="str">
            <val>大江</val>
          </value>
          <value t="str">
            <val>上櫃生技醫療</val>
          </value>
          <value t="str">
            <val>專為大廠研發保健品、保養品及有效添加物等公司</val>
          </value>
        </values>
      </ddeItem>
      <ddeItem name="8436.TW-CName,InvestorConferenceDate,DateofMeetingofShareHolders,TradingDate" advise="1">
        <values cols="4">
          <value t="str">
            <val>大江</val>
          </value>
          <value t="str">
            <val>2022/05/11</val>
          </value>
          <value t="str">
            <val>2022/06/29</val>
          </value>
          <value t="str">
            <val>2022/08/01</val>
          </value>
        </values>
      </ddeItem>
      <ddeItem name="8436.TW-ID,Name,MarketValue,Capital,NetIncomeGrowthRate,OperIncomeGrowthRate,FinancialStatementsTime,TFXRatio,MonthlyNetSalesYoY,RevenueMonth" advise="1">
        <values cols="10">
          <value t="str">
            <val>8436</val>
          </value>
          <value t="str">
            <val>大江</val>
          </value>
          <value t="str">
            <val>170.3</val>
          </value>
          <value t="str">
            <val>11.83</val>
          </value>
          <value t="str">
            <val>-53.21</val>
          </value>
          <value t="str">
            <val>-59.78</val>
          </value>
          <value t="str">
            <val>2022/03</val>
          </value>
          <value t="str">
            <val>2.93</val>
          </value>
          <value t="str">
            <val>-19.55</val>
          </value>
          <value t="str">
            <val>2022/06</val>
          </value>
        </values>
      </ddeItem>
      <ddeItem name="8436.TW-OperatingProfitRatio,Price,PriceChangeRatio,InOutRatioNumber,Value,YearReturn,MonthReturn,WeekReturn,FinanceBalanceDif,ChipsField2" advise="1">
        <values cols="10">
          <value t="str">
            <val>10.38</val>
          </value>
          <value>
            <val>144</val>
          </value>
          <value>
            <val>0</val>
          </value>
          <value t="str">
            <val>61.82%</val>
          </value>
          <value t="str">
            <val>1644萬</val>
          </value>
          <value t="str">
            <val>-51.45</val>
          </value>
          <value t="str">
            <val>+7.87</val>
          </value>
          <value t="str">
            <val>-0.69</val>
          </value>
          <value>
            <val>-19</val>
          </value>
          <value>
            <val>0</val>
          </value>
        </values>
      </ddeItem>
      <ddeItem name="843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2022/08/04</val>
          </value>
          <value t="str">
            <val>4.00</val>
          </value>
          <value>
            <val>3.45</val>
          </value>
          <value t="str">
            <val>6.26</val>
          </value>
          <value t="str">
            <val>1.79</val>
          </value>
          <value t="str">
            <val>大地-KY</val>
          </value>
          <value t="str">
            <val>上櫃其他</val>
          </value>
          <value t="str">
            <val>大陸第二大台灣幼教品牌，提供幼教諮詢服務</val>
          </value>
        </values>
      </ddeItem>
      <ddeItem name="8437.TW-CName,InvestorConferenceDate,DateofMeetingofShareHolders,TradingDate" advise="1">
        <values cols="4">
          <value t="str">
            <val>大地-KY</val>
          </value>
          <value t="str">
            <val>2021/11/04</val>
          </value>
          <value t="str">
            <val>2022/06/17</val>
          </value>
          <value t="str">
            <val>2022/08/01</val>
          </value>
        </values>
      </ddeItem>
      <ddeItem name="8437.TW-ID,Name,MarketValue,Capital,NetIncomeGrowthRate,OperIncomeGrowthRate,FinancialStatementsTime,TFXRatio,MonthlyNetSalesYoY,RevenueMonth" advise="1">
        <values cols="10">
          <value t="str">
            <val>8437</val>
          </value>
          <value t="str">
            <val>大地-KY</val>
          </value>
          <value t="str">
            <val>55.5</val>
          </value>
          <value t="str">
            <val>4.79</val>
          </value>
          <value t="str">
            <val>102.42</val>
          </value>
          <value t="str">
            <val>135.52</val>
          </value>
          <value t="str">
            <val>2022/03</val>
          </value>
          <value t="str">
            <val>81.34</val>
          </value>
          <value t="str">
            <val>12.22</val>
          </value>
          <value t="str">
            <val>2022/06</val>
          </value>
        </values>
      </ddeItem>
      <ddeItem name="8437.TW-OperatingProfitRatio,Price,PriceChangeRatio,InOutRatioNumber,Value,YearReturn,MonthReturn,WeekReturn,FinanceBalanceDif,ChipsField2" advise="1">
        <values cols="10">
          <value t="str">
            <val>72.79</val>
          </value>
          <value>
            <val>116</val>
          </value>
          <value>
            <val>-0.85</val>
          </value>
          <value t="str">
            <val>50.00%</val>
          </value>
          <value t="str">
            <val>69.2萬</val>
          </value>
          <value t="str">
            <val>-36.78</val>
          </value>
          <value t="str">
            <val>+1.75</val>
          </value>
          <value t="str">
            <val>-0.43</val>
          </value>
          <value>
            <val>0</val>
          </value>
          <value>
            <val>0</val>
          </value>
        </values>
      </ddeItem>
      <ddeItem name="84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259</val>
          </value>
          <value t="str">
            <val>2022/05/25</val>
          </value>
          <value t="str">
            <val>0.60</val>
          </value>
          <value>
            <val>1.0900000000000001</val>
          </value>
          <value t="str">
            <val>1.45</val>
          </value>
          <value t="str">
            <val>0.31</val>
          </value>
          <value t="str">
            <val>綠電</val>
          </value>
          <value t="str">
            <val>上櫃其他</val>
          </value>
          <value t="str">
            <val>台灣最大的廢家電及廢資訊物品回收業者</val>
          </value>
        </values>
      </ddeItem>
      <ddeItem name="8440.TW-CName,InvestorConferenceDate,DateofMeetingofShareHolders,TradingDate" advise="1">
        <values cols="4">
          <value t="str">
            <val>綠電</val>
          </value>
          <value t="str">
            <val>2021/11/23</val>
          </value>
          <value t="str">
            <val>2022/04/25</val>
          </value>
          <value t="str">
            <val>2022/08/01</val>
          </value>
        </values>
      </ddeItem>
      <ddeItem name="8440.TW-ID,Name,MarketValue,Capital,NetIncomeGrowthRate,OperIncomeGrowthRate,FinancialStatementsTime,TFXRatio,MonthlyNetSalesYoY,RevenueMonth" advise="1">
        <values cols="10">
          <value t="str">
            <val>8440</val>
          </value>
          <value t="str">
            <val>綠電</val>
          </value>
          <value t="str">
            <val>20.9</val>
          </value>
          <value t="str">
            <val>3.80</val>
          </value>
          <value t="str">
            <val>32.92</val>
          </value>
          <value t="str">
            <val>38.62</val>
          </value>
          <value t="str">
            <val>2022/03</val>
          </value>
          <value t="str">
            <val>-23.53</val>
          </value>
          <value t="str">
            <val>-20.06</val>
          </value>
          <value t="str">
            <val>2022/06</val>
          </value>
        </values>
      </ddeItem>
      <ddeItem name="8440.TW-OperatingProfitRatio,Price,PriceChangeRatio,InOutRatioNumber,Value,YearReturn,MonthReturn,WeekReturn,FinanceBalanceDif,ChipsField2" advise="1">
        <values cols="10">
          <value t="str">
            <val>8.02</val>
          </value>
          <value>
            <val>54.9</val>
          </value>
          <value>
            <val>-0.36</val>
          </value>
          <value t="str">
            <val>39.68%</val>
          </value>
          <value t="str">
            <val>3506萬</val>
          </value>
          <value t="str">
            <val>+188.34</val>
          </value>
          <value t="str">
            <val>-9.26</val>
          </value>
          <value t="str">
            <val>-4.69</val>
          </value>
          <value>
            <val>23</val>
          </value>
          <value>
            <val>0</val>
          </value>
        </values>
      </ddeItem>
      <ddeItem name="84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4.15</val>
          </value>
          <value t="str">
            <val>-0.89</val>
          </value>
          <value t="str">
            <val>綠河-KY</val>
          </value>
          <value t="str">
            <val>上櫃其他</val>
          </value>
          <value t="str">
            <val>泰國塑合板與橡膠實板產銷商</val>
          </value>
        </values>
      </ddeItem>
      <ddeItem name="8444.TW-CName,InvestorConferenceDate,DateofMeetingofShareHolders,TradingDate" advise="1">
        <values cols="4">
          <value t="str">
            <val>綠河-KY</val>
          </value>
          <value t="str">
            <val>2022/04/12</val>
          </value>
          <value t="str">
            <val>2022/06/23</val>
          </value>
          <value t="str">
            <val>2022/08/01</val>
          </value>
        </values>
      </ddeItem>
      <ddeItem name="8444.TW-ID,Name,MarketValue,Capital,NetIncomeGrowthRate,OperIncomeGrowthRate,FinancialStatementsTime,TFXRatio,MonthlyNetSalesYoY,RevenueMonth" advise="1">
        <values cols="10">
          <value t="str">
            <val>8444</val>
          </value>
          <value t="str">
            <val>綠河-KY</val>
          </value>
          <value t="str">
            <val>45.3</val>
          </value>
          <value t="str">
            <val>8.98</val>
          </value>
          <value t="str">
            <val>-101.48</val>
          </value>
          <value t="str">
            <val>90.97</val>
          </value>
          <value t="str">
            <val>2022/03</val>
          </value>
          <value t="str">
            <val>-38.51</val>
          </value>
          <value t="str">
            <val>-59.42</val>
          </value>
          <value t="str">
            <val>2022/06</val>
          </value>
        </values>
      </ddeItem>
      <ddeItem name="8444.TW-OperatingProfitRatio,Price,PriceChangeRatio,InOutRatioNumber,Value,YearReturn,MonthReturn,WeekReturn,FinanceBalanceDif,ChipsField2" advise="1">
        <values cols="10">
          <value t="str">
            <val>-0.34</val>
          </value>
          <value>
            <val>50.5</val>
          </value>
          <value>
            <val>-0.79</val>
          </value>
          <value t="str">
            <val>2.94%</val>
          </value>
          <value t="str">
            <val>172萬</val>
          </value>
          <value t="str">
            <val>-35.09</val>
          </value>
          <value t="str">
            <val>+5.65</val>
          </value>
          <value t="str">
            <val>0.00</val>
          </value>
          <value>
            <val>0</val>
          </value>
          <value>
            <val>0</val>
          </value>
        </values>
      </ddeItem>
      <ddeItem name="84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2022/04/21</val>
          </value>
          <value t="str">
            <val>4.50</val>
          </value>
          <value>
            <val>6.21</val>
          </value>
          <value t="str">
            <val>5.13</val>
          </value>
          <value t="str">
            <val>0.82</val>
          </value>
          <value t="str">
            <val>華研</val>
          </value>
          <value t="str">
            <val>上櫃文化創意</val>
          </value>
          <value t="str">
            <val>亞洲跨國唱片製作及歌手經紀人公司</val>
          </value>
        </values>
      </ddeItem>
      <ddeItem name="8446.TW-CName,InvestorConferenceDate,DateofMeetingofShareHolders,TradingDate" advise="1">
        <values cols="4">
          <value t="str">
            <val>華研</val>
          </value>
          <value t="str">
            <val>2021/12/02</val>
          </value>
          <value t="str">
            <val>2022/06/22</val>
          </value>
          <value t="str">
            <val>2022/08/01</val>
          </value>
        </values>
      </ddeItem>
      <ddeItem name="8446.TW-ID,Name,MarketValue,Capital,NetIncomeGrowthRate,OperIncomeGrowthRate,FinancialStatementsTime,TFXRatio,MonthlyNetSalesYoY,RevenueMonth" advise="1">
        <values cols="10">
          <value t="str">
            <val>8446</val>
          </value>
          <value t="str">
            <val>華研</val>
          </value>
          <value t="str">
            <val>38.4</val>
          </value>
          <value t="str">
            <val>5.29</val>
          </value>
          <value t="str">
            <val>-63.61</val>
          </value>
          <value t="str">
            <val>-18.16</val>
          </value>
          <value t="str">
            <val>2022/03</val>
          </value>
          <value t="str">
            <val>-4.05</val>
          </value>
          <value t="str">
            <val>12.54</val>
          </value>
          <value t="str">
            <val>2022/06</val>
          </value>
        </values>
      </ddeItem>
      <ddeItem name="8446.TW-OperatingProfitRatio,Price,PriceChangeRatio,InOutRatioNumber,Value,YearReturn,MonthReturn,WeekReturn,FinanceBalanceDif,ChipsField2" advise="1">
        <values cols="10">
          <value t="str">
            <val>45.78</val>
          </value>
          <value>
            <val>72.5</val>
          </value>
          <value>
            <val>0.42</val>
          </value>
          <value t="str">
            <val>35.71%</val>
          </value>
          <value t="str">
            <val>202萬</val>
          </value>
          <value t="str">
            <val>-15.74</val>
          </value>
          <value t="str">
            <val>+0.97</val>
          </value>
          <value t="str">
            <val>-0.55</val>
          </value>
          <value>
            <val>1</val>
          </value>
          <value>
            <val>0</val>
          </value>
        </values>
      </ddeItem>
      <ddeItem name="84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17</val>
          </value>
          <value t="str">
            <val>--</val>
          </value>
          <value t="str">
            <val>0.00</val>
          </value>
          <value>
            <val>0</val>
          </value>
          <value t="str">
            <val>-4.95</val>
          </value>
          <value t="str">
            <val>-0.69</val>
          </value>
          <value t="str">
            <val>霹靂</val>
          </value>
          <value t="str">
            <val>上櫃文化創意</val>
          </value>
          <value t="str">
            <val>台灣布袋戲文創業者</val>
          </value>
        </values>
      </ddeItem>
      <ddeItem name="8450.TW-CName,InvestorConferenceDate,DateofMeetingofShareHolders,TradingDate" advise="1">
        <values cols="4">
          <value t="str">
            <val>霹靂</val>
          </value>
          <value t="str">
            <val>2022/07/26</val>
          </value>
          <value t="str">
            <val>2022/05/27</val>
          </value>
          <value t="str">
            <val>2022/08/01</val>
          </value>
        </values>
      </ddeItem>
      <ddeItem name="8450.TW-ID,Name,MarketValue,Capital,NetIncomeGrowthRate,OperIncomeGrowthRate,FinancialStatementsTime,TFXRatio,MonthlyNetSalesYoY,RevenueMonth" advise="1">
        <values cols="10">
          <value t="str">
            <val>8450</val>
          </value>
          <value t="str">
            <val>霹靂</val>
          </value>
          <value t="str">
            <val>18.4</val>
          </value>
          <value t="str">
            <val>5.13</val>
          </value>
          <value t="str">
            <val>-102.17</val>
          </value>
          <value t="str">
            <val>-113.24</val>
          </value>
          <value t="str">
            <val>2022/03</val>
          </value>
          <value t="str">
            <val>10.18</val>
          </value>
          <value t="str">
            <val>-11.96</val>
          </value>
          <value t="str">
            <val>2022/06</val>
          </value>
        </values>
      </ddeItem>
      <ddeItem name="8450.TW-OperatingProfitRatio,Price,PriceChangeRatio,InOutRatioNumber,Value,YearReturn,MonthReturn,WeekReturn,FinanceBalanceDif,ChipsField2" advise="1">
        <values cols="10">
          <value t="str">
            <val>-52.33</val>
          </value>
          <value>
            <val>35.85</val>
          </value>
          <value>
            <val>-1.51</val>
          </value>
          <value t="str">
            <val>42.83%</val>
          </value>
          <value t="str">
            <val>1.16億</val>
          </value>
          <value t="str">
            <val>+50.63</val>
          </value>
          <value t="str">
            <val>+21.53</val>
          </value>
          <value t="str">
            <val>+0.28</val>
          </value>
          <value>
            <val>-16</val>
          </value>
          <value>
            <val>0</val>
          </value>
        </values>
      </ddeItem>
      <ddeItem name="84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1.42</val>
          </value>
          <value t="str">
            <val>0.49</val>
          </value>
          <value t="str">
            <val>大拓-KY</val>
          </value>
          <value t="str">
            <val>上櫃其他電子</val>
          </value>
          <value t="str">
            <val>代理日系大廠電子電機產品之日本廠商</val>
          </value>
        </values>
      </ddeItem>
      <ddeItem name="8455.TW-CName,InvestorConferenceDate,DateofMeetingofShareHolders,TradingDate" advise="1">
        <values cols="4">
          <value t="str">
            <val>大拓-KY</val>
          </value>
          <value t="str">
            <val>2021/12/09</val>
          </value>
          <value t="str">
            <val>2022/06/16</val>
          </value>
          <value t="str">
            <val>2022/08/01</val>
          </value>
        </values>
      </ddeItem>
      <ddeItem name="8455.TW-ID,Name,MarketValue,Capital,NetIncomeGrowthRate,OperIncomeGrowthRate,FinancialStatementsTime,TFXRatio,MonthlyNetSalesYoY,RevenueMonth" advise="1">
        <values cols="10">
          <value t="str">
            <val>8455</val>
          </value>
          <value t="str">
            <val>大拓-KY</val>
          </value>
          <value t="str">
            <val>5.3</val>
          </value>
          <value t="str">
            <val>2.52</val>
          </value>
          <value t="str">
            <val>681.29</val>
          </value>
          <value t="str">
            <val>697.89</val>
          </value>
          <value t="str">
            <val>2022/03</val>
          </value>
          <value t="str">
            <val>16.12</val>
          </value>
          <value t="str">
            <val>7.21</val>
          </value>
          <value t="str">
            <val>2022/06</val>
          </value>
        </values>
      </ddeItem>
      <ddeItem name="8455.TW-OperatingProfitRatio,Price,PriceChangeRatio,InOutRatioNumber,Value,YearReturn,MonthReturn,WeekReturn,FinanceBalanceDif,ChipsField2" advise="1">
        <values cols="10">
          <value t="str">
            <val>2.98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+18.54</val>
          </value>
          <value t="str">
            <val>+8.21</val>
          </value>
          <value t="str">
            <val>+6.03</val>
          </value>
          <value>
            <val>0</val>
          </value>
          <value>
            <val>0</val>
          </value>
        </values>
      </ddeItem>
      <ddeItem name="84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2022/07/19</val>
          </value>
          <value t="str">
            <val>1.50</val>
          </value>
          <value>
            <val>3.36</val>
          </value>
          <value t="str">
            <val>-1.03</val>
          </value>
          <value t="str">
            <val>-0.91</val>
          </value>
          <value t="str">
            <val>夠麻吉</val>
          </value>
          <value t="str">
            <val>上櫃電子商務</val>
          </value>
          <value t="str">
            <val>吃喝玩樂券平台GOMAJI</val>
          </value>
        </values>
      </ddeItem>
      <ddeItem name="8472.TW-CName,InvestorConferenceDate,DateofMeetingofShareHolders,TradingDate" advise="1">
        <values cols="4">
          <value t="str">
            <val>夠麻吉</val>
          </value>
          <value t="str">
            <val>--</val>
          </value>
          <value t="str">
            <val>2022/06/15</val>
          </value>
          <value t="str">
            <val>2022/08/01</val>
          </value>
        </values>
      </ddeItem>
      <ddeItem name="8472.TW-ID,Name,MarketValue,Capital,NetIncomeGrowthRate,OperIncomeGrowthRate,FinancialStatementsTime,TFXRatio,MonthlyNetSalesYoY,RevenueMonth" advise="1">
        <values cols="10">
          <value t="str">
            <val>8472</val>
          </value>
          <value t="str">
            <val>夠麻吉</val>
          </value>
          <value t="str">
            <val>7.9</val>
          </value>
          <value t="str">
            <val>1.77</val>
          </value>
          <value t="str">
            <val>-227.18</val>
          </value>
          <value t="str">
            <val>-319.37</val>
          </value>
          <value t="str">
            <val>2022/03</val>
          </value>
          <value t="str">
            <val>23.82</val>
          </value>
          <value t="str">
            <val>135.33</val>
          </value>
          <value t="str">
            <val>2022/06</val>
          </value>
        </values>
      </ddeItem>
      <ddeItem name="8472.TW-OperatingProfitRatio,Price,PriceChangeRatio,InOutRatioNumber,Value,YearReturn,MonthReturn,WeekReturn,FinanceBalanceDif,ChipsField2" advise="1">
        <values cols="10">
          <value t="str">
            <val>-19.37</val>
          </value>
          <value>
            <val>44.6</val>
          </value>
          <value>
            <val>3.12</val>
          </value>
          <value t="str">
            <val>25.00%</val>
          </value>
          <value t="str">
            <val>17.4萬</val>
          </value>
          <value t="str">
            <val>-20.88</val>
          </value>
          <value t="str">
            <val>+20.76</val>
          </value>
          <value t="str">
            <val>+3.24</val>
          </value>
          <value>
            <val>0</val>
          </value>
          <value>
            <val>0</val>
          </value>
        </values>
      </ddeItem>
      <ddeItem name="84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--</val>
          </value>
          <value t="str">
            <val>0.00</val>
          </value>
          <value>
            <val>0</val>
          </value>
          <value t="str">
            <val>0.03</val>
          </value>
          <value t="str">
            <val>0.41</val>
          </value>
          <value t="str">
            <val>台境</val>
          </value>
          <value t="str">
            <val>上櫃其他</val>
          </value>
          <value t="str">
            <val>專注發展土壤、地下水領域的環保工程服務商</val>
          </value>
        </values>
      </ddeItem>
      <ddeItem name="8476.TW-CName,InvestorConferenceDate,DateofMeetingofShareHolders,TradingDate" advise="1">
        <values cols="4">
          <value t="str">
            <val>台境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8476.TW-ID,Name,MarketValue,Capital,NetIncomeGrowthRate,OperIncomeGrowthRate,FinancialStatementsTime,TFXRatio,MonthlyNetSalesYoY,RevenueMonth" advise="1">
        <values cols="10">
          <value t="str">
            <val>8476</val>
          </value>
          <value t="str">
            <val>台境</val>
          </value>
          <value t="str">
            <val>39.2</val>
          </value>
          <value t="str">
            <val>7.05</val>
          </value>
          <value t="str">
            <val>1059.41</val>
          </value>
          <value t="str">
            <val>7060.94</val>
          </value>
          <value t="str">
            <val>2022/03</val>
          </value>
          <value t="str">
            <val>4.36</val>
          </value>
          <value t="str">
            <val>389.43</val>
          </value>
          <value t="str">
            <val>2022/06</val>
          </value>
        </values>
      </ddeItem>
      <ddeItem name="8476.TW-OperatingProfitRatio,Price,PriceChangeRatio,InOutRatioNumber,Value,YearReturn,MonthReturn,WeekReturn,FinanceBalanceDif,ChipsField2" advise="1">
        <values cols="10">
          <value t="str">
            <val>7.55</val>
          </value>
          <value>
            <val>55.6</val>
          </value>
          <value>
            <val>-0.36</val>
          </value>
          <value t="str">
            <val>29.41%</val>
          </value>
          <value t="str">
            <val>94.6萬</val>
          </value>
          <value t="str">
            <val>+59.54</val>
          </value>
          <value t="str">
            <val>+2.02</val>
          </value>
          <value t="str">
            <val>-0.54</val>
          </value>
          <value>
            <val>-7</val>
          </value>
          <value>
            <val>0</val>
          </value>
        </values>
      </ddeItem>
      <ddeItem name="84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-1.36</val>
          </value>
          <value t="str">
            <val>-0.82</val>
          </value>
          <value t="str">
            <val>創業家</val>
          </value>
          <value t="str">
            <val>上櫃電子商務</val>
          </value>
          <value t="str">
            <val>台灣知名品牌垂直型電子商務平台</val>
          </value>
        </values>
      </ddeItem>
      <ddeItem name="8477.TW-CName,InvestorConferenceDate,DateofMeetingofShareHolders,TradingDate" advise="1">
        <values cols="4">
          <value t="str">
            <val>創業家</val>
          </value>
          <value t="str">
            <val>--</val>
          </value>
          <value t="str">
            <val>2022/06/14</val>
          </value>
          <value t="str">
            <val>2022/08/01</val>
          </value>
        </values>
      </ddeItem>
      <ddeItem name="8477.TW-ID,Name,MarketValue,Capital,NetIncomeGrowthRate,OperIncomeGrowthRate,FinancialStatementsTime,TFXRatio,MonthlyNetSalesYoY,RevenueMonth" advise="1">
        <values cols="10">
          <value t="str">
            <val>8477</val>
          </value>
          <value t="str">
            <val>創業家</val>
          </value>
          <value t="str">
            <val>7.0</val>
          </value>
          <value t="str">
            <val>3.16</val>
          </value>
          <value t="str">
            <val>-60.53</val>
          </value>
          <value t="str">
            <val>-21.84</val>
          </value>
          <value t="str">
            <val>2022/03</val>
          </value>
          <value t="str">
            <val>-6.88</val>
          </value>
          <value t="str">
            <val>-54.74</val>
          </value>
          <value t="str">
            <val>2022/06</val>
          </value>
        </values>
      </ddeItem>
      <ddeItem name="8477.TW-OperatingProfitRatio,Price,PriceChangeRatio,InOutRatioNumber,Value,YearReturn,MonthReturn,WeekReturn,FinanceBalanceDif,ChipsField2" advise="1">
        <values cols="10">
          <value t="str">
            <val>-4.11</val>
          </value>
          <value>
            <val>22.15</val>
          </value>
          <value>
            <val>-0.23</val>
          </value>
          <value t="str">
            <val>27.66%</val>
          </value>
          <value t="str">
            <val>107萬</val>
          </value>
          <value t="str">
            <val>-44.21</val>
          </value>
          <value t="str">
            <val>-6.54</val>
          </value>
          <value t="str">
            <val>+0.68</val>
          </value>
          <value>
            <val>35</val>
          </value>
          <value>
            <val>0</val>
          </value>
        </values>
      </ddeItem>
      <ddeItem name="848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0.20</val>
          </value>
          <value>
            <val>0.76</val>
          </value>
          <value t="str">
            <val>-1.25</val>
          </value>
          <value t="str">
            <val>-0.12</val>
          </value>
          <value t="str">
            <val>三貝德</val>
          </value>
          <value t="str">
            <val>上櫃其他</val>
          </value>
          <value t="str">
            <val>致力於K12數位教學及品牌代理授權業者</val>
          </value>
        </values>
      </ddeItem>
      <ddeItem name="8489.TW-CName,InvestorConferenceDate,DateofMeetingofShareHolders,TradingDate" advise="1">
        <values cols="4">
          <value t="str">
            <val>三貝德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8489.TW-ID,Name,MarketValue,Capital,NetIncomeGrowthRate,OperIncomeGrowthRate,FinancialStatementsTime,TFXRatio,MonthlyNetSalesYoY,RevenueMonth" advise="1">
        <values cols="10">
          <value t="str">
            <val>8489</val>
          </value>
          <value t="str">
            <val>三貝德</val>
          </value>
          <value t="str">
            <val>9.9</val>
          </value>
          <value t="str">
            <val>3.78</val>
          </value>
          <value t="str">
            <val>-76.68</val>
          </value>
          <value t="str">
            <val>-55.30</val>
          </value>
          <value t="str">
            <val>2022/03</val>
          </value>
          <value t="str">
            <val>-9.16</val>
          </value>
          <value t="str">
            <val>-6.47</val>
          </value>
          <value t="str">
            <val>2022/06</val>
          </value>
        </values>
      </ddeItem>
      <ddeItem name="8489.TW-OperatingProfitRatio,Price,PriceChangeRatio,InOutRatioNumber,Value,YearReturn,MonthReturn,WeekReturn,FinanceBalanceDif,ChipsField2" advise="1">
        <values cols="10">
          <value t="str">
            <val>5.40</val>
          </value>
          <value>
            <val>26.3</val>
          </value>
          <value>
            <val>-2.59</val>
          </value>
          <value t="str">
            <val>20.83%</val>
          </value>
          <value t="str">
            <val>128萬</val>
          </value>
          <value t="str">
            <val>-27.53</val>
          </value>
          <value t="str">
            <val>+3.75</val>
          </value>
          <value t="str">
            <val>-5.05</val>
          </value>
          <value>
            <val>7</val>
          </value>
          <value>
            <val>0</val>
          </value>
        </values>
      </ddeItem>
      <ddeItem name="89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2022/07/12</val>
          </value>
          <value t="str">
            <val>1.90</val>
          </value>
          <value>
            <val>9.5500000000000007</val>
          </value>
          <value t="str">
            <val>2.38</val>
          </value>
          <value t="str">
            <val>0.40</val>
          </value>
          <value t="str">
            <val>裕國</val>
          </value>
          <value t="str">
            <val>上櫃其他</val>
          </value>
          <value t="str">
            <val>主要從事肉品、冷凍冷藏倉儲、營建業務</val>
          </value>
        </values>
      </ddeItem>
      <ddeItem name="8905.TW-CName,InvestorConferenceDate,DateofMeetingofShareHolders,TradingDate" advise="1">
        <values cols="4">
          <value t="str">
            <val>裕國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8905.TW-ID,Name,MarketValue,Capital,NetIncomeGrowthRate,OperIncomeGrowthRate,FinancialStatementsTime,TFXRatio,MonthlyNetSalesYoY,RevenueMonth" advise="1">
        <values cols="10">
          <value t="str">
            <val>8905</val>
          </value>
          <value t="str">
            <val>裕國</val>
          </value>
          <value t="str">
            <val>23.8</val>
          </value>
          <value t="str">
            <val>11.94</val>
          </value>
          <value t="str">
            <val>-26.70</val>
          </value>
          <value t="str">
            <val>-23.00</val>
          </value>
          <value t="str">
            <val>2022/03</val>
          </value>
          <value t="str">
            <val>-22.69</val>
          </value>
          <value t="str">
            <val>-19.43</val>
          </value>
          <value t="str">
            <val>2022/06</val>
          </value>
        </values>
      </ddeItem>
      <ddeItem name="8905.TW-OperatingProfitRatio,Price,PriceChangeRatio,InOutRatioNumber,Value,YearReturn,MonthReturn,WeekReturn,FinanceBalanceDif,ChipsField2" advise="1">
        <values cols="10">
          <value t="str">
            <val>10.68</val>
          </value>
          <value>
            <val>19.899999999999999</val>
          </value>
          <value>
            <val>-0.25</val>
          </value>
          <value t="str">
            <val>48.89%</val>
          </value>
          <value t="str">
            <val>89.5萬</val>
          </value>
          <value t="str">
            <val>+4.83</val>
          </value>
          <value t="str">
            <val>+2.20</val>
          </value>
          <value t="str">
            <val>-1.00</val>
          </value>
          <value>
            <val>-27</val>
          </value>
          <value>
            <val>0</val>
          </value>
        </values>
      </ddeItem>
      <ddeItem name="89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0.10</val>
          </value>
          <value>
            <val>0.51</val>
          </value>
          <value t="str">
            <val>0.54</val>
          </value>
          <value t="str">
            <val>0.29</val>
          </value>
          <value t="str">
            <val>花王</val>
          </value>
          <value t="str">
            <val>上櫃其他</val>
          </value>
          <value t="str">
            <val>知名一貫化印製作業廠</val>
          </value>
        </values>
      </ddeItem>
      <ddeItem name="8906.TW-CName,InvestorConferenceDate,DateofMeetingofShareHolders,TradingDate" advise="1">
        <values cols="4">
          <value t="str">
            <val>花王</val>
          </value>
          <value t="str">
            <val>--</val>
          </value>
          <value t="str">
            <val>2022/06/30</val>
          </value>
          <value t="str">
            <val>2022/08/01</val>
          </value>
        </values>
      </ddeItem>
      <ddeItem name="8906.TW-ID,Name,MarketValue,Capital,NetIncomeGrowthRate,OperIncomeGrowthRate,FinancialStatementsTime,TFXRatio,MonthlyNetSalesYoY,RevenueMonth" advise="1">
        <values cols="10">
          <value t="str">
            <val>8906</val>
          </value>
          <value t="str">
            <val>花王</val>
          </value>
          <value t="str">
            <val>6.7</val>
          </value>
          <value t="str">
            <val>3.40</val>
          </value>
          <value t="str">
            <val>296.29</val>
          </value>
          <value t="str">
            <val>103.80</val>
          </value>
          <value t="str">
            <val>2022/03</val>
          </value>
          <value t="str">
            <val>4.44</val>
          </value>
          <value t="str">
            <val>10.82</val>
          </value>
          <value t="str">
            <val>2022/06</val>
          </value>
        </values>
      </ddeItem>
      <ddeItem name="8906.TW-OperatingProfitRatio,Price,PriceChangeRatio,InOutRatioNumber,Value,YearReturn,MonthReturn,WeekReturn,FinanceBalanceDif,ChipsField2" advise="1">
        <values cols="10">
          <value t="str">
            <val>0.32</val>
          </value>
          <value>
            <val>19.649999999999999</val>
          </value>
          <value>
            <val>0.26</val>
          </value>
          <value t="str">
            <val>31.91%</val>
          </value>
          <value t="str">
            <val>93.0萬</val>
          </value>
          <value t="str">
            <val>+39.36</val>
          </value>
          <value t="str">
            <val>+0.77</val>
          </value>
          <value t="str">
            <val>-2.00</val>
          </value>
          <value>
            <val>9</val>
          </value>
          <value>
            <val>0</val>
          </value>
        </values>
      </ddeItem>
      <ddeItem name="89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2022/04/07</val>
          </value>
          <value t="str">
            <val>1.90</val>
          </value>
          <value>
            <val>2.39</val>
          </value>
          <value t="str">
            <val>2.21</val>
          </value>
          <value t="str">
            <val>0.45</val>
          </value>
          <value t="str">
            <val>欣雄</val>
          </value>
          <value t="str">
            <val>上櫃油電燃氣</val>
          </value>
          <value t="str">
            <val>主要經營高雄市鳳山、大寮等13區之天然氣業者</val>
          </value>
        </values>
      </ddeItem>
      <ddeItem name="8908.TW-CName,InvestorConferenceDate,DateofMeetingofShareHolders,TradingDate" advise="1">
        <values cols="4">
          <value t="str">
            <val>欣雄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8908.TW-ID,Name,MarketValue,Capital,NetIncomeGrowthRate,OperIncomeGrowthRate,FinancialStatementsTime,TFXRatio,MonthlyNetSalesYoY,RevenueMonth" advise="1">
        <values cols="10">
          <value t="str">
            <val>8908</val>
          </value>
          <value t="str">
            <val>欣雄</val>
          </value>
          <value t="str">
            <val>177.9</val>
          </value>
          <value t="str">
            <val>22.41</val>
          </value>
          <value t="str">
            <val>-0.95</val>
          </value>
          <value t="str">
            <val>-3.51</val>
          </value>
          <value t="str">
            <val>2022/03</val>
          </value>
          <value t="str">
            <val>-2.61</val>
          </value>
          <value t="str">
            <val>9.02</val>
          </value>
          <value t="str">
            <val>2022/06</val>
          </value>
        </values>
      </ddeItem>
      <ddeItem name="8908.TW-OperatingProfitRatio,Price,PriceChangeRatio,InOutRatioNumber,Value,YearReturn,MonthReturn,WeekReturn,FinanceBalanceDif,ChipsField2" advise="1">
        <values cols="10">
          <value t="str">
            <val>7.51</val>
          </value>
          <value>
            <val>79.400000000000006</val>
          </value>
          <value>
            <val>-0.13</val>
          </value>
          <value t="str">
            <val>14.81%</val>
          </value>
          <value t="str">
            <val>223萬</val>
          </value>
          <value t="str">
            <val>+65.19</val>
          </value>
          <value t="str">
            <val>-4.68</val>
          </value>
          <value t="str">
            <val>-1.00</val>
          </value>
          <value>
            <val>0</val>
          </value>
          <value>
            <val>0</val>
          </value>
        </values>
      </ddeItem>
      <ddeItem name="89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-44</val>
          </value>
          <value t="str">
            <val>2022/08/02</val>
          </value>
          <value t="str">
            <val>3.00</val>
          </value>
          <value>
            <val>6.66</val>
          </value>
          <value t="str">
            <val>4.05</val>
          </value>
          <value t="str">
            <val>1.11</val>
          </value>
          <value t="str">
            <val>光隆</val>
          </value>
          <value t="str">
            <val>上櫃其他</val>
          </value>
          <value t="str">
            <val>國內知名的羽絨原料加工及寢具製造商</val>
          </value>
        </values>
      </ddeItem>
      <ddeItem name="8916.TW-CName,InvestorConferenceDate,DateofMeetingofShareHolders,TradingDate" advise="1">
        <values cols="4">
          <value t="str">
            <val>光隆</val>
          </value>
          <value t="str">
            <val>2022/05/10</val>
          </value>
          <value t="str">
            <val>2022/05/31</val>
          </value>
          <value t="str">
            <val>2022/08/01</val>
          </value>
        </values>
      </ddeItem>
      <ddeItem name="8916.TW-ID,Name,MarketValue,Capital,NetIncomeGrowthRate,OperIncomeGrowthRate,FinancialStatementsTime,TFXRatio,MonthlyNetSalesYoY,RevenueMonth" advise="1">
        <values cols="10">
          <value t="str">
            <val>8916</val>
          </value>
          <value t="str">
            <val>光隆</val>
          </value>
          <value t="str">
            <val>59.2</val>
          </value>
          <value t="str">
            <val>13.17</val>
          </value>
          <value t="str">
            <val>8.85</val>
          </value>
          <value t="str">
            <val>218.20</val>
          </value>
          <value t="str">
            <val>2022/03</val>
          </value>
          <value t="str">
            <val>11.11</val>
          </value>
          <value t="str">
            <val>2.20</val>
          </value>
          <value t="str">
            <val>2022/06</val>
          </value>
        </values>
      </ddeItem>
      <ddeItem name="8916.TW-OperatingProfitRatio,Price,PriceChangeRatio,InOutRatioNumber,Value,YearReturn,MonthReturn,WeekReturn,FinanceBalanceDif,ChipsField2" advise="1">
        <values cols="10">
          <value t="str">
            <val>5.50</val>
          </value>
          <value>
            <val>45.05</val>
          </value>
          <value>
            <val>0.22</val>
          </value>
          <value t="str">
            <val>66.89%</val>
          </value>
          <value t="str">
            <val>2085萬</val>
          </value>
          <value t="str">
            <val>+10.31</val>
          </value>
          <value t="str">
            <val>+6.00</val>
          </value>
          <value t="str">
            <val>+0.56</val>
          </value>
          <value>
            <val>-53</val>
          </value>
          <value>
            <val>0</val>
          </value>
        </values>
      </ddeItem>
      <ddeItem name="891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2022/08/11</val>
          </value>
          <value t="str">
            <val>2.10</val>
          </value>
          <value>
            <val>2.27</val>
          </value>
          <value t="str">
            <val>2.37</val>
          </value>
          <value t="str">
            <val>0.72</val>
          </value>
          <value t="str">
            <val>欣泰</val>
          </value>
          <value t="str">
            <val>上櫃油電燃氣</val>
          </value>
          <value t="str">
            <val>主要經營新北市樹林、土城等9區之天然氣業者</val>
          </value>
        </values>
      </ddeItem>
      <ddeItem name="8917.TW-CName,InvestorConferenceDate,DateofMeetingofShareHolders,TradingDate" advise="1">
        <values cols="4">
          <value t="str">
            <val>欣泰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8917.TW-ID,Name,MarketValue,Capital,NetIncomeGrowthRate,OperIncomeGrowthRate,FinancialStatementsTime,TFXRatio,MonthlyNetSalesYoY,RevenueMonth" advise="1">
        <values cols="10">
          <value t="str">
            <val>8917</val>
          </value>
          <value t="str">
            <val>欣泰</val>
          </value>
          <value t="str">
            <val>136.9</val>
          </value>
          <value t="str">
            <val>14.79</val>
          </value>
          <value t="str">
            <val>17.25</val>
          </value>
          <value t="str">
            <val>17.27</val>
          </value>
          <value t="str">
            <val>2022/03</val>
          </value>
          <value t="str">
            <val>-6.51</val>
          </value>
          <value t="str">
            <val>15.06</val>
          </value>
          <value t="str">
            <val>2022/06</val>
          </value>
        </values>
      </ddeItem>
      <ddeItem name="8917.TW-OperatingProfitRatio,Price,PriceChangeRatio,InOutRatioNumber,Value,YearReturn,MonthReturn,WeekReturn,FinanceBalanceDif,ChipsField2" advise="1">
        <values cols="10">
          <value t="str">
            <val>18.95</val>
          </value>
          <value>
            <val>92.6</val>
          </value>
          <value>
            <val>0</val>
          </value>
          <value t="str">
            <val>0.00%</val>
          </value>
          <value t="str">
            <val>27.8萬</val>
          </value>
          <value t="str">
            <val>+32.13</val>
          </value>
          <value t="str">
            <val>+1.76</val>
          </value>
          <value t="str">
            <val>+1.54</val>
          </value>
          <value>
            <val>0</val>
          </value>
          <value>
            <val>0</val>
          </value>
        </values>
      </ddeItem>
      <ddeItem name="89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2022/06/28</val>
          </value>
          <value t="str">
            <val>0.45</val>
          </value>
          <value>
            <val>2.91</val>
          </value>
          <value t="str">
            <val>0.69</val>
          </value>
          <value t="str">
            <val>0.39</val>
          </value>
          <value t="str">
            <val>沈氏</val>
          </value>
          <value t="str">
            <val>上櫃其他</val>
          </value>
          <value t="str">
            <val>永豐餘集團轉投資之印刷廠</val>
          </value>
        </values>
      </ddeItem>
      <ddeItem name="8921.TW-CName,InvestorConferenceDate,DateofMeetingofShareHolders,TradingDate" advise="1">
        <values cols="4">
          <value t="str">
            <val>沈氏</val>
          </value>
          <value t="str">
            <val>--</val>
          </value>
          <value t="str">
            <val>2022/06/08</val>
          </value>
          <value t="str">
            <val>2022/08/01</val>
          </value>
        </values>
      </ddeItem>
      <ddeItem name="8921.TW-ID,Name,MarketValue,Capital,NetIncomeGrowthRate,OperIncomeGrowthRate,FinancialStatementsTime,TFXRatio,MonthlyNetSalesYoY,RevenueMonth" advise="1">
        <values cols="10">
          <value t="str">
            <val>8921</val>
          </value>
          <value t="str">
            <val>沈氏</val>
          </value>
          <value t="str">
            <val>7.2</val>
          </value>
          <value t="str">
            <val>4.66</val>
          </value>
          <value t="str">
            <val>1398.70</val>
          </value>
          <value t="str">
            <val>-1782.57</val>
          </value>
          <value t="str">
            <val>2022/03</val>
          </value>
          <value t="str">
            <val>-4.56</val>
          </value>
          <value t="str">
            <val>39.99</val>
          </value>
          <value t="str">
            <val>2022/06</val>
          </value>
        </values>
      </ddeItem>
      <ddeItem name="8921.TW-OperatingProfitRatio,Price,PriceChangeRatio,InOutRatioNumber,Value,YearReturn,MonthReturn,WeekReturn,FinanceBalanceDif,ChipsField2" advise="1">
        <values cols="10">
          <value t="str">
            <val>-5.80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+2.29</val>
          </value>
          <value t="str">
            <val>+0.32</val>
          </value>
          <value t="str">
            <val>-3.44</val>
          </value>
          <value>
            <val>0</val>
          </value>
          <value>
            <val>0</val>
          </value>
        </values>
      </ddeItem>
      <ddeItem name="89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2022/07/06</val>
          </value>
          <value t="str">
            <val>0.90</val>
          </value>
          <value>
            <val>4.5199999999999996</val>
          </value>
          <value t="str">
            <val>1.17</val>
          </value>
          <value t="str">
            <val>0.33</val>
          </value>
          <value t="str">
            <val>時報</val>
          </value>
          <value t="str">
            <val>上櫃文化創意</val>
          </value>
          <value t="str">
            <val>華文世界為一家股票上櫃出版社</val>
          </value>
        </values>
      </ddeItem>
      <ddeItem name="8923.TW-CName,InvestorConferenceDate,DateofMeetingofShareHolders,TradingDate" advise="1">
        <values cols="4">
          <value t="str">
            <val>時報</val>
          </value>
          <value t="str">
            <val>2021/11/26</val>
          </value>
          <value t="str">
            <val>2022/06/09</val>
          </value>
          <value t="str">
            <val>2022/08/01</val>
          </value>
        </values>
      </ddeItem>
      <ddeItem name="8923.TW-ID,Name,MarketValue,Capital,NetIncomeGrowthRate,OperIncomeGrowthRate,FinancialStatementsTime,TFXRatio,MonthlyNetSalesYoY,RevenueMonth" advise="1">
        <values cols="10">
          <value t="str">
            <val>8923</val>
          </value>
          <value t="str">
            <val>時報</val>
          </value>
          <value t="str">
            <val>6.0</val>
          </value>
          <value t="str">
            <val>3.04</val>
          </value>
          <value t="str">
            <val>107.93</val>
          </value>
          <value t="str">
            <val>35.05</val>
          </value>
          <value t="str">
            <val>2022/03</val>
          </value>
          <value t="str">
            <val>39.00</val>
          </value>
          <value t="str">
            <val>184.19</val>
          </value>
          <value t="str">
            <val>2022/06</val>
          </value>
        </values>
      </ddeItem>
      <ddeItem name="8923.TW-OperatingProfitRatio,Price,PriceChangeRatio,InOutRatioNumber,Value,YearReturn,MonthReturn,WeekReturn,FinanceBalanceDif,ChipsField2" advise="1">
        <values cols="10">
          <value t="str">
            <val>6.86</val>
          </value>
          <value>
            <val>19.899999999999999</val>
          </value>
          <value>
            <val>1.79</val>
          </value>
          <value t="str">
            <val>100.00%</val>
          </value>
          <value t="str">
            <val>1.99萬</val>
          </value>
          <value t="str">
            <val>+35.14</val>
          </value>
          <value t="str">
            <val>+1.66</val>
          </value>
          <value t="str">
            <val>-3.40</val>
          </value>
          <value>
            <val>0</val>
          </value>
          <value>
            <val>0</val>
          </value>
        </values>
      </ddeItem>
      <ddeItem name="8924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54</val>
          </value>
          <value t="str">
            <val>2022/06/17</val>
          </value>
          <value t="str">
            <val>13.70</val>
          </value>
          <value>
            <val>11.66</val>
          </value>
          <value t="str">
            <val>19.39</val>
          </value>
          <value t="str">
            <val>3.12</val>
          </value>
          <value t="str">
            <val>大田</val>
          </value>
          <value t="str">
            <val>上櫃其他</val>
          </value>
          <value t="str">
            <val>全球高爾夫球桿頭代工大廠之一</val>
          </value>
        </values>
      </ddeItem>
      <ddeItem name="8924.TW-CName,InvestorConferenceDate,DateofMeetingofShareHolders,TradingDate" advise="1">
        <values cols="4">
          <value t="str">
            <val>大田</val>
          </value>
          <value t="str">
            <val>2021/11/16</val>
          </value>
          <value t="str">
            <val>2022/05/26</val>
          </value>
          <value t="str">
            <val>2022/08/01</val>
          </value>
        </values>
      </ddeItem>
      <ddeItem name="8924.TW-ID,Name,MarketValue,Capital,NetIncomeGrowthRate,OperIncomeGrowthRate,FinancialStatementsTime,TFXRatio,MonthlyNetSalesYoY,RevenueMonth" advise="1">
        <values cols="10">
          <value t="str">
            <val>8924</val>
          </value>
          <value t="str">
            <val>大田</val>
          </value>
          <value t="str">
            <val>98.5</val>
          </value>
          <value t="str">
            <val>8.38</val>
          </value>
          <value t="str">
            <val>-19.13</val>
          </value>
          <value t="str">
            <val>-12.85</val>
          </value>
          <value t="str">
            <val>2022/03</val>
          </value>
          <value t="str">
            <val>-10.29</val>
          </value>
          <value t="str">
            <val>5.78</val>
          </value>
          <value t="str">
            <val>2022/06</val>
          </value>
        </values>
      </ddeItem>
      <ddeItem name="8924.TW-OperatingProfitRatio,Price,PriceChangeRatio,InOutRatioNumber,Value,YearReturn,MonthReturn,WeekReturn,FinanceBalanceDif,ChipsField2" advise="1">
        <values cols="10">
          <value t="str">
            <val>19.65</val>
          </value>
          <value>
            <val>117.5</val>
          </value>
          <value>
            <val>2.17</val>
          </value>
          <value t="str">
            <val>57.80%</val>
          </value>
          <value t="str">
            <val>1.08億</val>
          </value>
          <value t="str">
            <val>-20.21</val>
          </value>
          <value t="str">
            <val>+17.62</val>
          </value>
          <value t="str">
            <val>+5.38</val>
          </value>
          <value>
            <val>-203</val>
          </value>
          <value>
            <val>0</val>
          </value>
        </values>
      </ddeItem>
      <ddeItem name="8927.TW-ChipsField3,ChipsField1,ChipsField25,CashAndStockDividend,CashDividendYieldRate,ProfitFourSeason,ProfitSingle,CName,ExchangeIndustry,CompanyPos" advise="1">
        <values cols="10">
          <value>
            <val>-53</val>
          </value>
          <value>
            <val>-120</val>
          </value>
          <value t="str">
            <val>--</val>
          </value>
          <value t="str">
            <val>1.47</val>
          </value>
          <value>
            <val>3.79</val>
          </value>
          <value t="str">
            <val>0.54</val>
          </value>
          <value t="str">
            <val>0.08</val>
          </value>
          <value t="str">
            <val>北基</val>
          </value>
          <value t="str">
            <val>上櫃油電燃氣</val>
          </value>
          <value t="str">
            <val>國內加油站經營商，擁有近40個據點</val>
          </value>
        </values>
      </ddeItem>
      <ddeItem name="8927.TW-CName,InvestorConferenceDate,DateofMeetingofShareHolders,TradingDate" advise="1">
        <values cols="4">
          <value t="str">
            <val>北基</val>
          </value>
          <value t="str">
            <val>2021/05/19</val>
          </value>
          <value t="str">
            <val>2022/06/23</val>
          </value>
          <value t="str">
            <val>2022/08/01</val>
          </value>
        </values>
      </ddeItem>
      <ddeItem name="8927.TW-ID,Name,MarketValue,Capital,NetIncomeGrowthRate,OperIncomeGrowthRate,FinancialStatementsTime,TFXRatio,MonthlyNetSalesYoY,RevenueMonth" advise="1">
        <values cols="10">
          <value t="str">
            <val>8927</val>
          </value>
          <value t="str">
            <val>北基</val>
          </value>
          <value t="str">
            <val>96.0</val>
          </value>
          <value t="str">
            <val>25.08</val>
          </value>
          <value t="str">
            <val>-51.46</val>
          </value>
          <value t="str">
            <val>-2.74</val>
          </value>
          <value t="str">
            <val>2022/03</val>
          </value>
          <value t="str">
            <val>5.41</val>
          </value>
          <value t="str">
            <val>53.73</val>
          </value>
          <value t="str">
            <val>2022/06</val>
          </value>
        </values>
      </ddeItem>
      <ddeItem name="8927.TW-OperatingProfitRatio,Price,PriceChangeRatio,InOutRatioNumber,Value,YearReturn,MonthReturn,WeekReturn,FinanceBalanceDif,ChipsField2" advise="1">
        <values cols="10">
          <value t="str">
            <val>2.26</val>
          </value>
          <value>
            <val>38.75</val>
          </value>
          <value>
            <val>0.13</val>
          </value>
          <value t="str">
            <val>35.94%</val>
          </value>
          <value t="str">
            <val>2991萬</val>
          </value>
          <value t="str">
            <val>+3.61</val>
          </value>
          <value t="str">
            <val>+15.33</val>
          </value>
          <value t="str">
            <val>+8.54</val>
          </value>
          <value>
            <val>-235</val>
          </value>
          <value>
            <val>0</val>
          </value>
        </values>
      </ddeItem>
      <ddeItem name="89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-35</val>
          </value>
          <value t="str">
            <val>2022/08/04</val>
          </value>
          <value t="str">
            <val>2.50</val>
          </value>
          <value>
            <val>5.39</val>
          </value>
          <value t="str">
            <val>5.49</val>
          </value>
          <value t="str">
            <val>2.02</val>
          </value>
          <value t="str">
            <val>鉅明</val>
          </value>
          <value t="str">
            <val>上櫃其他</val>
          </value>
          <value t="str">
            <val>全球高爾夫球具代工大廠</val>
          </value>
        </values>
      </ddeItem>
      <ddeItem name="8928.TW-CName,InvestorConferenceDate,DateofMeetingofShareHolders,TradingDate" advise="1">
        <values cols="4">
          <value t="str">
            <val>鉅明</val>
          </value>
          <value t="str">
            <val>2022/03/31</val>
          </value>
          <value t="str">
            <val>2022/05/26</val>
          </value>
          <value t="str">
            <val>2022/08/01</val>
          </value>
        </values>
      </ddeItem>
      <ddeItem name="8928.TW-ID,Name,MarketValue,Capital,NetIncomeGrowthRate,OperIncomeGrowthRate,FinancialStatementsTime,TFXRatio,MonthlyNetSalesYoY,RevenueMonth" advise="1">
        <values cols="10">
          <value t="str">
            <val>8928</val>
          </value>
          <value t="str">
            <val>鉅明</val>
          </value>
          <value t="str">
            <val>23.6</val>
          </value>
          <value t="str">
            <val>5.09</val>
          </value>
          <value t="str">
            <val>64.16</val>
          </value>
          <value t="str">
            <val>25.50</val>
          </value>
          <value t="str">
            <val>2022/03</val>
          </value>
          <value t="str">
            <val>4.99</val>
          </value>
          <value t="str">
            <val>40.60</val>
          </value>
          <value t="str">
            <val>2022/06</val>
          </value>
        </values>
      </ddeItem>
      <ddeItem name="8928.TW-OperatingProfitRatio,Price,PriceChangeRatio,InOutRatioNumber,Value,YearReturn,MonthReturn,WeekReturn,FinanceBalanceDif,ChipsField2" advise="1">
        <values cols="10">
          <value t="str">
            <val>11.17</val>
          </value>
          <value>
            <val>46.4</val>
          </value>
          <value>
            <val>3</val>
          </value>
          <value t="str">
            <val>55.94%</val>
          </value>
          <value t="str">
            <val>3127萬</val>
          </value>
          <value t="str">
            <val>+39.58</val>
          </value>
          <value t="str">
            <val>+16.00</val>
          </value>
          <value t="str">
            <val>+1.09</val>
          </value>
          <value>
            <val>-17</val>
          </value>
          <value>
            <val>0</val>
          </value>
        </values>
      </ddeItem>
      <ddeItem name="89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-1.66</val>
          </value>
          <value t="str">
            <val>-0.42</val>
          </value>
          <value t="str">
            <val>富堡</val>
          </value>
          <value t="str">
            <val>上櫃其他</val>
          </value>
          <value t="str">
            <val>主要生產不織布及成人紙尿褲產品</val>
          </value>
        </values>
      </ddeItem>
      <ddeItem name="8929.TW-CName,InvestorConferenceDate,DateofMeetingofShareHolders,TradingDate" advise="1">
        <values cols="4">
          <value t="str">
            <val>富堡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8929.TW-ID,Name,MarketValue,Capital,NetIncomeGrowthRate,OperIncomeGrowthRate,FinancialStatementsTime,TFXRatio,MonthlyNetSalesYoY,RevenueMonth" advise="1">
        <values cols="10">
          <value t="str">
            <val>8929</val>
          </value>
          <value t="str">
            <val>富堡</val>
          </value>
          <value t="str">
            <val>10.1</val>
          </value>
          <value t="str">
            <val>5.06</val>
          </value>
          <value t="str">
            <val>-373.02</val>
          </value>
          <value t="str">
            <val>-192.04</val>
          </value>
          <value t="str">
            <val>2022/03</val>
          </value>
          <value t="str">
            <val>-17.00</val>
          </value>
          <value t="str">
            <val>-22.65</val>
          </value>
          <value t="str">
            <val>2022/06</val>
          </value>
        </values>
      </ddeItem>
      <ddeItem name="8929.TW-OperatingProfitRatio,Price,PriceChangeRatio,InOutRatioNumber,Value,YearReturn,MonthReturn,WeekReturn,FinanceBalanceDif,ChipsField2" advise="1">
        <values cols="10">
          <value t="str">
            <val>-12.81</val>
          </value>
          <value>
            <val>19.899999999999999</val>
          </value>
          <value>
            <val>-0.5</val>
          </value>
          <value t="str">
            <val>0.00%</val>
          </value>
          <value t="str">
            <val>14.0萬</val>
          </value>
          <value t="str">
            <val>-7.01</val>
          </value>
          <value t="str">
            <val>0.00</val>
          </value>
          <value t="str">
            <val>+1.53</val>
          </value>
          <value>
            <val>0</val>
          </value>
          <value>
            <val>0</val>
          </value>
        </values>
      </ddeItem>
      <ddeItem name="89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2022/03/31</val>
          </value>
          <value t="str">
            <val>0.80</val>
          </value>
          <value>
            <val>5.05</val>
          </value>
          <value t="str">
            <val>1.21</val>
          </value>
          <value t="str">
            <val>0.47</val>
          </value>
          <value t="str">
            <val>青鋼</val>
          </value>
          <value t="str">
            <val>上櫃鋼鐵</val>
          </value>
          <value t="str">
            <val>亞洲最大輕鋼架生產商</val>
          </value>
        </values>
      </ddeItem>
      <ddeItem name="8930.TW-CName,InvestorConferenceDate,DateofMeetingofShareHolders,TradingDate" advise="1">
        <values cols="4">
          <value t="str">
            <val>青鋼</val>
          </value>
          <value t="str">
            <val>--</val>
          </value>
          <value t="str">
            <val>2022/05/31</val>
          </value>
          <value t="str">
            <val>2022/08/01</val>
          </value>
        </values>
      </ddeItem>
      <ddeItem name="8930.TW-ID,Name,MarketValue,Capital,NetIncomeGrowthRate,OperIncomeGrowthRate,FinancialStatementsTime,TFXRatio,MonthlyNetSalesYoY,RevenueMonth" advise="1">
        <values cols="10">
          <value t="str">
            <val>8930</val>
          </value>
          <value t="str">
            <val>青鋼</val>
          </value>
          <value t="str">
            <val>13.0</val>
          </value>
          <value t="str">
            <val>8.18</val>
          </value>
          <value t="str">
            <val>80.87</val>
          </value>
          <value t="str">
            <val>19.41</val>
          </value>
          <value t="str">
            <val>2022/03</val>
          </value>
          <value t="str">
            <val>3.44</val>
          </value>
          <value t="str">
            <val>-1.34</val>
          </value>
          <value t="str">
            <val>2022/06</val>
          </value>
        </values>
      </ddeItem>
      <ddeItem name="8930.TW-OperatingProfitRatio,Price,PriceChangeRatio,InOutRatioNumber,Value,YearReturn,MonthReturn,WeekReturn,FinanceBalanceDif,ChipsField2" advise="1">
        <values cols="10">
          <value t="str">
            <val>10.20</val>
          </value>
          <value>
            <val>15.85</val>
          </value>
          <value>
            <val>6.73</val>
          </value>
          <value t="str">
            <val>70.80%</val>
          </value>
          <value t="str">
            <val>610萬</val>
          </value>
          <value t="str">
            <val>-2.23</val>
          </value>
          <value t="str">
            <val>+9.69</val>
          </value>
          <value t="str">
            <val>+7.46</val>
          </value>
          <value>
            <val>-1</val>
          </value>
          <value>
            <val>0</val>
          </value>
        </values>
      </ddeItem>
      <ddeItem name="89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2022/07/21</val>
          </value>
          <value t="str">
            <val>1.50</val>
          </value>
          <value>
            <val>5.2</val>
          </value>
          <value t="str">
            <val>1.17</val>
          </value>
          <value t="str">
            <val>0.09</val>
          </value>
          <value t="str">
            <val>大汽電</val>
          </value>
          <value t="str">
            <val>上櫃油電燃氣</val>
          </value>
          <value t="str">
            <val>設於大園工業區內之汽電共生公司</val>
          </value>
        </values>
      </ddeItem>
      <ddeItem name="8931.TW-CName,InvestorConferenceDate,DateofMeetingofShareHolders,TradingDate" advise="1">
        <values cols="4">
          <value t="str">
            <val>大汽電</val>
          </value>
          <value t="str">
            <val>2022/05/27</val>
          </value>
          <value t="str">
            <val>2022/06/16</val>
          </value>
          <value t="str">
            <val>2022/08/01</val>
          </value>
        </values>
      </ddeItem>
      <ddeItem name="8931.TW-ID,Name,MarketValue,Capital,NetIncomeGrowthRate,OperIncomeGrowthRate,FinancialStatementsTime,TFXRatio,MonthlyNetSalesYoY,RevenueMonth" advise="1">
        <values cols="10">
          <value t="str">
            <val>8931</val>
          </value>
          <value t="str">
            <val>大汽電</val>
          </value>
          <value t="str">
            <val>35.3</val>
          </value>
          <value t="str">
            <val>12.23</val>
          </value>
          <value t="str">
            <val>-72.12</val>
          </value>
          <value t="str">
            <val>-71.40</val>
          </value>
          <value t="str">
            <val>2022/03</val>
          </value>
          <value t="str">
            <val>28.20</val>
          </value>
          <value t="str">
            <val>2.31</val>
          </value>
          <value t="str">
            <val>2022/06</val>
          </value>
        </values>
      </ddeItem>
      <ddeItem name="8931.TW-OperatingProfitRatio,Price,PriceChangeRatio,InOutRatioNumber,Value,YearReturn,MonthReturn,WeekReturn,FinanceBalanceDif,ChipsField2" advise="1">
        <values cols="10">
          <value t="str">
            <val>3.09</val>
          </value>
          <value>
            <val>28.85</val>
          </value>
          <value>
            <val>0.17</val>
          </value>
          <value t="str">
            <val>57.89%</val>
          </value>
          <value t="str">
            <val>110萬</val>
          </value>
          <value t="str">
            <val>+4.17</val>
          </value>
          <value t="str">
            <val>+1.41</val>
          </value>
          <value t="str">
            <val>-0.17</val>
          </value>
          <value>
            <val>5</val>
          </value>
          <value>
            <val>0</val>
          </value>
        </values>
      </ddeItem>
      <ddeItem name="89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-0.70</val>
          </value>
          <value t="str">
            <val>0.30</val>
          </value>
          <value t="str">
            <val>宏大</val>
          </value>
          <value t="str">
            <val>上櫃其他</val>
          </value>
          <value t="str">
            <val>台灣最大拉鍊製造商</val>
          </value>
        </values>
      </ddeItem>
      <ddeItem name="8932.TW-CName,InvestorConferenceDate,DateofMeetingofShareHolders,TradingDate" advise="1">
        <values cols="4">
          <value t="str">
            <val>宏大</val>
          </value>
          <value t="str">
            <val>--</val>
          </value>
          <value t="str">
            <val>2022/06/30</val>
          </value>
          <value t="str">
            <val>2022/08/01</val>
          </value>
        </values>
      </ddeItem>
      <ddeItem name="8932.TW-ID,Name,MarketValue,Capital,NetIncomeGrowthRate,OperIncomeGrowthRate,FinancialStatementsTime,TFXRatio,MonthlyNetSalesYoY,RevenueMonth" advise="1">
        <values cols="10">
          <value t="str">
            <val>8932</val>
          </value>
          <value t="str">
            <val>宏大</val>
          </value>
          <value t="str">
            <val>15.0</val>
          </value>
          <value t="str">
            <val>6.03</val>
          </value>
          <value t="str">
            <val>286.14</val>
          </value>
          <value t="str">
            <val>608.97</val>
          </value>
          <value t="str">
            <val>2022/03</val>
          </value>
          <value t="str">
            <val>-22.83</val>
          </value>
          <value t="str">
            <val>-15.87</val>
          </value>
          <value t="str">
            <val>2022/06</val>
          </value>
        </values>
      </ddeItem>
      <ddeItem name="8932.TW-OperatingProfitRatio,Price,PriceChangeRatio,InOutRatioNumber,Value,YearReturn,MonthReturn,WeekReturn,FinanceBalanceDif,ChipsField2" advise="1">
        <values cols="10">
          <value t="str">
            <val>6.92</val>
          </value>
          <value>
            <val>24.95</val>
          </value>
          <value>
            <val>-0.8</val>
          </value>
          <value t="str">
            <val>20.00%</val>
          </value>
          <value t="str">
            <val>25.1萬</val>
          </value>
          <value t="str">
            <val>+33.78</val>
          </value>
          <value t="str">
            <val>+4.61</val>
          </value>
          <value t="str">
            <val>-0.20</val>
          </value>
          <value>
            <val>3</val>
          </value>
          <value>
            <val>0</val>
          </value>
        </values>
      </ddeItem>
      <ddeItem name="89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24</val>
          </value>
          <value t="str">
            <val>--</val>
          </value>
          <value t="str">
            <val>0.00</val>
          </value>
          <value>
            <val>0</val>
          </value>
          <value t="str">
            <val>0.57</val>
          </value>
          <value t="str">
            <val>0.14</val>
          </value>
          <value t="str">
            <val>愛地雅</val>
          </value>
          <value t="str">
            <val>上櫃其他</val>
          </value>
          <value t="str">
            <val>台灣第三大自行車生產廠商</val>
          </value>
        </values>
      </ddeItem>
      <ddeItem name="8933.TW-CName,InvestorConferenceDate,DateofMeetingofShareHolders,TradingDate" advise="1">
        <values cols="4">
          <value t="str">
            <val>愛地雅</val>
          </value>
          <value t="str">
            <val>--</val>
          </value>
          <value t="str">
            <val>2022/06/09</val>
          </value>
          <value t="str">
            <val>2022/08/01</val>
          </value>
        </values>
      </ddeItem>
      <ddeItem name="8933.TW-ID,Name,MarketValue,Capital,NetIncomeGrowthRate,OperIncomeGrowthRate,FinancialStatementsTime,TFXRatio,MonthlyNetSalesYoY,RevenueMonth" advise="1">
        <values cols="10">
          <value t="str">
            <val>8933</val>
          </value>
          <value t="str">
            <val>愛地雅</val>
          </value>
          <value t="str">
            <val>33.6</val>
          </value>
          <value t="str">
            <val>30.14</val>
          </value>
          <value t="str">
            <val>226.47</val>
          </value>
          <value t="str">
            <val>310.25</val>
          </value>
          <value t="str">
            <val>2022/03</val>
          </value>
          <value t="str">
            <val>17.44</val>
          </value>
          <value t="str">
            <val>23.02</val>
          </value>
          <value t="str">
            <val>2022/06</val>
          </value>
        </values>
      </ddeItem>
      <ddeItem name="8933.TW-OperatingProfitRatio,Price,PriceChangeRatio,InOutRatioNumber,Value,YearReturn,MonthReturn,WeekReturn,FinanceBalanceDif,ChipsField2" advise="1">
        <values cols="10">
          <value t="str">
            <val>2.51</val>
          </value>
          <value>
            <val>11.15</val>
          </value>
          <value>
            <val>0</val>
          </value>
          <value t="str">
            <val>27.78%</val>
          </value>
          <value t="str">
            <val>226萬</val>
          </value>
          <value t="str">
            <val>-7.85</val>
          </value>
          <value t="str">
            <val>+0.90</val>
          </value>
          <value t="str">
            <val>-2.19</val>
          </value>
          <value>
            <val>0</val>
          </value>
          <value>
            <val>0</val>
          </value>
        </values>
      </ddeItem>
      <ddeItem name="89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0.25</val>
          </value>
          <value t="str">
            <val>0.02</val>
          </value>
          <value t="str">
            <val>邦泰</val>
          </value>
          <value t="str">
            <val>上櫃其他</val>
          </value>
          <value t="str">
            <val>台灣鞋材及複合材料研發生產大廠</val>
          </value>
        </values>
      </ddeItem>
      <ddeItem name="8935.TW-CName,InvestorConferenceDate,DateofMeetingofShareHolders,TradingDate" advise="1">
        <values cols="4">
          <value t="str">
            <val>邦泰</val>
          </value>
          <value t="str">
            <val>--</val>
          </value>
          <value t="str">
            <val>2022/06/02</val>
          </value>
          <value t="str">
            <val>2022/08/01</val>
          </value>
        </values>
      </ddeItem>
      <ddeItem name="8935.TW-ID,Name,MarketValue,Capital,NetIncomeGrowthRate,OperIncomeGrowthRate,FinancialStatementsTime,TFXRatio,MonthlyNetSalesYoY,RevenueMonth" advise="1">
        <values cols="10">
          <value t="str">
            <val>8935</val>
          </value>
          <value t="str">
            <val>邦泰</val>
          </value>
          <value t="str">
            <val>10.2</val>
          </value>
          <value t="str">
            <val>8.43</val>
          </value>
          <value t="str">
            <val>-92.45</val>
          </value>
          <value t="str">
            <val>-91.75</val>
          </value>
          <value t="str">
            <val>2022/03</val>
          </value>
          <value t="str">
            <val>-8.87</val>
          </value>
          <value t="str">
            <val>-25.52</val>
          </value>
          <value t="str">
            <val>2022/06</val>
          </value>
        </values>
      </ddeItem>
      <ddeItem name="8935.TW-OperatingProfitRatio,Price,PriceChangeRatio,InOutRatioNumber,Value,YearReturn,MonthReturn,WeekReturn,FinanceBalanceDif,ChipsField2" advise="1">
        <values cols="10">
          <value t="str">
            <val>0.85</val>
          </value>
          <value>
            <val>12.1</val>
          </value>
          <value>
            <val>0</val>
          </value>
          <value t="str">
            <val>33.33%</val>
          </value>
          <value t="str">
            <val>4.83萬</val>
          </value>
          <value t="str">
            <val>-25.54</val>
          </value>
          <value t="str">
            <val>+0.83</val>
          </value>
          <value t="str">
            <val>+2.54</val>
          </value>
          <value>
            <val>0</val>
          </value>
          <value>
            <val>0</val>
          </value>
        </values>
      </ddeItem>
      <ddeItem name="893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-30</val>
          </value>
          <value t="str">
            <val>--</val>
          </value>
          <value t="str">
            <val>0.50</val>
          </value>
          <value>
            <val>2.6</val>
          </value>
          <value t="str">
            <val>1.43</val>
          </value>
          <value t="str">
            <val>0.04</val>
          </value>
          <value t="str">
            <val>國統</val>
          </value>
          <value t="str">
            <val>上櫃其他</val>
          </value>
          <value t="str">
            <val>專營輸水管材之製造與承包公司，並兼營海水淡化業務</val>
          </value>
        </values>
      </ddeItem>
      <ddeItem name="8936.TW-CName,InvestorConferenceDate,DateofMeetingofShareHolders,TradingDate" advise="1">
        <values cols="4">
          <value t="str">
            <val>國統</val>
          </value>
          <value t="str">
            <val>2022/05/10</val>
          </value>
          <value t="str">
            <val>2022/06/09</val>
          </value>
          <value t="str">
            <val>2022/08/01</val>
          </value>
        </values>
      </ddeItem>
      <ddeItem name="8936.TW-ID,Name,MarketValue,Capital,NetIncomeGrowthRate,OperIncomeGrowthRate,FinancialStatementsTime,TFXRatio,MonthlyNetSalesYoY,RevenueMonth" advise="1">
        <values cols="10">
          <value t="str">
            <val>8936</val>
          </value>
          <value t="str">
            <val>國統</val>
          </value>
          <value t="str">
            <val>47.8</val>
          </value>
          <value t="str">
            <val>24.81</val>
          </value>
          <value t="str">
            <val>-166.16</val>
          </value>
          <value t="str">
            <val>-87.62</val>
          </value>
          <value t="str">
            <val>2022/03</val>
          </value>
          <value t="str">
            <val>5.00</val>
          </value>
          <value t="str">
            <val>-20.49</val>
          </value>
          <value t="str">
            <val>2022/06</val>
          </value>
        </values>
      </ddeItem>
      <ddeItem name="8936.TW-OperatingProfitRatio,Price,PriceChangeRatio,InOutRatioNumber,Value,YearReturn,MonthReturn,WeekReturn,FinanceBalanceDif,ChipsField2" advise="1">
        <values cols="10">
          <value t="str">
            <val>1.88</val>
          </value>
          <value>
            <val>19.25</val>
          </value>
          <value>
            <val>0.52</val>
          </value>
          <value t="str">
            <val>62.41%</val>
          </value>
          <value t="str">
            <val>260萬</val>
          </value>
          <value t="str">
            <val>-20.17</val>
          </value>
          <value t="str">
            <val>+14.93</val>
          </value>
          <value t="str">
            <val>+1.58</val>
          </value>
          <value>
            <val>54</val>
          </value>
          <value>
            <val>0</val>
          </value>
        </values>
      </ddeItem>
      <ddeItem name="893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-0.35</val>
          </value>
          <value t="str">
            <val>0.37</val>
          </value>
          <value t="str">
            <val>合騏</val>
          </value>
          <value t="str">
            <val>上櫃其他</val>
          </value>
          <value t="str">
            <val>自創品牌ADLY多功能休閒車專業製造廠商</val>
          </value>
        </values>
      </ddeItem>
      <ddeItem name="8937.TW-CName,InvestorConferenceDate,DateofMeetingofShareHolders,TradingDate" advise="1">
        <values cols="4">
          <value t="str">
            <val>合騏</val>
          </value>
          <value t="str">
            <val>--</val>
          </value>
          <value t="str">
            <val>2022/06/22</val>
          </value>
          <value t="str">
            <val>2022/08/01</val>
          </value>
        </values>
      </ddeItem>
      <ddeItem name="8937.TW-ID,Name,MarketValue,Capital,NetIncomeGrowthRate,OperIncomeGrowthRate,FinancialStatementsTime,TFXRatio,MonthlyNetSalesYoY,RevenueMonth" advise="1">
        <values cols="10">
          <value t="str">
            <val>8937</val>
          </value>
          <value t="str">
            <val>合騏</val>
          </value>
          <value t="str">
            <val>9.3</val>
          </value>
          <value t="str">
            <val>7.25</val>
          </value>
          <value t="str">
            <val>651.29</val>
          </value>
          <value t="str">
            <val>36.58</val>
          </value>
          <value t="str">
            <val>2022/03</val>
          </value>
          <value t="str">
            <val>-39.04</val>
          </value>
          <value t="str">
            <val>34.17</val>
          </value>
          <value t="str">
            <val>2022/06</val>
          </value>
        </values>
      </ddeItem>
      <ddeItem name="8937.TW-OperatingProfitRatio,Price,PriceChangeRatio,InOutRatioNumber,Value,YearReturn,MonthReturn,WeekReturn,FinanceBalanceDif,ChipsField2" advise="1">
        <values cols="10">
          <value t="str">
            <val>-16.19</val>
          </value>
          <value>
            <val>12.9</val>
          </value>
          <value>
            <val>-1.1499999999999999</val>
          </value>
          <value t="str">
            <val>26.51%</val>
          </value>
          <value t="str">
            <val>107萬</val>
          </value>
          <value t="str">
            <val>+8.86</val>
          </value>
          <value t="str">
            <val>-1.15</val>
          </value>
          <value t="str">
            <val>-5.15</val>
          </value>
          <value>
            <val>0</val>
          </value>
          <value>
            <val>0</val>
          </value>
        </values>
      </ddeItem>
      <ddeItem name="8938.TW-ChipsField3,ChipsField1,ChipsField25,CashAndStockDividend,CashDividendYieldRate,ProfitFourSeason,ProfitSingle,CName,ExchangeIndustry,CompanyPos" advise="1">
        <values cols="10">
          <value>
            <val>41</val>
          </value>
          <value>
            <val>217</val>
          </value>
          <value t="str">
            <val>2022/06/22</val>
          </value>
          <value t="str">
            <val>5.50</val>
          </value>
          <value>
            <val>6.63</val>
          </value>
          <value t="str">
            <val>11.37</val>
          </value>
          <value t="str">
            <val>3.64</val>
          </value>
          <value t="str">
            <val>明安</val>
          </value>
          <value t="str">
            <val>上櫃其他</val>
          </value>
          <value t="str">
            <val>全球第三大高爾夫球桿頭代工廠</val>
          </value>
        </values>
      </ddeItem>
      <ddeItem name="8938.TW-CName,InvestorConferenceDate,DateofMeetingofShareHolders,TradingDate" advise="1">
        <values cols="4">
          <value t="str">
            <val>明安</val>
          </value>
          <value t="str">
            <val>2021/08/26</val>
          </value>
          <value t="str">
            <val>2022/05/31</val>
          </value>
          <value t="str">
            <val>2022/08/01</val>
          </value>
        </values>
      </ddeItem>
      <ddeItem name="8938.TW-ID,Name,MarketValue,Capital,NetIncomeGrowthRate,OperIncomeGrowthRate,FinancialStatementsTime,TFXRatio,MonthlyNetSalesYoY,RevenueMonth" advise="1">
        <values cols="10">
          <value t="str">
            <val>8938</val>
          </value>
          <value t="str">
            <val>明安</val>
          </value>
          <value t="str">
            <val>112.3</val>
          </value>
          <value t="str">
            <val>13.53</val>
          </value>
          <value t="str">
            <val>67.25</val>
          </value>
          <value t="str">
            <val>26.82</val>
          </value>
          <value t="str">
            <val>2022/03</val>
          </value>
          <value t="str">
            <val>-5.73</val>
          </value>
          <value t="str">
            <val>31.33</val>
          </value>
          <value t="str">
            <val>2022/06</val>
          </value>
        </values>
      </ddeItem>
      <ddeItem name="8938.TW-OperatingProfitRatio,Price,PriceChangeRatio,InOutRatioNumber,Value,YearReturn,MonthReturn,WeekReturn,FinanceBalanceDif,ChipsField2" advise="1">
        <values cols="10">
          <value t="str">
            <val>11.32</val>
          </value>
          <value>
            <val>83</val>
          </value>
          <value>
            <val>1.1000000000000001</val>
          </value>
          <value t="str">
            <val>54.21%</val>
          </value>
          <value t="str">
            <val>5159萬</val>
          </value>
          <value t="str">
            <val>+18.61</val>
          </value>
          <value t="str">
            <val>+12.93</val>
          </value>
          <value t="str">
            <val>+2.47</val>
          </value>
          <value>
            <val>13</val>
          </value>
          <value>
            <val>0</val>
          </value>
        </values>
      </ddeItem>
      <ddeItem name="89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2022/07/14</val>
          </value>
          <value t="str">
            <val>3.00</val>
          </value>
          <value>
            <val>5.05</val>
          </value>
          <value t="str">
            <val>5.22</val>
          </value>
          <value t="str">
            <val>1.35</val>
          </value>
          <value t="str">
            <val>關中</val>
          </value>
          <value t="str">
            <val>上櫃貿易百貨</val>
          </value>
          <value t="str">
            <val>以生產烤肉爐、節能熱水器為主製造商</val>
          </value>
        </values>
      </ddeItem>
      <ddeItem name="8941.TW-CName,InvestorConferenceDate,DateofMeetingofShareHolders,TradingDate" advise="1">
        <values cols="4">
          <value t="str">
            <val>關中</val>
          </value>
          <value t="str">
            <val>2021/12/30</val>
          </value>
          <value t="str">
            <val>2022/06/22</val>
          </value>
          <value t="str">
            <val>2022/08/01</val>
          </value>
        </values>
      </ddeItem>
      <ddeItem name="8941.TW-ID,Name,MarketValue,Capital,NetIncomeGrowthRate,OperIncomeGrowthRate,FinancialStatementsTime,TFXRatio,MonthlyNetSalesYoY,RevenueMonth" advise="1">
        <values cols="10">
          <value t="str">
            <val>8941</val>
          </value>
          <value t="str">
            <val>關中</val>
          </value>
          <value t="str">
            <val>18.1</val>
          </value>
          <value t="str">
            <val>3.04</val>
          </value>
          <value t="str">
            <val>575.43</val>
          </value>
          <value t="str">
            <val>3350.06</val>
          </value>
          <value t="str">
            <val>2022/03</val>
          </value>
          <value t="str">
            <val>9.51</val>
          </value>
          <value t="str">
            <val>50.41</val>
          </value>
          <value t="str">
            <val>2022/06</val>
          </value>
        </values>
      </ddeItem>
      <ddeItem name="8941.TW-OperatingProfitRatio,Price,PriceChangeRatio,InOutRatioNumber,Value,YearReturn,MonthReturn,WeekReturn,FinanceBalanceDif,ChipsField2" advise="1">
        <values cols="10">
          <value t="str">
            <val>3.53</val>
          </value>
          <value>
            <val>59.4</val>
          </value>
          <value>
            <val>10</val>
          </value>
          <value t="str">
            <val>88.07%</val>
          </value>
          <value t="str">
            <val>4620萬</val>
          </value>
          <value t="str">
            <val>+74.59</val>
          </value>
          <value t="str">
            <val>+56.38</val>
          </value>
          <value t="str">
            <val>+3.66</val>
          </value>
          <value>
            <val>-8</val>
          </value>
          <value>
            <val>0</val>
          </value>
        </values>
      </ddeItem>
      <ddeItem name="89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86</val>
          </value>
          <value t="str">
            <val>2022/05/26</val>
          </value>
          <value t="str">
            <val>2.50</val>
          </value>
          <value>
            <val>6.02</val>
          </value>
          <value t="str">
            <val>8.17</val>
          </value>
          <value t="str">
            <val>2.51</val>
          </value>
          <value t="str">
            <val>森鉅</val>
          </value>
          <value t="str">
            <val>上櫃其他</val>
          </value>
          <value t="str">
            <val>台灣最大鋁塑複合板製造商</val>
          </value>
        </values>
      </ddeItem>
      <ddeItem name="8942.TW-CName,InvestorConferenceDate,DateofMeetingofShareHolders,TradingDate" advise="1">
        <values cols="4">
          <value t="str">
            <val>森鉅</val>
          </value>
          <value t="str">
            <val>2021/04/09</val>
          </value>
          <value t="str">
            <val>2022/05/17</val>
          </value>
          <value t="str">
            <val>2022/08/01</val>
          </value>
        </values>
      </ddeItem>
      <ddeItem name="8942.TW-ID,Name,MarketValue,Capital,NetIncomeGrowthRate,OperIncomeGrowthRate,FinancialStatementsTime,TFXRatio,MonthlyNetSalesYoY,RevenueMonth" advise="1">
        <values cols="10">
          <value t="str">
            <val>8942</val>
          </value>
          <value t="str">
            <val>森鉅</val>
          </value>
          <value t="str">
            <val>110.1</val>
          </value>
          <value t="str">
            <val>16.58</val>
          </value>
          <value t="str">
            <val>16.41</val>
          </value>
          <value t="str">
            <val>56.00</val>
          </value>
          <value t="str">
            <val>2022/03</val>
          </value>
          <value t="str">
            <val>-6.99</val>
          </value>
          <value t="str">
            <val>13.40</val>
          </value>
          <value t="str">
            <val>2022/06</val>
          </value>
        </values>
      </ddeItem>
      <ddeItem name="8942.TW-OperatingProfitRatio,Price,PriceChangeRatio,InOutRatioNumber,Value,YearReturn,MonthReturn,WeekReturn,FinanceBalanceDif,ChipsField2" advise="1">
        <values cols="10">
          <value t="str">
            <val>19.81</val>
          </value>
          <value>
            <val>66.400000000000006</val>
          </value>
          <value>
            <val>0.61</val>
          </value>
          <value t="str">
            <val>59.55%</val>
          </value>
          <value t="str">
            <val>1186萬</val>
          </value>
          <value t="str">
            <val>-2.17</val>
          </value>
          <value t="str">
            <val>+7.44</val>
          </value>
          <value t="str">
            <val>+3.59</val>
          </value>
          <value>
            <val>-8</val>
          </value>
          <value>
            <val>0</val>
          </value>
        </values>
      </ddeItem>
      <ddeItem name="99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-0.77</val>
          </value>
          <value t="str">
            <val>-0.22</val>
          </value>
          <value t="str">
            <val>琉園</val>
          </value>
          <value t="str">
            <val>上櫃文化創意</val>
          </value>
          <value t="str">
            <val>以「tittot琉園」為品牌之水晶玻璃藝術品業者</val>
          </value>
        </values>
      </ddeItem>
      <ddeItem name="9949.TW-CName,InvestorConferenceDate,DateofMeetingofShareHolders,TradingDate" advise="1">
        <values cols="4">
          <value t="str">
            <val>琉園</val>
          </value>
          <value t="str">
            <val>2021/12/21</val>
          </value>
          <value t="str">
            <val>2022/06/29</val>
          </value>
          <value t="str">
            <val>2022/08/01</val>
          </value>
        </values>
      </ddeItem>
      <ddeItem name="9949.TW-ID,Name,MarketValue,Capital,NetIncomeGrowthRate,OperIncomeGrowthRate,FinancialStatementsTime,TFXRatio,MonthlyNetSalesYoY,RevenueMonth" advise="1">
        <values cols="10">
          <value t="str">
            <val>9949</val>
          </value>
          <value t="str">
            <val>琉園</val>
          </value>
          <value t="str">
            <val>8.8</val>
          </value>
          <value t="str">
            <val>4.40</val>
          </value>
          <value t="str">
            <val>-0.17</val>
          </value>
          <value t="str">
            <val>-21.55</val>
          </value>
          <value t="str">
            <val>2022/03</val>
          </value>
          <value t="str">
            <val>16.16</val>
          </value>
          <value t="str">
            <val>30.18</val>
          </value>
          <value t="str">
            <val>2022/06</val>
          </value>
        </values>
      </ddeItem>
      <ddeItem name="9949.TW-OperatingProfitRatio,Price,PriceChangeRatio,InOutRatioNumber,Value,YearReturn,MonthReturn,WeekReturn,FinanceBalanceDif,ChipsField2" advise="1">
        <values cols="10">
          <value t="str">
            <val>-23.45</val>
          </value>
          <value>
            <val>19.899999999999999</val>
          </value>
          <value>
            <val>0.25</val>
          </value>
          <value t="str">
            <val>85.71%</val>
          </value>
          <value t="str">
            <val>13.8萬</val>
          </value>
          <value t="str">
            <val>+85.98</val>
          </value>
          <value t="str">
            <val>+2.05</val>
          </value>
          <value t="str">
            <val>0.00</val>
          </value>
          <value>
            <val>0</val>
          </value>
          <value>
            <val>0</val>
          </value>
        </values>
      </ddeItem>
      <ddeItem name="99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-4.20</val>
          </value>
          <value t="str">
            <val>-0.58</val>
          </value>
          <value t="str">
            <val>萬國通</val>
          </value>
          <value t="str">
            <val>上櫃塑膠</val>
          </value>
          <value t="str">
            <val>台灣最大旅行箱製造商</val>
          </value>
        </values>
      </ddeItem>
      <ddeItem name="9950.TW-CName,InvestorConferenceDate,DateofMeetingofShareHolders,TradingDate" advise="1">
        <values cols="4">
          <value t="str">
            <val>萬國通</val>
          </value>
          <value t="str">
            <val>--</val>
          </value>
          <value t="str">
            <val>2022/06/23</val>
          </value>
          <value t="str">
            <val>2022/08/01</val>
          </value>
        </values>
      </ddeItem>
      <ddeItem name="9950.TW-ID,Name,MarketValue,Capital,NetIncomeGrowthRate,OperIncomeGrowthRate,FinancialStatementsTime,TFXRatio,MonthlyNetSalesYoY,RevenueMonth" advise="1">
        <values cols="10">
          <value t="str">
            <val>9950</val>
          </value>
          <value t="str">
            <val>萬國通</val>
          </value>
          <value t="str">
            <val>18.5</val>
          </value>
          <value t="str">
            <val>14.77</val>
          </value>
          <value t="str">
            <val>2.11</val>
          </value>
          <value t="str">
            <val>7.07</val>
          </value>
          <value t="str">
            <val>2022/03</val>
          </value>
          <value t="str">
            <val>35.29</val>
          </value>
          <value t="str">
            <val>283.82</val>
          </value>
          <value t="str">
            <val>2022/06</val>
          </value>
        </values>
      </ddeItem>
      <ddeItem name="9950.TW-OperatingProfitRatio,Price,PriceChangeRatio,InOutRatioNumber,Value,YearReturn,MonthReturn,WeekReturn,FinanceBalanceDif,ChipsField2" advise="1">
        <values cols="10">
          <value t="str">
            <val>-11.92</val>
          </value>
          <value>
            <val>12.5</val>
          </value>
          <value>
            <val>4.17</val>
          </value>
          <value t="str">
            <val>94.74%</val>
          </value>
          <value t="str">
            <val>23.7萬</val>
          </value>
          <value t="str">
            <val>+4.17</val>
          </value>
          <value t="str">
            <val>+0.81</val>
          </value>
          <value t="str">
            <val>+3.31</val>
          </value>
          <value>
            <val>0</val>
          </value>
          <value>
            <val>0</val>
          </value>
        </values>
      </ddeItem>
      <ddeItem name="995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3.30</val>
          </value>
          <value>
            <val>5.19</val>
          </value>
          <value t="str">
            <val>4.74</val>
          </value>
          <value t="str">
            <val>1.16</val>
          </value>
          <value t="str">
            <val>皇田</val>
          </value>
          <value t="str">
            <val>上櫃電機機械</val>
          </value>
          <value t="str">
            <val>全球第二大汽車窗簾ODM廠</val>
          </value>
        </values>
      </ddeItem>
      <ddeItem name="9951.TW-CName,InvestorConferenceDate,DateofMeetingofShareHolders,TradingDate" advise="1">
        <values cols="4">
          <value t="str">
            <val>皇田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9951.TW-ID,Name,MarketValue,Capital,NetIncomeGrowthRate,OperIncomeGrowthRate,FinancialStatementsTime,TFXRatio,MonthlyNetSalesYoY,RevenueMonth" advise="1">
        <values cols="10">
          <value t="str">
            <val>9951</val>
          </value>
          <value t="str">
            <val>皇田</val>
          </value>
          <value t="str">
            <val>47.6</val>
          </value>
          <value t="str">
            <val>7.49</val>
          </value>
          <value t="str">
            <val>-33.73</val>
          </value>
          <value t="str">
            <val>-59.68</val>
          </value>
          <value t="str">
            <val>2022/03</val>
          </value>
          <value t="str">
            <val>14.95</val>
          </value>
          <value t="str">
            <val>-13.57</val>
          </value>
          <value t="str">
            <val>2022/06</val>
          </value>
        </values>
      </ddeItem>
      <ddeItem name="9951.TW-OperatingProfitRatio,Price,PriceChangeRatio,InOutRatioNumber,Value,YearReturn,MonthReturn,WeekReturn,FinanceBalanceDif,ChipsField2" advise="1">
        <values cols="10">
          <value t="str">
            <val>6.30</val>
          </value>
          <value>
            <val>63.6</val>
          </value>
          <value>
            <val>0.16</val>
          </value>
          <value t="str">
            <val>63.64%</val>
          </value>
          <value t="str">
            <val>70.0萬</val>
          </value>
          <value t="str">
            <val>-30.95</val>
          </value>
          <value t="str">
            <val>+0.63</val>
          </value>
          <value t="str">
            <val>+0.79</val>
          </value>
          <value>
            <val>4</val>
          </value>
          <value>
            <val>0</val>
          </value>
        </values>
      </ddeItem>
      <ddeItem name="99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2022/08/11</val>
          </value>
          <value t="str">
            <val>1.70</val>
          </value>
          <value>
            <val>6.34</val>
          </value>
          <value t="str">
            <val>2.45</val>
          </value>
          <value t="str">
            <val>0.57</val>
          </value>
          <value t="str">
            <val>邁達康</val>
          </value>
          <value t="str">
            <val>上櫃貿易百貨</val>
          </value>
          <value t="str">
            <val>台灣最大的高爾夫球銷售網站</val>
          </value>
        </values>
      </ddeItem>
      <ddeItem name="9960.TW-CName,InvestorConferenceDate,DateofMeetingofShareHolders,TradingDate" advise="1">
        <values cols="4">
          <value t="str">
            <val>邁達康</val>
          </value>
          <value t="str">
            <val>--</val>
          </value>
          <value t="str">
            <val>2022/06/16</val>
          </value>
          <value t="str">
            <val>2022/08/01</val>
          </value>
        </values>
      </ddeItem>
      <ddeItem name="9960.TW-ID,Name,MarketValue,Capital,NetIncomeGrowthRate,OperIncomeGrowthRate,FinancialStatementsTime,TFXRatio,MonthlyNetSalesYoY,RevenueMonth" advise="1">
        <values cols="10">
          <value t="str">
            <val>9960</val>
          </value>
          <value t="str">
            <val>邁達康</val>
          </value>
          <value t="str">
            <val>9.0</val>
          </value>
          <value t="str">
            <val>3.36</val>
          </value>
          <value t="str">
            <val>-13.30</val>
          </value>
          <value t="str">
            <val>-44.32</val>
          </value>
          <value t="str">
            <val>2022/03</val>
          </value>
          <value t="str">
            <val>48.07</val>
          </value>
          <value t="str">
            <val>75.13</val>
          </value>
          <value t="str">
            <val>2022/06</val>
          </value>
        </values>
      </ddeItem>
      <ddeItem name="9960.TW-OperatingProfitRatio,Price,PriceChangeRatio,InOutRatioNumber,Value,YearReturn,MonthReturn,WeekReturn,FinanceBalanceDif,ChipsField2" advise="1">
        <values cols="10">
          <value t="str">
            <val>11.10</val>
          </value>
          <value>
            <val>26.8</val>
          </value>
          <value>
            <val>-0.19</val>
          </value>
          <value t="str">
            <val>61.54%</val>
          </value>
          <value t="str">
            <val>69.6萬</val>
          </value>
          <value t="str">
            <val>+1.34</val>
          </value>
          <value t="str">
            <val>+4.69</val>
          </value>
          <value t="str">
            <val>-0.19</val>
          </value>
          <value>
            <val>0</val>
          </value>
          <value>
            <val>0</val>
          </value>
        </values>
      </ddeItem>
      <ddeItem name="996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119</val>
          </value>
          <value t="str">
            <val>2022/06/24</val>
          </value>
          <value t="str">
            <val>1.10</val>
          </value>
          <value>
            <val>6.94</val>
          </value>
          <value t="str">
            <val>1.89</val>
          </value>
          <value t="str">
            <val>0.41</val>
          </value>
          <value t="str">
            <val>有益</val>
          </value>
          <value t="str">
            <val>上櫃鋼鐵</val>
          </value>
          <value t="str">
            <val>台灣不鏽鋼厚板第一大廠</val>
          </value>
        </values>
      </ddeItem>
      <ddeItem name="9962.TW-CName,InvestorConferenceDate,DateofMeetingofShareHolders,TradingDate" advise="1">
        <values cols="4">
          <value t="str">
            <val>有益</val>
          </value>
          <value t="str">
            <val>--</val>
          </value>
          <value t="str">
            <val>2022/06/06</val>
          </value>
          <value t="str">
            <val>2022/08/01</val>
          </value>
        </values>
      </ddeItem>
      <ddeItem name="9962.TW-ID,Name,MarketValue,Capital,NetIncomeGrowthRate,OperIncomeGrowthRate,FinancialStatementsTime,TFXRatio,MonthlyNetSalesYoY,RevenueMonth" advise="1">
        <values cols="10">
          <value t="str">
            <val>9962</val>
          </value>
          <value t="str">
            <val>有益</val>
          </value>
          <value t="str">
            <val>14.3</val>
          </value>
          <value t="str">
            <val>9.02</val>
          </value>
          <value t="str">
            <val>460.25</val>
          </value>
          <value t="str">
            <val>460.37</val>
          </value>
          <value t="str">
            <val>2022/03</val>
          </value>
          <value t="str">
            <val>69.47</val>
          </value>
          <value t="str">
            <val>24.05</val>
          </value>
          <value t="str">
            <val>2022/06</val>
          </value>
        </values>
      </ddeItem>
      <ddeItem name="9962.TW-OperatingProfitRatio,Price,PriceChangeRatio,InOutRatioNumber,Value,YearReturn,MonthReturn,WeekReturn,FinanceBalanceDif,ChipsField2" advise="1">
        <values cols="10">
          <value t="str">
            <val>5.39</val>
          </value>
          <value>
            <val>15.85</val>
          </value>
          <value>
            <val>5.32</val>
          </value>
          <value t="str">
            <val>59.34%</val>
          </value>
          <value t="str">
            <val>2378萬</val>
          </value>
          <value t="str">
            <val>-23.57</val>
          </value>
          <value t="str">
            <val>+29.92</val>
          </value>
          <value t="str">
            <val>+4.97</val>
          </value>
          <value>
            <val>68</val>
          </value>
          <value>
            <val>0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9474-7196-42D0-B079-7FD9DE519BD4}">
  <dimension ref="A1:AH798"/>
  <sheetViews>
    <sheetView tabSelected="1" topLeftCell="A322" workbookViewId="0">
      <selection activeCell="AE798" sqref="AE798:AH798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tr">
        <f t="array" ref="A2:J2">[1]!'1258.TW-ID,Name,MarketValue,Capital,NetIncomeGrowthRate,OperIncomeGrowthRate,FinancialStatementsTime,TFXRatio,MonthlyNetSalesYoY,RevenueMonth'</f>
        <v>1258</v>
      </c>
      <c r="B2" t="str">
        <v>其祥-KY</v>
      </c>
      <c r="C2" t="str">
        <v>9.1</v>
      </c>
      <c r="D2" t="str">
        <v>3.68</v>
      </c>
      <c r="E2" t="str">
        <v>-9.74</v>
      </c>
      <c r="F2" t="str">
        <v>32.31</v>
      </c>
      <c r="G2" t="str">
        <v>2022/03</v>
      </c>
      <c r="H2" t="str">
        <v>8.23</v>
      </c>
      <c r="I2" t="str">
        <v>36.05</v>
      </c>
      <c r="J2" t="str">
        <v>2022/06</v>
      </c>
      <c r="K2" t="str">
        <f t="array" ref="K2:T2">[1]!'1258.TW-OperatingProfitRatio,Price,PriceChangeRatio,InOutRatioNumber,Value,YearReturn,MonthReturn,WeekReturn,FinanceBalanceDif,ChipsField2'</f>
        <v>5.37</v>
      </c>
      <c r="L2">
        <v>24.7</v>
      </c>
      <c r="M2">
        <v>2.2799999999999998</v>
      </c>
      <c r="N2" t="str">
        <v>44.48%</v>
      </c>
      <c r="O2" t="str">
        <v>2688萬</v>
      </c>
      <c r="P2" t="str">
        <v>+55.84</v>
      </c>
      <c r="Q2" t="str">
        <v>+15.69</v>
      </c>
      <c r="R2" t="str">
        <v>+13.56</v>
      </c>
      <c r="S2">
        <v>12</v>
      </c>
      <c r="T2">
        <v>0</v>
      </c>
      <c r="U2">
        <f t="array" ref="U2:AD2">[1]!'1258.TW-ChipsField3,ChipsField1,ChipsField25,CashAndStockDividend,CashDividendYieldRate,ProfitFourSeason,ProfitSingle,CName,ExchangeIndustry,CompanyPos'</f>
        <v>0</v>
      </c>
      <c r="V2">
        <v>21</v>
      </c>
      <c r="W2" t="str">
        <v>--</v>
      </c>
      <c r="X2" t="str">
        <v>0.00</v>
      </c>
      <c r="Y2">
        <v>0</v>
      </c>
      <c r="Z2" t="str">
        <v>2.07</v>
      </c>
      <c r="AA2" t="str">
        <v>0.51</v>
      </c>
      <c r="AB2" t="str">
        <v>其祥-KY</v>
      </c>
      <c r="AC2" t="str">
        <v>上櫃食品</v>
      </c>
      <c r="AD2" t="str">
        <v>新加坡雞肉肉品市場主要供應商</v>
      </c>
      <c r="AE2" t="str">
        <f t="array" ref="AE2:AH2">[1]!'1258.TW-CName,InvestorConferenceDate,DateofMeetingofShareHolders,TradingDate'</f>
        <v>其祥-KY</v>
      </c>
      <c r="AF2" t="str">
        <v>2021/11/18</v>
      </c>
      <c r="AG2" t="str">
        <v>2022/08/19</v>
      </c>
      <c r="AH2" t="str">
        <v>2022/08/01</v>
      </c>
    </row>
    <row r="3" spans="1:34" x14ac:dyDescent="0.3">
      <c r="A3" t="str">
        <f t="array" ref="A3:J3">[1]!'1264.TW-ID,Name,MarketValue,Capital,NetIncomeGrowthRate,OperIncomeGrowthRate,FinancialStatementsTime,TFXRatio,MonthlyNetSalesYoY,RevenueMonth'</f>
        <v>1264</v>
      </c>
      <c r="B3" t="str">
        <v>德麥</v>
      </c>
      <c r="C3" t="str">
        <v>96.0</v>
      </c>
      <c r="D3" t="str">
        <v>3.71</v>
      </c>
      <c r="E3" t="str">
        <v>1.62</v>
      </c>
      <c r="F3" t="str">
        <v>0.80</v>
      </c>
      <c r="G3" t="str">
        <v>2022/03</v>
      </c>
      <c r="H3" t="str">
        <v>0.83</v>
      </c>
      <c r="I3" t="str">
        <v>16.79</v>
      </c>
      <c r="J3" t="str">
        <v>2022/06</v>
      </c>
      <c r="K3" t="str">
        <f t="array" ref="K3:T3">[1]!'1264.TW-OperatingProfitRatio,Price,PriceChangeRatio,InOutRatioNumber,Value,YearReturn,MonthReturn,WeekReturn,FinanceBalanceDif,ChipsField2'</f>
        <v>19.47</v>
      </c>
      <c r="L3">
        <v>259</v>
      </c>
      <c r="M3">
        <v>0.57999999999999996</v>
      </c>
      <c r="N3" t="str">
        <v>100.00%</v>
      </c>
      <c r="O3" t="str">
        <v>25.9萬</v>
      </c>
      <c r="P3" t="str">
        <v>-9.48</v>
      </c>
      <c r="Q3" t="str">
        <v>+2.17</v>
      </c>
      <c r="R3" t="str">
        <v>+0.19</v>
      </c>
      <c r="S3">
        <v>0</v>
      </c>
      <c r="T3">
        <v>0</v>
      </c>
      <c r="U3">
        <f t="array" ref="U3:AD3">[1]!'1264.TW-ChipsField3,ChipsField1,ChipsField25,CashAndStockDividend,CashDividendYieldRate,ProfitFourSeason,ProfitSingle,CName,ExchangeIndustry,CompanyPos'</f>
        <v>0</v>
      </c>
      <c r="V3">
        <v>-7</v>
      </c>
      <c r="W3" t="str">
        <v>2022/06/29</v>
      </c>
      <c r="X3" t="str">
        <v>12.00</v>
      </c>
      <c r="Y3">
        <v>4.63</v>
      </c>
      <c r="Z3" t="str">
        <v>16.92</v>
      </c>
      <c r="AA3" t="str">
        <v>4.43</v>
      </c>
      <c r="AB3" t="str">
        <v>德麥</v>
      </c>
      <c r="AC3" t="str">
        <v>上櫃食品</v>
      </c>
      <c r="AD3" t="str">
        <v>台灣最大烘焙原物料供應商</v>
      </c>
      <c r="AE3" t="str">
        <f t="array" ref="AE3:AH3">[1]!'1264.TW-CName,InvestorConferenceDate,DateofMeetingofShareHolders,TradingDate'</f>
        <v>德麥</v>
      </c>
      <c r="AF3" t="str">
        <v>--</v>
      </c>
      <c r="AG3" t="str">
        <v>2022/06/10</v>
      </c>
      <c r="AH3" t="str">
        <v>2022/08/01</v>
      </c>
    </row>
    <row r="4" spans="1:34" x14ac:dyDescent="0.3">
      <c r="A4" t="str">
        <f t="array" ref="A4:J4">[1]!'1796.TW-ID,Name,MarketValue,Capital,NetIncomeGrowthRate,OperIncomeGrowthRate,FinancialStatementsTime,TFXRatio,MonthlyNetSalesYoY,RevenueMonth'</f>
        <v>1796</v>
      </c>
      <c r="B4" t="str">
        <v>金穎生技</v>
      </c>
      <c r="C4" t="str">
        <v>18.7</v>
      </c>
      <c r="D4" t="str">
        <v>4.15</v>
      </c>
      <c r="E4" t="str">
        <v>80.87</v>
      </c>
      <c r="F4" t="str">
        <v>37.79</v>
      </c>
      <c r="G4" t="str">
        <v>2022/03</v>
      </c>
      <c r="H4" t="str">
        <v>-1.94</v>
      </c>
      <c r="I4" t="str">
        <v>29.34</v>
      </c>
      <c r="J4" t="str">
        <v>2022/06</v>
      </c>
      <c r="K4" t="str">
        <f t="array" ref="K4:T4">[1]!'1796.TW-OperatingProfitRatio,Price,PriceChangeRatio,InOutRatioNumber,Value,YearReturn,MonthReturn,WeekReturn,FinanceBalanceDif,ChipsField2'</f>
        <v>15.19</v>
      </c>
      <c r="L4">
        <v>45.15</v>
      </c>
      <c r="M4">
        <v>2.73</v>
      </c>
      <c r="N4" t="str">
        <v>64.00%</v>
      </c>
      <c r="O4" t="str">
        <v>344萬</v>
      </c>
      <c r="P4" t="str">
        <v>+38.13</v>
      </c>
      <c r="Q4" t="str">
        <v>+8.01</v>
      </c>
      <c r="R4" t="str">
        <v>+8.53</v>
      </c>
      <c r="S4">
        <v>1</v>
      </c>
      <c r="T4">
        <v>0</v>
      </c>
      <c r="U4">
        <f t="array" ref="U4:AD4">[1]!'1796.TW-ChipsField3,ChipsField1,ChipsField25,CashAndStockDividend,CashDividendYieldRate,ProfitFourSeason,ProfitSingle,CName,ExchangeIndustry,CompanyPos'</f>
        <v>0</v>
      </c>
      <c r="V4">
        <v>-2</v>
      </c>
      <c r="W4" t="str">
        <v>2022/06/23</v>
      </c>
      <c r="X4" t="str">
        <v>1.00</v>
      </c>
      <c r="Y4">
        <v>2.21</v>
      </c>
      <c r="Z4" t="str">
        <v>1.65</v>
      </c>
      <c r="AA4" t="str">
        <v>0.50</v>
      </c>
      <c r="AB4" t="str">
        <v>金穎生技</v>
      </c>
      <c r="AC4" t="str">
        <v>上櫃食品</v>
      </c>
      <c r="AD4" t="str">
        <v>為醱酵原料及保健品廠商</v>
      </c>
      <c r="AE4" t="str">
        <f t="array" ref="AE4:AH4">[1]!'1796.TW-CName,InvestorConferenceDate,DateofMeetingofShareHolders,TradingDate'</f>
        <v>金穎生技</v>
      </c>
      <c r="AF4" t="str">
        <v>--</v>
      </c>
      <c r="AG4" t="str">
        <v>2022/06/17</v>
      </c>
      <c r="AH4" t="str">
        <v>2022/08/01</v>
      </c>
    </row>
    <row r="5" spans="1:34" x14ac:dyDescent="0.3">
      <c r="A5" t="str">
        <f t="array" ref="A5:J5">[1]!'4205.TW-ID,Name,MarketValue,Capital,NetIncomeGrowthRate,OperIncomeGrowthRate,FinancialStatementsTime,TFXRatio,MonthlyNetSalesYoY,RevenueMonth'</f>
        <v>4205</v>
      </c>
      <c r="B5" t="str">
        <v>中華食</v>
      </c>
      <c r="C5" t="str">
        <v>90.5</v>
      </c>
      <c r="D5" t="str">
        <v>8.88</v>
      </c>
      <c r="E5" t="str">
        <v>14.62</v>
      </c>
      <c r="F5" t="str">
        <v>13.59</v>
      </c>
      <c r="G5" t="str">
        <v>2022/03</v>
      </c>
      <c r="H5" t="str">
        <v>-6.23</v>
      </c>
      <c r="I5" t="str">
        <v>1.53</v>
      </c>
      <c r="J5" t="str">
        <v>2022/06</v>
      </c>
      <c r="K5" t="str">
        <f t="array" ref="K5:T5">[1]!'4205.TW-OperatingProfitRatio,Price,PriceChangeRatio,InOutRatioNumber,Value,YearReturn,MonthReturn,WeekReturn,FinanceBalanceDif,ChipsField2'</f>
        <v>23.66</v>
      </c>
      <c r="L5">
        <v>102</v>
      </c>
      <c r="M5">
        <v>0</v>
      </c>
      <c r="N5" t="str">
        <v>7.14%</v>
      </c>
      <c r="O5" t="str">
        <v>142萬</v>
      </c>
      <c r="P5" t="str">
        <v>-14.85</v>
      </c>
      <c r="Q5" t="str">
        <v>+3.51</v>
      </c>
      <c r="R5" t="str">
        <v>+0.49</v>
      </c>
      <c r="S5">
        <v>0</v>
      </c>
      <c r="T5">
        <v>0</v>
      </c>
      <c r="U5">
        <f t="array" ref="U5:AD5">[1]!'4205.TW-ChipsField3,ChipsField1,ChipsField25,CashAndStockDividend,CashDividendYieldRate,ProfitFourSeason,ProfitSingle,CName,ExchangeIndustry,CompanyPos'</f>
        <v>0</v>
      </c>
      <c r="V5">
        <v>1</v>
      </c>
      <c r="W5" t="str">
        <v>2022/07/15</v>
      </c>
      <c r="X5" t="str">
        <v>3.00</v>
      </c>
      <c r="Y5">
        <v>2.94</v>
      </c>
      <c r="Z5" t="str">
        <v>3.97</v>
      </c>
      <c r="AA5" t="str">
        <v>0.92</v>
      </c>
      <c r="AB5" t="str">
        <v>中華食</v>
      </c>
      <c r="AC5" t="str">
        <v>上櫃食品</v>
      </c>
      <c r="AD5" t="str">
        <v>中華豆腐及豆花製造廠</v>
      </c>
      <c r="AE5" t="str">
        <f t="array" ref="AE5:AH5">[1]!'4205.TW-CName,InvestorConferenceDate,DateofMeetingofShareHolders,TradingDate'</f>
        <v>中華食</v>
      </c>
      <c r="AF5" t="str">
        <v>--</v>
      </c>
      <c r="AG5" t="str">
        <v>2022/06/22</v>
      </c>
      <c r="AH5" t="str">
        <v>2022/08/01</v>
      </c>
    </row>
    <row r="6" spans="1:34" x14ac:dyDescent="0.3">
      <c r="A6" t="str">
        <f t="array" ref="A6:J6">[1]!'4207.TW-ID,Name,MarketValue,Capital,NetIncomeGrowthRate,OperIncomeGrowthRate,FinancialStatementsTime,TFXRatio,MonthlyNetSalesYoY,RevenueMonth'</f>
        <v>4207</v>
      </c>
      <c r="B6" t="str">
        <v>環泰</v>
      </c>
      <c r="C6" t="str">
        <v>22.9</v>
      </c>
      <c r="D6" t="str">
        <v>16.21</v>
      </c>
      <c r="E6" t="str">
        <v>-12.42</v>
      </c>
      <c r="F6" t="str">
        <v>1.71</v>
      </c>
      <c r="G6" t="str">
        <v>2022/03</v>
      </c>
      <c r="H6" t="str">
        <v>2.25</v>
      </c>
      <c r="I6" t="str">
        <v>22.71</v>
      </c>
      <c r="J6" t="str">
        <v>2022/06</v>
      </c>
      <c r="K6" t="str">
        <f t="array" ref="K6:T6">[1]!'4207.TW-OperatingProfitRatio,Price,PriceChangeRatio,InOutRatioNumber,Value,YearReturn,MonthReturn,WeekReturn,FinanceBalanceDif,ChipsField2'</f>
        <v>8.82</v>
      </c>
      <c r="L6">
        <v>14.15</v>
      </c>
      <c r="M6">
        <v>2.17</v>
      </c>
      <c r="N6" t="str">
        <v>53.21%</v>
      </c>
      <c r="O6" t="str">
        <v>555萬</v>
      </c>
      <c r="P6" t="str">
        <v>+9.62</v>
      </c>
      <c r="Q6" t="str">
        <v>+4.81</v>
      </c>
      <c r="R6" t="str">
        <v>+2.54</v>
      </c>
      <c r="S6">
        <v>-2</v>
      </c>
      <c r="T6">
        <v>0</v>
      </c>
      <c r="U6">
        <f t="array" ref="U6:AD6">[1]!'4207.TW-ChipsField3,ChipsField1,ChipsField25,CashAndStockDividend,CashDividendYieldRate,ProfitFourSeason,ProfitSingle,CName,ExchangeIndustry,CompanyPos'</f>
        <v>0</v>
      </c>
      <c r="V6">
        <v>99</v>
      </c>
      <c r="W6" t="str">
        <v>2022/04/14</v>
      </c>
      <c r="X6" t="str">
        <v>1.25</v>
      </c>
      <c r="Y6">
        <v>8.83</v>
      </c>
      <c r="Z6" t="str">
        <v>2.22</v>
      </c>
      <c r="AA6" t="str">
        <v>0.40</v>
      </c>
      <c r="AB6" t="str">
        <v>環泰</v>
      </c>
      <c r="AC6" t="str">
        <v>上櫃食品</v>
      </c>
      <c r="AD6" t="str">
        <v>台灣三大果糖廠之一</v>
      </c>
      <c r="AE6" t="str">
        <f t="array" ref="AE6:AH6">[1]!'4207.TW-CName,InvestorConferenceDate,DateofMeetingofShareHolders,TradingDate'</f>
        <v>環泰</v>
      </c>
      <c r="AF6" t="str">
        <v>--</v>
      </c>
      <c r="AG6" t="str">
        <v>2022/06/23</v>
      </c>
      <c r="AH6" t="str">
        <v>2022/08/01</v>
      </c>
    </row>
    <row r="7" spans="1:34" x14ac:dyDescent="0.3">
      <c r="A7" t="str">
        <f t="array" ref="A7:J7">[1]!'4712.TW-ID,Name,MarketValue,Capital,NetIncomeGrowthRate,OperIncomeGrowthRate,FinancialStatementsTime,TFXRatio,MonthlyNetSalesYoY,RevenueMonth'</f>
        <v>4712</v>
      </c>
      <c r="B7" t="str">
        <v>南璋</v>
      </c>
      <c r="C7" t="str">
        <v>3.5</v>
      </c>
      <c r="D7" t="str">
        <v>7.37</v>
      </c>
      <c r="E7" t="str">
        <v>73.56</v>
      </c>
      <c r="F7" t="str">
        <v>37.61</v>
      </c>
      <c r="G7" t="str">
        <v>2022/03</v>
      </c>
      <c r="H7" t="str">
        <v>165.22</v>
      </c>
      <c r="I7" t="str">
        <v>-95.69</v>
      </c>
      <c r="J7" t="str">
        <v>2022/06</v>
      </c>
      <c r="K7" t="str">
        <f t="array" ref="K7:T7">[1]!'4712.TW-OperatingProfitRatio,Price,PriceChangeRatio,InOutRatioNumber,Value,YearReturn,MonthReturn,WeekReturn,FinanceBalanceDif,ChipsField2'</f>
        <v>-1615.54</v>
      </c>
      <c r="L7">
        <v>4.75</v>
      </c>
      <c r="M7">
        <v>-1.04</v>
      </c>
      <c r="N7" t="str">
        <v>90.91%</v>
      </c>
      <c r="O7" t="str">
        <v>5.75萬</v>
      </c>
      <c r="P7" t="str">
        <v>-39.10</v>
      </c>
      <c r="Q7" t="str">
        <v>-4.62</v>
      </c>
      <c r="R7" t="str">
        <v>-5.00</v>
      </c>
      <c r="S7">
        <v>0</v>
      </c>
      <c r="T7">
        <v>0</v>
      </c>
      <c r="U7">
        <f t="array" ref="U7:AD7">[1]!'4712.TW-ChipsField3,ChipsField1,ChipsField25,CashAndStockDividend,CashDividendYieldRate,ProfitFourSeason,ProfitSingle,CName,ExchangeIndustry,CompanyPos'</f>
        <v>0</v>
      </c>
      <c r="V7">
        <v>0</v>
      </c>
      <c r="W7" t="str">
        <v>--</v>
      </c>
      <c r="X7" t="str">
        <v>0.00</v>
      </c>
      <c r="Y7">
        <v>0</v>
      </c>
      <c r="Z7" t="str">
        <v>-1.45</v>
      </c>
      <c r="AA7" t="str">
        <v>-0.06</v>
      </c>
      <c r="AB7" t="str">
        <v>南璋</v>
      </c>
      <c r="AC7" t="str">
        <v>上櫃食品</v>
      </c>
      <c r="AD7" t="str">
        <v>轉型為智能管家機器人服務商</v>
      </c>
      <c r="AE7" t="str">
        <f t="array" ref="AE7:AH7">[1]!'4712.TW-CName,InvestorConferenceDate,DateofMeetingofShareHolders,TradingDate'</f>
        <v>南璋</v>
      </c>
      <c r="AF7" t="str">
        <v>--</v>
      </c>
      <c r="AG7" t="str">
        <v>2022/06/29</v>
      </c>
      <c r="AH7" t="str">
        <v>2022/08/01</v>
      </c>
    </row>
    <row r="8" spans="1:34" x14ac:dyDescent="0.3">
      <c r="A8" t="str">
        <f t="array" ref="A8:J8">[1]!'4303.TW-ID,Name,MarketValue,Capital,NetIncomeGrowthRate,OperIncomeGrowthRate,FinancialStatementsTime,TFXRatio,MonthlyNetSalesYoY,RevenueMonth'</f>
        <v>4303</v>
      </c>
      <c r="B8" t="str">
        <v>信立</v>
      </c>
      <c r="C8" t="str">
        <v>14.0</v>
      </c>
      <c r="D8" t="str">
        <v>6.75</v>
      </c>
      <c r="E8" t="str">
        <v>636.93</v>
      </c>
      <c r="F8" t="str">
        <v>106.16</v>
      </c>
      <c r="G8" t="str">
        <v>2022/03</v>
      </c>
      <c r="H8" t="str">
        <v>-10.93</v>
      </c>
      <c r="I8" t="str">
        <v>-9.57</v>
      </c>
      <c r="J8" t="str">
        <v>2022/06</v>
      </c>
      <c r="K8" t="str">
        <f t="array" ref="K8:T8">[1]!'4303.TW-OperatingProfitRatio,Price,PriceChangeRatio,InOutRatioNumber,Value,YearReturn,MonthReturn,WeekReturn,FinanceBalanceDif,ChipsField2'</f>
        <v>6.52</v>
      </c>
      <c r="L8">
        <v>20.7</v>
      </c>
      <c r="M8">
        <v>1.72</v>
      </c>
      <c r="N8" t="str">
        <v>60.47%</v>
      </c>
      <c r="O8" t="str">
        <v>891萬</v>
      </c>
      <c r="P8" t="str">
        <v>+18.13</v>
      </c>
      <c r="Q8" t="str">
        <v>+2.48</v>
      </c>
      <c r="R8" t="str">
        <v>+0.24</v>
      </c>
      <c r="S8">
        <v>-5</v>
      </c>
      <c r="T8">
        <v>0</v>
      </c>
      <c r="U8">
        <f t="array" ref="U8:AD8">[1]!'4303.TW-ChipsField3,ChipsField1,ChipsField25,CashAndStockDividend,CashDividendYieldRate,ProfitFourSeason,ProfitSingle,CName,ExchangeIndustry,CompanyPos'</f>
        <v>0</v>
      </c>
      <c r="V8">
        <v>141</v>
      </c>
      <c r="W8" t="str">
        <v>--</v>
      </c>
      <c r="X8" t="str">
        <v>1.10</v>
      </c>
      <c r="Y8">
        <v>5.31</v>
      </c>
      <c r="Z8" t="str">
        <v>2.84</v>
      </c>
      <c r="AA8" t="str">
        <v>1.03</v>
      </c>
      <c r="AB8" t="str">
        <v>信立</v>
      </c>
      <c r="AC8" t="str">
        <v>上櫃塑膠</v>
      </c>
      <c r="AD8" t="str">
        <v>植毛絨布及PVC皮居領導地位之廠商</v>
      </c>
      <c r="AE8" t="str">
        <f t="array" ref="AE8:AH8">[1]!'4303.TW-CName,InvestorConferenceDate,DateofMeetingofShareHolders,TradingDate'</f>
        <v>信立</v>
      </c>
      <c r="AF8" t="str">
        <v>--</v>
      </c>
      <c r="AG8" t="str">
        <v>2022/06/30</v>
      </c>
      <c r="AH8" t="str">
        <v>2022/08/01</v>
      </c>
    </row>
    <row r="9" spans="1:34" x14ac:dyDescent="0.3">
      <c r="A9" t="str">
        <f t="array" ref="A9:J9">[1]!'4304.TW-ID,Name,MarketValue,Capital,NetIncomeGrowthRate,OperIncomeGrowthRate,FinancialStatementsTime,TFXRatio,MonthlyNetSalesYoY,RevenueMonth'</f>
        <v>4304</v>
      </c>
      <c r="B9" t="str">
        <v>勝昱</v>
      </c>
      <c r="C9" t="str">
        <v>3.2</v>
      </c>
      <c r="D9" t="str">
        <v>3.60</v>
      </c>
      <c r="E9" t="str">
        <v>-1605.68</v>
      </c>
      <c r="F9" t="str">
        <v>-3322.13</v>
      </c>
      <c r="G9" t="str">
        <v>2022/03</v>
      </c>
      <c r="H9" t="str">
        <v>-29.03</v>
      </c>
      <c r="I9" t="str">
        <v>-23.93</v>
      </c>
      <c r="J9" t="str">
        <v>2022/06</v>
      </c>
      <c r="K9" t="str">
        <f t="array" ref="K9:T9">[1]!'4304.TW-OperatingProfitRatio,Price,PriceChangeRatio,InOutRatioNumber,Value,YearReturn,MonthReturn,WeekReturn,FinanceBalanceDif,ChipsField2'</f>
        <v>-19.67</v>
      </c>
      <c r="L9">
        <v>9</v>
      </c>
      <c r="M9">
        <v>0</v>
      </c>
      <c r="N9" t="str">
        <v>83.33%</v>
      </c>
      <c r="O9" t="str">
        <v>16.0萬</v>
      </c>
      <c r="P9" t="str">
        <v>+15.53</v>
      </c>
      <c r="Q9" t="str">
        <v>+11.52</v>
      </c>
      <c r="R9" t="str">
        <v>-0.33</v>
      </c>
      <c r="S9">
        <v>0</v>
      </c>
      <c r="T9">
        <v>0</v>
      </c>
      <c r="U9">
        <f t="array" ref="U9:AD9">[1]!'4304.TW-ChipsField3,ChipsField1,ChipsField25,CashAndStockDividend,CashDividendYieldRate,ProfitFourSeason,ProfitSingle,CName,ExchangeIndustry,CompanyPos'</f>
        <v>0</v>
      </c>
      <c r="V9">
        <v>0</v>
      </c>
      <c r="W9" t="str">
        <v>--</v>
      </c>
      <c r="X9" t="str">
        <v>0.00</v>
      </c>
      <c r="Y9">
        <v>0</v>
      </c>
      <c r="Z9" t="str">
        <v>3.83</v>
      </c>
      <c r="AA9" t="str">
        <v>-0.37</v>
      </c>
      <c r="AB9" t="str">
        <v>勝昱</v>
      </c>
      <c r="AC9" t="str">
        <v>上櫃塑膠</v>
      </c>
      <c r="AD9" t="str">
        <v>台灣EMI電磁波屏隔材料第一大廠</v>
      </c>
      <c r="AE9" t="str">
        <f t="array" ref="AE9:AH9">[1]!'4304.TW-CName,InvestorConferenceDate,DateofMeetingofShareHolders,TradingDate'</f>
        <v>勝昱</v>
      </c>
      <c r="AF9" t="str">
        <v>--</v>
      </c>
      <c r="AG9" t="str">
        <v>2022/06/23</v>
      </c>
      <c r="AH9" t="str">
        <v>2022/08/01</v>
      </c>
    </row>
    <row r="10" spans="1:34" x14ac:dyDescent="0.3">
      <c r="A10" t="str">
        <f t="array" ref="A10:J10">[1]!'4305.TW-ID,Name,MarketValue,Capital,NetIncomeGrowthRate,OperIncomeGrowthRate,FinancialStatementsTime,TFXRatio,MonthlyNetSalesYoY,RevenueMonth'</f>
        <v>4305</v>
      </c>
      <c r="B10" t="str">
        <v>世坤</v>
      </c>
      <c r="C10" t="str">
        <v>16.4</v>
      </c>
      <c r="D10" t="str">
        <v>5.50</v>
      </c>
      <c r="E10" t="str">
        <v>9.32</v>
      </c>
      <c r="F10" t="str">
        <v>-32.73</v>
      </c>
      <c r="G10" t="str">
        <v>2022/03</v>
      </c>
      <c r="H10" t="str">
        <v>-2.48</v>
      </c>
      <c r="I10" t="str">
        <v>20.05</v>
      </c>
      <c r="J10" t="str">
        <v>2022/06</v>
      </c>
      <c r="K10" t="str">
        <f t="array" ref="K10:T10">[1]!'4305.TW-OperatingProfitRatio,Price,PriceChangeRatio,InOutRatioNumber,Value,YearReturn,MonthReturn,WeekReturn,FinanceBalanceDif,ChipsField2'</f>
        <v>12.09</v>
      </c>
      <c r="L10">
        <v>29.8</v>
      </c>
      <c r="M10">
        <v>0</v>
      </c>
      <c r="N10" t="str">
        <v>50.00%</v>
      </c>
      <c r="O10" t="str">
        <v>5.96萬</v>
      </c>
      <c r="P10" t="str">
        <v>-2.15</v>
      </c>
      <c r="Q10" t="str">
        <v>+6.94</v>
      </c>
      <c r="R10" t="str">
        <v>+2.94</v>
      </c>
      <c r="S10">
        <v>0</v>
      </c>
      <c r="T10">
        <v>0</v>
      </c>
      <c r="U10">
        <f t="array" ref="U10:AD10">[1]!'4305.TW-ChipsField3,ChipsField1,ChipsField25,CashAndStockDividend,CashDividendYieldRate,ProfitFourSeason,ProfitSingle,CName,ExchangeIndustry,CompanyPos'</f>
        <v>0</v>
      </c>
      <c r="V10">
        <v>-1</v>
      </c>
      <c r="W10" t="str">
        <v>2022/07/26</v>
      </c>
      <c r="X10" t="str">
        <v>1.80</v>
      </c>
      <c r="Y10">
        <v>6.04</v>
      </c>
      <c r="Z10" t="str">
        <v>2.09</v>
      </c>
      <c r="AA10" t="str">
        <v>0.76</v>
      </c>
      <c r="AB10" t="str">
        <v>世坤</v>
      </c>
      <c r="AC10" t="str">
        <v>上櫃塑膠</v>
      </c>
      <c r="AD10" t="str">
        <v>專業PVC軟質膠布廠</v>
      </c>
      <c r="AE10" t="str">
        <f t="array" ref="AE10:AH10">[1]!'4305.TW-CName,InvestorConferenceDate,DateofMeetingofShareHolders,TradingDate'</f>
        <v>世坤</v>
      </c>
      <c r="AF10" t="str">
        <v>--</v>
      </c>
      <c r="AG10" t="str">
        <v>2022/06/24</v>
      </c>
      <c r="AH10" t="str">
        <v>2022/08/01</v>
      </c>
    </row>
    <row r="11" spans="1:34" x14ac:dyDescent="0.3">
      <c r="A11" t="str">
        <f t="array" ref="A11:J11">[1]!'9950.TW-ID,Name,MarketValue,Capital,NetIncomeGrowthRate,OperIncomeGrowthRate,FinancialStatementsTime,TFXRatio,MonthlyNetSalesYoY,RevenueMonth'</f>
        <v>9950</v>
      </c>
      <c r="B11" t="str">
        <v>萬國通</v>
      </c>
      <c r="C11" t="str">
        <v>18.5</v>
      </c>
      <c r="D11" t="str">
        <v>14.77</v>
      </c>
      <c r="E11" t="str">
        <v>2.11</v>
      </c>
      <c r="F11" t="str">
        <v>7.07</v>
      </c>
      <c r="G11" t="str">
        <v>2022/03</v>
      </c>
      <c r="H11" t="str">
        <v>35.29</v>
      </c>
      <c r="I11" t="str">
        <v>283.82</v>
      </c>
      <c r="J11" t="str">
        <v>2022/06</v>
      </c>
      <c r="K11" t="str">
        <f t="array" ref="K11:T11">[1]!'9950.TW-OperatingProfitRatio,Price,PriceChangeRatio,InOutRatioNumber,Value,YearReturn,MonthReturn,WeekReturn,FinanceBalanceDif,ChipsField2'</f>
        <v>-11.92</v>
      </c>
      <c r="L11">
        <v>12.5</v>
      </c>
      <c r="M11">
        <v>4.17</v>
      </c>
      <c r="N11" t="str">
        <v>94.74%</v>
      </c>
      <c r="O11" t="str">
        <v>23.7萬</v>
      </c>
      <c r="P11" t="str">
        <v>+4.17</v>
      </c>
      <c r="Q11" t="str">
        <v>+0.81</v>
      </c>
      <c r="R11" t="str">
        <v>+3.31</v>
      </c>
      <c r="S11">
        <v>0</v>
      </c>
      <c r="T11">
        <v>0</v>
      </c>
      <c r="U11">
        <f t="array" ref="U11:AD11">[1]!'9950.TW-ChipsField3,ChipsField1,ChipsField25,CashAndStockDividend,CashDividendYieldRate,ProfitFourSeason,ProfitSingle,CName,ExchangeIndustry,CompanyPos'</f>
        <v>0</v>
      </c>
      <c r="V11">
        <v>0</v>
      </c>
      <c r="W11" t="str">
        <v>--</v>
      </c>
      <c r="X11" t="str">
        <v>0.00</v>
      </c>
      <c r="Y11">
        <v>0</v>
      </c>
      <c r="Z11" t="str">
        <v>-4.20</v>
      </c>
      <c r="AA11" t="str">
        <v>-0.58</v>
      </c>
      <c r="AB11" t="str">
        <v>萬國通</v>
      </c>
      <c r="AC11" t="str">
        <v>上櫃塑膠</v>
      </c>
      <c r="AD11" t="str">
        <v>台灣最大旅行箱製造商</v>
      </c>
      <c r="AE11" t="str">
        <f t="array" ref="AE11:AH11">[1]!'9950.TW-CName,InvestorConferenceDate,DateofMeetingofShareHolders,TradingDate'</f>
        <v>萬國通</v>
      </c>
      <c r="AF11" t="str">
        <v>--</v>
      </c>
      <c r="AG11" t="str">
        <v>2022/06/23</v>
      </c>
      <c r="AH11" t="str">
        <v>2022/08/01</v>
      </c>
    </row>
    <row r="12" spans="1:34" x14ac:dyDescent="0.3">
      <c r="A12" t="str">
        <f t="array" ref="A12:J12">[1]!'4401.TW-ID,Name,MarketValue,Capital,NetIncomeGrowthRate,OperIncomeGrowthRate,FinancialStatementsTime,TFXRatio,MonthlyNetSalesYoY,RevenueMonth'</f>
        <v>4401</v>
      </c>
      <c r="B12" t="str">
        <v>東隆興</v>
      </c>
      <c r="C12" t="str">
        <v>34.5</v>
      </c>
      <c r="D12" t="str">
        <v>12.03</v>
      </c>
      <c r="E12" t="str">
        <v>14.56</v>
      </c>
      <c r="F12" t="str">
        <v>5.48</v>
      </c>
      <c r="G12" t="str">
        <v>2022/03</v>
      </c>
      <c r="H12" t="str">
        <v>4.03</v>
      </c>
      <c r="I12" t="str">
        <v>-5.72</v>
      </c>
      <c r="J12" t="str">
        <v>2022/06</v>
      </c>
      <c r="K12" t="str">
        <f t="array" ref="K12:T12">[1]!'4401.TW-OperatingProfitRatio,Price,PriceChangeRatio,InOutRatioNumber,Value,YearReturn,MonthReturn,WeekReturn,FinanceBalanceDif,ChipsField2'</f>
        <v>6.47</v>
      </c>
      <c r="L12">
        <v>28.7</v>
      </c>
      <c r="M12">
        <v>1.06</v>
      </c>
      <c r="N12" t="str">
        <v>45.00%</v>
      </c>
      <c r="O12" t="str">
        <v>60.1萬</v>
      </c>
      <c r="P12" t="str">
        <v>-29.01</v>
      </c>
      <c r="Q12" t="str">
        <v>+4.74</v>
      </c>
      <c r="R12" t="str">
        <v>+3.99</v>
      </c>
      <c r="S12">
        <v>0</v>
      </c>
      <c r="T12">
        <v>0</v>
      </c>
      <c r="U12">
        <f t="array" ref="U12:AD12">[1]!'4401.TW-ChipsField3,ChipsField1,ChipsField25,CashAndStockDividend,CashDividendYieldRate,ProfitFourSeason,ProfitSingle,CName,ExchangeIndustry,CompanyPos'</f>
        <v>0</v>
      </c>
      <c r="V12">
        <v>-2</v>
      </c>
      <c r="W12" t="str">
        <v>--</v>
      </c>
      <c r="X12" t="str">
        <v>1.50</v>
      </c>
      <c r="Y12">
        <v>5.23</v>
      </c>
      <c r="Z12" t="str">
        <v>2.71</v>
      </c>
      <c r="AA12" t="str">
        <v>0.55</v>
      </c>
      <c r="AB12" t="str">
        <v>東隆興</v>
      </c>
      <c r="AC12" t="str">
        <v>上櫃紡織纖維</v>
      </c>
      <c r="AD12" t="str">
        <v>亞洲最大的尼龍66線紗供應商</v>
      </c>
      <c r="AE12" t="str">
        <f t="array" ref="AE12:AH12">[1]!'4401.TW-CName,InvestorConferenceDate,DateofMeetingofShareHolders,TradingDate'</f>
        <v>東隆興</v>
      </c>
      <c r="AF12" t="str">
        <v>--</v>
      </c>
      <c r="AG12" t="str">
        <v>2022/06/16</v>
      </c>
      <c r="AH12" t="str">
        <v>2022/08/01</v>
      </c>
    </row>
    <row r="13" spans="1:34" x14ac:dyDescent="0.3">
      <c r="A13" t="str">
        <f t="array" ref="A13:J13">[1]!'4402.TW-ID,Name,MarketValue,Capital,NetIncomeGrowthRate,OperIncomeGrowthRate,FinancialStatementsTime,TFXRatio,MonthlyNetSalesYoY,RevenueMonth'</f>
        <v>4402</v>
      </c>
      <c r="B13" t="str">
        <v>福大</v>
      </c>
      <c r="C13" t="str">
        <v>7.4</v>
      </c>
      <c r="D13" t="str">
        <v>4.60</v>
      </c>
      <c r="E13" t="str">
        <v>-31.18</v>
      </c>
      <c r="F13" t="str">
        <v>88.30</v>
      </c>
      <c r="G13" t="str">
        <v>2022/03</v>
      </c>
      <c r="H13" t="str">
        <v>19.38</v>
      </c>
      <c r="I13" t="str">
        <v>61.88</v>
      </c>
      <c r="J13" t="str">
        <v>2022/06</v>
      </c>
      <c r="K13" t="str">
        <f t="array" ref="K13:T13">[1]!'4402.TW-OperatingProfitRatio,Price,PriceChangeRatio,InOutRatioNumber,Value,YearReturn,MonthReturn,WeekReturn,FinanceBalanceDif,ChipsField2'</f>
        <v>-2.10</v>
      </c>
      <c r="L13">
        <v>16.149999999999999</v>
      </c>
      <c r="M13">
        <v>-2.12</v>
      </c>
      <c r="N13" t="str">
        <v>25.64%</v>
      </c>
      <c r="O13" t="str">
        <v>2127萬</v>
      </c>
      <c r="P13" t="str">
        <v>+122.76</v>
      </c>
      <c r="Q13" t="str">
        <v>+41.67</v>
      </c>
      <c r="R13" t="str">
        <v>+0.62</v>
      </c>
      <c r="S13">
        <v>0</v>
      </c>
      <c r="T13">
        <v>0</v>
      </c>
      <c r="U13">
        <f t="array" ref="U13:AD13">[1]!'4402.TW-ChipsField3,ChipsField1,ChipsField25,CashAndStockDividend,CashDividendYieldRate,ProfitFourSeason,ProfitSingle,CName,ExchangeIndustry,CompanyPos'</f>
        <v>0</v>
      </c>
      <c r="V13">
        <v>103</v>
      </c>
      <c r="W13" t="str">
        <v>--</v>
      </c>
      <c r="X13" t="str">
        <v>0.00</v>
      </c>
      <c r="Y13">
        <v>0</v>
      </c>
      <c r="Z13" t="str">
        <v>-0.90</v>
      </c>
      <c r="AA13" t="str">
        <v>-0.20</v>
      </c>
      <c r="AB13" t="str">
        <v>福大</v>
      </c>
      <c r="AC13" t="str">
        <v>上櫃紡織纖維</v>
      </c>
      <c r="AD13" t="str">
        <v>經營紡織及太陽能電站業務</v>
      </c>
      <c r="AE13" t="str">
        <f t="array" ref="AE13:AH13">[1]!'4402.TW-CName,InvestorConferenceDate,DateofMeetingofShareHolders,TradingDate'</f>
        <v>福大</v>
      </c>
      <c r="AF13" t="str">
        <v>--</v>
      </c>
      <c r="AG13" t="str">
        <v>2022/06/21</v>
      </c>
      <c r="AH13" t="str">
        <v>2022/08/01</v>
      </c>
    </row>
    <row r="14" spans="1:34" x14ac:dyDescent="0.3">
      <c r="A14" t="str">
        <f t="array" ref="A14:J14">[1]!'4406.TW-ID,Name,MarketValue,Capital,NetIncomeGrowthRate,OperIncomeGrowthRate,FinancialStatementsTime,TFXRatio,MonthlyNetSalesYoY,RevenueMonth'</f>
        <v>4406</v>
      </c>
      <c r="B14" t="str">
        <v>新昕纖</v>
      </c>
      <c r="C14" t="str">
        <v>5.6</v>
      </c>
      <c r="D14" t="str">
        <v>5.19</v>
      </c>
      <c r="E14" t="str">
        <v>36.40</v>
      </c>
      <c r="F14" t="str">
        <v>-116.72</v>
      </c>
      <c r="G14" t="str">
        <v>2022/03</v>
      </c>
      <c r="H14" t="str">
        <v>10.34</v>
      </c>
      <c r="I14" t="str">
        <v>30.95</v>
      </c>
      <c r="J14" t="str">
        <v>2022/06</v>
      </c>
      <c r="K14" t="str">
        <f t="array" ref="K14:T14">[1]!'4406.TW-OperatingProfitRatio,Price,PriceChangeRatio,InOutRatioNumber,Value,YearReturn,MonthReturn,WeekReturn,FinanceBalanceDif,ChipsField2'</f>
        <v>-0.90</v>
      </c>
      <c r="L14">
        <v>10.7</v>
      </c>
      <c r="M14">
        <v>1.9</v>
      </c>
      <c r="N14" t="str">
        <v>70.77%</v>
      </c>
      <c r="O14" t="str">
        <v>70.3萬</v>
      </c>
      <c r="P14" t="str">
        <v>-2.28</v>
      </c>
      <c r="Q14" t="str">
        <v>+8.08</v>
      </c>
      <c r="R14" t="str">
        <v>+6.47</v>
      </c>
      <c r="S14">
        <v>7</v>
      </c>
      <c r="T14">
        <v>0</v>
      </c>
      <c r="U14">
        <f t="array" ref="U14:AD14">[1]!'4406.TW-ChipsField3,ChipsField1,ChipsField25,CashAndStockDividend,CashDividendYieldRate,ProfitFourSeason,ProfitSingle,CName,ExchangeIndustry,CompanyPos'</f>
        <v>0</v>
      </c>
      <c r="V14">
        <v>-4</v>
      </c>
      <c r="W14" t="str">
        <v>--</v>
      </c>
      <c r="X14" t="str">
        <v>0.00</v>
      </c>
      <c r="Y14">
        <v>0</v>
      </c>
      <c r="Z14" t="str">
        <v>0.37</v>
      </c>
      <c r="AA14" t="str">
        <v>0.14</v>
      </c>
      <c r="AB14" t="str">
        <v>新昕纖</v>
      </c>
      <c r="AC14" t="str">
        <v>上櫃紡織纖維</v>
      </c>
      <c r="AD14" t="str">
        <v>為特殊規格加工絲的中小型假撚廠</v>
      </c>
      <c r="AE14" t="str">
        <f t="array" ref="AE14:AH14">[1]!'4406.TW-CName,InvestorConferenceDate,DateofMeetingofShareHolders,TradingDate'</f>
        <v>新昕纖</v>
      </c>
      <c r="AF14" t="str">
        <v>--</v>
      </c>
      <c r="AG14" t="str">
        <v>2022/06/28</v>
      </c>
      <c r="AH14" t="str">
        <v>2022/08/01</v>
      </c>
    </row>
    <row r="15" spans="1:34" x14ac:dyDescent="0.3">
      <c r="A15" t="str">
        <f t="array" ref="A15:J15">[1]!'4413.TW-ID,Name,MarketValue,Capital,NetIncomeGrowthRate,OperIncomeGrowthRate,FinancialStatementsTime,TFXRatio,MonthlyNetSalesYoY,RevenueMonth'</f>
        <v>4413</v>
      </c>
      <c r="B15" t="str">
        <v>飛寶企業</v>
      </c>
      <c r="C15" t="str">
        <v>6.1</v>
      </c>
      <c r="D15" t="str">
        <v>3.13</v>
      </c>
      <c r="E15" t="str">
        <v>54.52</v>
      </c>
      <c r="F15" t="str">
        <v>51.48</v>
      </c>
      <c r="G15" t="str">
        <v>2022/03</v>
      </c>
      <c r="H15" t="str">
        <v>82.50</v>
      </c>
      <c r="I15" t="str">
        <v>206.26</v>
      </c>
      <c r="J15" t="str">
        <v>2022/06</v>
      </c>
      <c r="K15" t="str">
        <f t="array" ref="K15:T15">[1]!'4413.TW-OperatingProfitRatio,Price,PriceChangeRatio,InOutRatioNumber,Value,YearReturn,MonthReturn,WeekReturn,FinanceBalanceDif,ChipsField2'</f>
        <v>5.72</v>
      </c>
      <c r="L15">
        <v>19.5</v>
      </c>
      <c r="M15">
        <v>5.69</v>
      </c>
      <c r="N15" t="str">
        <v>76.29%</v>
      </c>
      <c r="O15" t="str">
        <v>188萬</v>
      </c>
      <c r="P15" t="str">
        <v>+51.16</v>
      </c>
      <c r="Q15" t="str">
        <v>+31.31</v>
      </c>
      <c r="R15" t="str">
        <v>+10.48</v>
      </c>
      <c r="S15">
        <v>0</v>
      </c>
      <c r="T15">
        <v>0</v>
      </c>
      <c r="U15">
        <f t="array" ref="U15:AD15">[1]!'4413.TW-ChipsField3,ChipsField1,ChipsField25,CashAndStockDividend,CashDividendYieldRate,ProfitFourSeason,ProfitSingle,CName,ExchangeIndustry,CompanyPos'</f>
        <v>0</v>
      </c>
      <c r="V15">
        <v>0</v>
      </c>
      <c r="W15" t="str">
        <v>--</v>
      </c>
      <c r="X15" t="str">
        <v>0.00</v>
      </c>
      <c r="Y15">
        <v>0</v>
      </c>
      <c r="Z15" t="str">
        <v>0.38</v>
      </c>
      <c r="AA15" t="str">
        <v>0.51</v>
      </c>
      <c r="AB15" t="str">
        <v>飛寶企業</v>
      </c>
      <c r="AC15" t="str">
        <v>上櫃紡織纖維</v>
      </c>
      <c r="AD15" t="str">
        <v>主要經營長纖布業務</v>
      </c>
      <c r="AE15" t="str">
        <f t="array" ref="AE15:AH15">[1]!'4413.TW-CName,InvestorConferenceDate,DateofMeetingofShareHolders,TradingDate'</f>
        <v>飛寶企業</v>
      </c>
      <c r="AF15" t="str">
        <v>2022/03/14</v>
      </c>
      <c r="AG15" t="str">
        <v>2022/05/31</v>
      </c>
      <c r="AH15" t="str">
        <v>2022/08/01</v>
      </c>
    </row>
    <row r="16" spans="1:34" x14ac:dyDescent="0.3">
      <c r="A16" t="str">
        <f t="array" ref="A16:J16">[1]!'4417.TW-ID,Name,MarketValue,Capital,NetIncomeGrowthRate,OperIncomeGrowthRate,FinancialStatementsTime,TFXRatio,MonthlyNetSalesYoY,RevenueMonth'</f>
        <v>4417</v>
      </c>
      <c r="B16" t="str">
        <v>金洲</v>
      </c>
      <c r="C16" t="str">
        <v>27.8</v>
      </c>
      <c r="D16" t="str">
        <v>8.40</v>
      </c>
      <c r="E16" t="str">
        <v>-61.26</v>
      </c>
      <c r="F16" t="str">
        <v>-46.77</v>
      </c>
      <c r="G16" t="str">
        <v>2022/03</v>
      </c>
      <c r="H16" t="str">
        <v>-19.29</v>
      </c>
      <c r="I16" t="str">
        <v>26.33</v>
      </c>
      <c r="J16" t="str">
        <v>2022/06</v>
      </c>
      <c r="K16" t="str">
        <f t="array" ref="K16:T16">[1]!'4417.TW-OperatingProfitRatio,Price,PriceChangeRatio,InOutRatioNumber,Value,YearReturn,MonthReturn,WeekReturn,FinanceBalanceDif,ChipsField2'</f>
        <v>10.96</v>
      </c>
      <c r="L16">
        <v>33.15</v>
      </c>
      <c r="M16">
        <v>0.45</v>
      </c>
      <c r="N16" t="str">
        <v>43.24%</v>
      </c>
      <c r="O16" t="str">
        <v>123萬</v>
      </c>
      <c r="P16" t="str">
        <v>+0.33</v>
      </c>
      <c r="Q16" t="str">
        <v>+4.82</v>
      </c>
      <c r="R16" t="str">
        <v>+2.39</v>
      </c>
      <c r="S16">
        <v>-1</v>
      </c>
      <c r="T16">
        <v>0</v>
      </c>
      <c r="U16">
        <f t="array" ref="U16:AD16">[1]!'4417.TW-ChipsField3,ChipsField1,ChipsField25,CashAndStockDividend,CashDividendYieldRate,ProfitFourSeason,ProfitSingle,CName,ExchangeIndustry,CompanyPos'</f>
        <v>0</v>
      </c>
      <c r="V16">
        <v>-2</v>
      </c>
      <c r="W16" t="str">
        <v>2022/07/28</v>
      </c>
      <c r="X16" t="str">
        <v>2.10</v>
      </c>
      <c r="Y16">
        <v>6.33</v>
      </c>
      <c r="Z16" t="str">
        <v>2.42</v>
      </c>
      <c r="AA16" t="str">
        <v>0.42</v>
      </c>
      <c r="AB16" t="str">
        <v>金洲</v>
      </c>
      <c r="AC16" t="str">
        <v>上櫃紡織纖維</v>
      </c>
      <c r="AD16" t="str">
        <v>全球第一大漁網生產商</v>
      </c>
      <c r="AE16" t="str">
        <f t="array" ref="AE16:AH16">[1]!'4417.TW-CName,InvestorConferenceDate,DateofMeetingofShareHolders,TradingDate'</f>
        <v>金洲</v>
      </c>
      <c r="AF16" t="str">
        <v>--</v>
      </c>
      <c r="AG16" t="str">
        <v>2022/06/14</v>
      </c>
      <c r="AH16" t="str">
        <v>2022/08/01</v>
      </c>
    </row>
    <row r="17" spans="1:34" x14ac:dyDescent="0.3">
      <c r="A17" t="str">
        <f t="array" ref="A17:J17">[1]!'4419.TW-ID,Name,MarketValue,Capital,NetIncomeGrowthRate,OperIncomeGrowthRate,FinancialStatementsTime,TFXRatio,MonthlyNetSalesYoY,RevenueMonth'</f>
        <v>4419</v>
      </c>
      <c r="B17" t="str">
        <v>元勝</v>
      </c>
      <c r="C17" t="str">
        <v>4.5</v>
      </c>
      <c r="D17" t="str">
        <v>4.66</v>
      </c>
      <c r="E17" t="str">
        <v>179.83</v>
      </c>
      <c r="F17" t="str">
        <v>222.00</v>
      </c>
      <c r="G17" t="str">
        <v>2022/03</v>
      </c>
      <c r="H17" t="str">
        <v>-19.01</v>
      </c>
      <c r="I17" t="str">
        <v>78.67</v>
      </c>
      <c r="J17" t="str">
        <v>2022/06</v>
      </c>
      <c r="K17" t="str">
        <f t="array" ref="K17:T17">[1]!'4419.TW-OperatingProfitRatio,Price,PriceChangeRatio,InOutRatioNumber,Value,YearReturn,MonthReturn,WeekReturn,FinanceBalanceDif,ChipsField2'</f>
        <v>5.22</v>
      </c>
      <c r="L17">
        <v>9.59</v>
      </c>
      <c r="M17">
        <v>-3.71</v>
      </c>
      <c r="N17" t="str">
        <v>84.21%</v>
      </c>
      <c r="O17" t="str">
        <v>17.5萬</v>
      </c>
      <c r="P17" t="str">
        <v>-4.00</v>
      </c>
      <c r="Q17" t="str">
        <v>+4.24</v>
      </c>
      <c r="R17" t="str">
        <v>+3.68</v>
      </c>
      <c r="S17">
        <v>0</v>
      </c>
      <c r="T17">
        <v>0</v>
      </c>
      <c r="U17">
        <f t="array" ref="U17:AD17">[1]!'4419.TW-ChipsField3,ChipsField1,ChipsField25,CashAndStockDividend,CashDividendYieldRate,ProfitFourSeason,ProfitSingle,CName,ExchangeIndustry,CompanyPos'</f>
        <v>0</v>
      </c>
      <c r="V17">
        <v>0</v>
      </c>
      <c r="W17" t="str">
        <v>--</v>
      </c>
      <c r="X17" t="str">
        <v>0.00</v>
      </c>
      <c r="Y17">
        <v>0</v>
      </c>
      <c r="Z17" t="str">
        <v>-0.50</v>
      </c>
      <c r="AA17" t="str">
        <v>0.02</v>
      </c>
      <c r="AB17" t="str">
        <v>元勝</v>
      </c>
      <c r="AC17" t="str">
        <v>上櫃紡織纖維</v>
      </c>
      <c r="AD17" t="str">
        <v>氣撚加工絲廠並跨入資訊安全領域</v>
      </c>
      <c r="AE17" t="str">
        <f t="array" ref="AE17:AH17">[1]!'4419.TW-CName,InvestorConferenceDate,DateofMeetingofShareHolders,TradingDate'</f>
        <v>元勝</v>
      </c>
      <c r="AF17" t="str">
        <v>--</v>
      </c>
      <c r="AG17" t="str">
        <v>2022/06/21</v>
      </c>
      <c r="AH17" t="str">
        <v>2022/08/01</v>
      </c>
    </row>
    <row r="18" spans="1:34" x14ac:dyDescent="0.3">
      <c r="A18" t="str">
        <f t="array" ref="A18:J18">[1]!'4420.TW-ID,Name,MarketValue,Capital,NetIncomeGrowthRate,OperIncomeGrowthRate,FinancialStatementsTime,TFXRatio,MonthlyNetSalesYoY,RevenueMonth'</f>
        <v>4420</v>
      </c>
      <c r="B18" t="str">
        <v>光明</v>
      </c>
      <c r="C18" t="str">
        <v>12.4</v>
      </c>
      <c r="D18" t="str">
        <v>4.05</v>
      </c>
      <c r="E18" t="str">
        <v>-32.88</v>
      </c>
      <c r="F18" t="str">
        <v>-23.76</v>
      </c>
      <c r="G18" t="str">
        <v>2022/03</v>
      </c>
      <c r="H18" t="str">
        <v>-5.49</v>
      </c>
      <c r="I18" t="str">
        <v>-1.60</v>
      </c>
      <c r="J18" t="str">
        <v>2022/06</v>
      </c>
      <c r="K18" t="str">
        <f t="array" ref="K18:T18">[1]!'4420.TW-OperatingProfitRatio,Price,PriceChangeRatio,InOutRatioNumber,Value,YearReturn,MonthReturn,WeekReturn,FinanceBalanceDif,ChipsField2'</f>
        <v>6.82</v>
      </c>
      <c r="L18">
        <v>30.6</v>
      </c>
      <c r="M18">
        <v>1.49</v>
      </c>
      <c r="N18" t="str">
        <v>100.00%</v>
      </c>
      <c r="O18" t="str">
        <v>3.06萬</v>
      </c>
      <c r="P18" t="str">
        <v>+12.87</v>
      </c>
      <c r="Q18" t="str">
        <v>+0.99</v>
      </c>
      <c r="R18" t="str">
        <v>+1.66</v>
      </c>
      <c r="S18">
        <v>-1</v>
      </c>
      <c r="T18">
        <v>0</v>
      </c>
      <c r="U18">
        <f t="array" ref="U18:AD18">[1]!'4420.TW-ChipsField3,ChipsField1,ChipsField25,CashAndStockDividend,CashDividendYieldRate,ProfitFourSeason,ProfitSingle,CName,ExchangeIndustry,CompanyPos'</f>
        <v>0</v>
      </c>
      <c r="V18">
        <v>0</v>
      </c>
      <c r="W18" t="str">
        <v>2022/04/21</v>
      </c>
      <c r="X18" t="str">
        <v>2.00</v>
      </c>
      <c r="Y18">
        <v>6.54</v>
      </c>
      <c r="Z18" t="str">
        <v>1.81</v>
      </c>
      <c r="AA18" t="str">
        <v>0.47</v>
      </c>
      <c r="AB18" t="str">
        <v>光明</v>
      </c>
      <c r="AC18" t="str">
        <v>上櫃紡織纖維</v>
      </c>
      <c r="AD18" t="str">
        <v>經營功能性加工絲與環保訴求加工絲為主</v>
      </c>
      <c r="AE18" t="str">
        <f t="array" ref="AE18:AH18">[1]!'4420.TW-CName,InvestorConferenceDate,DateofMeetingofShareHolders,TradingDate'</f>
        <v>光明</v>
      </c>
      <c r="AF18" t="str">
        <v>--</v>
      </c>
      <c r="AG18" t="str">
        <v>2022/06/23</v>
      </c>
      <c r="AH18" t="str">
        <v>2022/08/01</v>
      </c>
    </row>
    <row r="19" spans="1:34" x14ac:dyDescent="0.3">
      <c r="A19" t="str">
        <f t="array" ref="A19:J19">[1]!'4432.TW-ID,Name,MarketValue,Capital,NetIncomeGrowthRate,OperIncomeGrowthRate,FinancialStatementsTime,TFXRatio,MonthlyNetSalesYoY,RevenueMonth'</f>
        <v>4432</v>
      </c>
      <c r="B19" t="str">
        <v>銘旺實</v>
      </c>
      <c r="C19" t="str">
        <v>15.6</v>
      </c>
      <c r="D19" t="str">
        <v>5.06</v>
      </c>
      <c r="E19" t="str">
        <v>200.29</v>
      </c>
      <c r="F19" t="str">
        <v>150.10</v>
      </c>
      <c r="G19" t="str">
        <v>2022/03</v>
      </c>
      <c r="H19" t="str">
        <v>47.43</v>
      </c>
      <c r="I19" t="str">
        <v>176.59</v>
      </c>
      <c r="J19" t="str">
        <v>2022/06</v>
      </c>
      <c r="K19" t="str">
        <f t="array" ref="K19:T19">[1]!'4432.TW-OperatingProfitRatio,Price,PriceChangeRatio,InOutRatioNumber,Value,YearReturn,MonthReturn,WeekReturn,FinanceBalanceDif,ChipsField2'</f>
        <v>3.95</v>
      </c>
      <c r="L19">
        <v>30.8</v>
      </c>
      <c r="M19">
        <v>10</v>
      </c>
      <c r="N19" t="str">
        <v>64.71%</v>
      </c>
      <c r="O19" t="str">
        <v>2.10億</v>
      </c>
      <c r="P19" t="str">
        <v>+108.11</v>
      </c>
      <c r="Q19" t="str">
        <v>+104.65</v>
      </c>
      <c r="R19" t="str">
        <v>+20.55</v>
      </c>
      <c r="S19">
        <v>393</v>
      </c>
      <c r="T19">
        <v>0</v>
      </c>
      <c r="U19">
        <f t="array" ref="U19:AD19">[1]!'4432.TW-ChipsField3,ChipsField1,ChipsField25,CashAndStockDividend,CashDividendYieldRate,ProfitFourSeason,ProfitSingle,CName,ExchangeIndustry,CompanyPos'</f>
        <v>0</v>
      </c>
      <c r="V19">
        <v>150</v>
      </c>
      <c r="W19" t="str">
        <v>--</v>
      </c>
      <c r="X19" t="str">
        <v>0.00</v>
      </c>
      <c r="Y19">
        <v>0</v>
      </c>
      <c r="Z19" t="str">
        <v>-0.81</v>
      </c>
      <c r="AA19" t="str">
        <v>0.62</v>
      </c>
      <c r="AB19" t="str">
        <v>銘旺實</v>
      </c>
      <c r="AC19" t="str">
        <v>上櫃紡織纖維</v>
      </c>
      <c r="AD19" t="str">
        <v>主要客戶為Adidas、Reebok等運動服大廠</v>
      </c>
      <c r="AE19" t="str">
        <f t="array" ref="AE19:AH19">[1]!'4432.TW-CName,InvestorConferenceDate,DateofMeetingofShareHolders,TradingDate'</f>
        <v>銘旺實</v>
      </c>
      <c r="AF19" t="str">
        <v>--</v>
      </c>
      <c r="AG19" t="str">
        <v>2022/06/14</v>
      </c>
      <c r="AH19" t="str">
        <v>2022/08/01</v>
      </c>
    </row>
    <row r="20" spans="1:34" x14ac:dyDescent="0.3">
      <c r="A20" t="str">
        <f t="array" ref="A20:J20">[1]!'4433.TW-ID,Name,MarketValue,Capital,NetIncomeGrowthRate,OperIncomeGrowthRate,FinancialStatementsTime,TFXRatio,MonthlyNetSalesYoY,RevenueMonth'</f>
        <v>4433</v>
      </c>
      <c r="B20" t="str">
        <v>興采</v>
      </c>
      <c r="C20" t="str">
        <v>16.8</v>
      </c>
      <c r="D20" t="str">
        <v>6.12</v>
      </c>
      <c r="E20" t="str">
        <v>253.99</v>
      </c>
      <c r="F20" t="str">
        <v>376.25</v>
      </c>
      <c r="G20" t="str">
        <v>2022/03</v>
      </c>
      <c r="H20" t="str">
        <v>-20.12</v>
      </c>
      <c r="I20" t="str">
        <v>-24.58</v>
      </c>
      <c r="J20" t="str">
        <v>2022/06</v>
      </c>
      <c r="K20" t="str">
        <f t="array" ref="K20:T20">[1]!'4433.TW-OperatingProfitRatio,Price,PriceChangeRatio,InOutRatioNumber,Value,YearReturn,MonthReturn,WeekReturn,FinanceBalanceDif,ChipsField2'</f>
        <v>6.42</v>
      </c>
      <c r="L20">
        <v>27.5</v>
      </c>
      <c r="M20">
        <v>0.73</v>
      </c>
      <c r="N20" t="str">
        <v>36.71%</v>
      </c>
      <c r="O20" t="str">
        <v>219萬</v>
      </c>
      <c r="P20" t="str">
        <v>-19.07</v>
      </c>
      <c r="Q20" t="str">
        <v>+0.63</v>
      </c>
      <c r="R20" t="str">
        <v>+4.56</v>
      </c>
      <c r="S20">
        <v>-5</v>
      </c>
      <c r="T20">
        <v>0</v>
      </c>
      <c r="U20">
        <f t="array" ref="U20:AD20">[1]!'4433.TW-ChipsField3,ChipsField1,ChipsField25,CashAndStockDividend,CashDividendYieldRate,ProfitFourSeason,ProfitSingle,CName,ExchangeIndustry,CompanyPos'</f>
        <v>0</v>
      </c>
      <c r="V20">
        <v>-11</v>
      </c>
      <c r="W20" t="str">
        <v>2022/07/12</v>
      </c>
      <c r="X20" t="str">
        <v>0.77</v>
      </c>
      <c r="Y20">
        <v>2.8</v>
      </c>
      <c r="Z20" t="str">
        <v>2.18</v>
      </c>
      <c r="AA20" t="str">
        <v>1.07</v>
      </c>
      <c r="AB20" t="str">
        <v>興采</v>
      </c>
      <c r="AC20" t="str">
        <v>上櫃紡織纖維</v>
      </c>
      <c r="AD20" t="str">
        <v>首創環保咖啡紗的功能性布料領導商</v>
      </c>
      <c r="AE20" t="str">
        <f t="array" ref="AE20:AH20">[1]!'4433.TW-CName,InvestorConferenceDate,DateofMeetingofShareHolders,TradingDate'</f>
        <v>興采</v>
      </c>
      <c r="AF20" t="str">
        <v>2021/04/08</v>
      </c>
      <c r="AG20" t="str">
        <v>2022/05/27</v>
      </c>
      <c r="AH20" t="str">
        <v>2022/08/01</v>
      </c>
    </row>
    <row r="21" spans="1:34" x14ac:dyDescent="0.3">
      <c r="A21" t="str">
        <f t="array" ref="A21:J21">[1]!'6506.TW-ID,Name,MarketValue,Capital,NetIncomeGrowthRate,OperIncomeGrowthRate,FinancialStatementsTime,TFXRatio,MonthlyNetSalesYoY,RevenueMonth'</f>
        <v>6506</v>
      </c>
      <c r="B21" t="str">
        <v>雙邦</v>
      </c>
      <c r="C21" t="str">
        <v>15.2</v>
      </c>
      <c r="D21" t="str">
        <v>8.24</v>
      </c>
      <c r="E21" t="str">
        <v>412.17</v>
      </c>
      <c r="F21" t="str">
        <v>-27.33</v>
      </c>
      <c r="G21" t="str">
        <v>2022/03</v>
      </c>
      <c r="H21" t="str">
        <v>-26.13</v>
      </c>
      <c r="I21" t="str">
        <v>-2.28</v>
      </c>
      <c r="J21" t="str">
        <v>2022/06</v>
      </c>
      <c r="K21" t="str">
        <f t="array" ref="K21:T21">[1]!'6506.TW-OperatingProfitRatio,Price,PriceChangeRatio,InOutRatioNumber,Value,YearReturn,MonthReturn,WeekReturn,FinanceBalanceDif,ChipsField2'</f>
        <v>4.37</v>
      </c>
      <c r="L21">
        <v>18.45</v>
      </c>
      <c r="M21">
        <v>1.37</v>
      </c>
      <c r="N21" t="str">
        <v>66.67%</v>
      </c>
      <c r="O21" t="str">
        <v>89.9萬</v>
      </c>
      <c r="P21" t="str">
        <v>+22.36</v>
      </c>
      <c r="Q21" t="str">
        <v>+1.65</v>
      </c>
      <c r="R21" t="str">
        <v>+2.50</v>
      </c>
      <c r="S21">
        <v>5</v>
      </c>
      <c r="T21">
        <v>0</v>
      </c>
      <c r="U21">
        <f t="array" ref="U21:AD21">[1]!'6506.TW-ChipsField3,ChipsField1,ChipsField25,CashAndStockDividend,CashDividendYieldRate,ProfitFourSeason,ProfitSingle,CName,ExchangeIndustry,CompanyPos'</f>
        <v>0</v>
      </c>
      <c r="V21">
        <v>-1</v>
      </c>
      <c r="W21" t="str">
        <v>2022/06/30</v>
      </c>
      <c r="X21" t="str">
        <v>2.00</v>
      </c>
      <c r="Y21">
        <v>10.84</v>
      </c>
      <c r="Z21" t="str">
        <v>2.90</v>
      </c>
      <c r="AA21" t="str">
        <v>2.54</v>
      </c>
      <c r="AB21" t="str">
        <v>雙邦</v>
      </c>
      <c r="AC21" t="str">
        <v>上櫃紡織纖維</v>
      </c>
      <c r="AD21" t="str">
        <v>塗佈貼合加工及特用化學原料供應商</v>
      </c>
      <c r="AE21" t="str">
        <f t="array" ref="AE21:AH21">[1]!'6506.TW-CName,InvestorConferenceDate,DateofMeetingofShareHolders,TradingDate'</f>
        <v>雙邦</v>
      </c>
      <c r="AF21" t="str">
        <v>--</v>
      </c>
      <c r="AG21" t="str">
        <v>2022/06/09</v>
      </c>
      <c r="AH21" t="str">
        <v>2022/08/01</v>
      </c>
    </row>
    <row r="22" spans="1:34" x14ac:dyDescent="0.3">
      <c r="A22" t="str">
        <f t="array" ref="A22:J22">[1]!'1570.TW-ID,Name,MarketValue,Capital,NetIncomeGrowthRate,OperIncomeGrowthRate,FinancialStatementsTime,TFXRatio,MonthlyNetSalesYoY,RevenueMonth'</f>
        <v>1570</v>
      </c>
      <c r="B22" t="str">
        <v>力肯</v>
      </c>
      <c r="C22" t="str">
        <v>8.5</v>
      </c>
      <c r="D22" t="str">
        <v>5.15</v>
      </c>
      <c r="E22" t="str">
        <v>67.74</v>
      </c>
      <c r="F22" t="str">
        <v>28.02</v>
      </c>
      <c r="G22" t="str">
        <v>2022/03</v>
      </c>
      <c r="H22" t="str">
        <v>-25.68</v>
      </c>
      <c r="I22" t="str">
        <v>-0.85</v>
      </c>
      <c r="J22" t="str">
        <v>2022/06</v>
      </c>
      <c r="K22" t="str">
        <f t="array" ref="K22:T22">[1]!'1570.TW-OperatingProfitRatio,Price,PriceChangeRatio,InOutRatioNumber,Value,YearReturn,MonthReturn,WeekReturn,FinanceBalanceDif,ChipsField2'</f>
        <v>16.40</v>
      </c>
      <c r="L22">
        <v>16.600000000000001</v>
      </c>
      <c r="M22">
        <v>2.4700000000000002</v>
      </c>
      <c r="N22" t="str">
        <v>83.52%</v>
      </c>
      <c r="O22" t="str">
        <v>149萬</v>
      </c>
      <c r="P22" t="str">
        <v>+14.14</v>
      </c>
      <c r="Q22" t="str">
        <v>+4.40</v>
      </c>
      <c r="R22" t="str">
        <v>+3.43</v>
      </c>
      <c r="S22">
        <v>-2</v>
      </c>
      <c r="T22">
        <v>0</v>
      </c>
      <c r="U22">
        <f t="array" ref="U22:AD22">[1]!'1570.TW-ChipsField3,ChipsField1,ChipsField25,CashAndStockDividend,CashDividendYieldRate,ProfitFourSeason,ProfitSingle,CName,ExchangeIndustry,CompanyPos'</f>
        <v>0</v>
      </c>
      <c r="V22">
        <v>8</v>
      </c>
      <c r="W22" t="str">
        <v>2022/06/30</v>
      </c>
      <c r="X22" t="str">
        <v>1.00</v>
      </c>
      <c r="Y22">
        <v>6.02</v>
      </c>
      <c r="Z22" t="str">
        <v>2.83</v>
      </c>
      <c r="AA22" t="str">
        <v>0.54</v>
      </c>
      <c r="AB22" t="str">
        <v>力肯</v>
      </c>
      <c r="AC22" t="str">
        <v>上櫃電機機械</v>
      </c>
      <c r="AD22" t="str">
        <v>台灣氣動釘槍製造廠商</v>
      </c>
      <c r="AE22" t="str">
        <f t="array" ref="AE22:AH22">[1]!'1570.TW-CName,InvestorConferenceDate,DateofMeetingofShareHolders,TradingDate'</f>
        <v>力肯</v>
      </c>
      <c r="AF22" t="str">
        <v>--</v>
      </c>
      <c r="AG22" t="str">
        <v>2022/06/14</v>
      </c>
      <c r="AH22" t="str">
        <v>2022/08/01</v>
      </c>
    </row>
    <row r="23" spans="1:34" x14ac:dyDescent="0.3">
      <c r="A23" t="str">
        <f t="array" ref="A23:J23">[1]!'1580.TW-ID,Name,MarketValue,Capital,NetIncomeGrowthRate,OperIncomeGrowthRate,FinancialStatementsTime,TFXRatio,MonthlyNetSalesYoY,RevenueMonth'</f>
        <v>1580</v>
      </c>
      <c r="B23" t="str">
        <v>新麥</v>
      </c>
      <c r="C23" t="str">
        <v>46.0</v>
      </c>
      <c r="D23" t="str">
        <v>5.02</v>
      </c>
      <c r="E23" t="str">
        <v>-23.06</v>
      </c>
      <c r="F23" t="str">
        <v>-28.77</v>
      </c>
      <c r="G23" t="str">
        <v>2022/03</v>
      </c>
      <c r="H23" t="str">
        <v>-0.77</v>
      </c>
      <c r="I23" t="str">
        <v>-0.42</v>
      </c>
      <c r="J23" t="str">
        <v>2022/06</v>
      </c>
      <c r="K23" t="str">
        <f t="array" ref="K23:T23">[1]!'1580.TW-OperatingProfitRatio,Price,PriceChangeRatio,InOutRatioNumber,Value,YearReturn,MonthReturn,WeekReturn,FinanceBalanceDif,ChipsField2'</f>
        <v>9.96</v>
      </c>
      <c r="L23">
        <v>91.5</v>
      </c>
      <c r="M23">
        <v>-0.11</v>
      </c>
      <c r="N23" t="str">
        <v>46.55%</v>
      </c>
      <c r="O23" t="str">
        <v>619萬</v>
      </c>
      <c r="P23" t="str">
        <v>-4.94</v>
      </c>
      <c r="Q23" t="str">
        <v>+1.89</v>
      </c>
      <c r="R23" t="str">
        <v>-0.33</v>
      </c>
      <c r="S23">
        <v>0</v>
      </c>
      <c r="T23">
        <v>0</v>
      </c>
      <c r="U23">
        <f t="array" ref="U23:AD23">[1]!'1580.TW-ChipsField3,ChipsField1,ChipsField25,CashAndStockDividend,CashDividendYieldRate,ProfitFourSeason,ProfitSingle,CName,ExchangeIndustry,CompanyPos'</f>
        <v>0</v>
      </c>
      <c r="V23">
        <v>-9</v>
      </c>
      <c r="W23" t="str">
        <v>2022/06/27</v>
      </c>
      <c r="X23" t="str">
        <v>7.00</v>
      </c>
      <c r="Y23">
        <v>7.65</v>
      </c>
      <c r="Z23" t="str">
        <v>9.83</v>
      </c>
      <c r="AA23" t="str">
        <v>1.15</v>
      </c>
      <c r="AB23" t="str">
        <v>新麥</v>
      </c>
      <c r="AC23" t="str">
        <v>上櫃電機機械</v>
      </c>
      <c r="AD23" t="str">
        <v>全球前6大烘焙設備商</v>
      </c>
      <c r="AE23" t="str">
        <f t="array" ref="AE23:AH23">[1]!'1580.TW-CName,InvestorConferenceDate,DateofMeetingofShareHolders,TradingDate'</f>
        <v>新麥</v>
      </c>
      <c r="AF23" t="str">
        <v>2021/09/14</v>
      </c>
      <c r="AG23" t="str">
        <v>2022/05/31</v>
      </c>
      <c r="AH23" t="str">
        <v>2022/08/01</v>
      </c>
    </row>
    <row r="24" spans="1:34" x14ac:dyDescent="0.3">
      <c r="A24" t="str">
        <f t="array" ref="A24:J24">[1]!'1586.TW-ID,Name,MarketValue,Capital,NetIncomeGrowthRate,OperIncomeGrowthRate,FinancialStatementsTime,TFXRatio,MonthlyNetSalesYoY,RevenueMonth'</f>
        <v>1586</v>
      </c>
      <c r="B24" t="str">
        <v>和勤</v>
      </c>
      <c r="C24" t="str">
        <v>32.6</v>
      </c>
      <c r="D24" t="str">
        <v>8.58</v>
      </c>
      <c r="E24" t="str">
        <v>-32.97</v>
      </c>
      <c r="F24" t="str">
        <v>-62.80</v>
      </c>
      <c r="G24" t="str">
        <v>2022/03</v>
      </c>
      <c r="H24" t="str">
        <v>54.33</v>
      </c>
      <c r="I24" t="str">
        <v>12.64</v>
      </c>
      <c r="J24" t="str">
        <v>2022/06</v>
      </c>
      <c r="K24" t="str">
        <f t="array" ref="K24:T24">[1]!'1586.TW-OperatingProfitRatio,Price,PriceChangeRatio,InOutRatioNumber,Value,YearReturn,MonthReturn,WeekReturn,FinanceBalanceDif,ChipsField2'</f>
        <v>3.15</v>
      </c>
      <c r="L24">
        <v>38</v>
      </c>
      <c r="M24">
        <v>0</v>
      </c>
      <c r="N24" t="str">
        <v>51.02%</v>
      </c>
      <c r="O24" t="str">
        <v>216萬</v>
      </c>
      <c r="P24" t="str">
        <v>-7.15</v>
      </c>
      <c r="Q24" t="str">
        <v>+0.26</v>
      </c>
      <c r="R24" t="str">
        <v>0.00</v>
      </c>
      <c r="S24">
        <v>-72</v>
      </c>
      <c r="T24">
        <v>0</v>
      </c>
      <c r="U24">
        <f t="array" ref="U24:AD24">[1]!'1586.TW-ChipsField3,ChipsField1,ChipsField25,CashAndStockDividend,CashDividendYieldRate,ProfitFourSeason,ProfitSingle,CName,ExchangeIndustry,CompanyPos'</f>
        <v>0</v>
      </c>
      <c r="V24">
        <v>7</v>
      </c>
      <c r="W24" t="str">
        <v>--</v>
      </c>
      <c r="X24" t="str">
        <v>0.65</v>
      </c>
      <c r="Y24">
        <v>1.71</v>
      </c>
      <c r="Z24" t="str">
        <v>1.15</v>
      </c>
      <c r="AA24" t="str">
        <v>0.32</v>
      </c>
      <c r="AB24" t="str">
        <v>和勤</v>
      </c>
      <c r="AC24" t="str">
        <v>上櫃電機機械</v>
      </c>
      <c r="AD24" t="str">
        <v>台灣汽車及硬碟零件雙核心精沖技術大廠</v>
      </c>
      <c r="AE24" t="str">
        <f t="array" ref="AE24:AH24">[1]!'1586.TW-CName,InvestorConferenceDate,DateofMeetingofShareHolders,TradingDate'</f>
        <v>和勤</v>
      </c>
      <c r="AF24" t="str">
        <v>2022/04/19</v>
      </c>
      <c r="AG24" t="str">
        <v>2022/05/27</v>
      </c>
      <c r="AH24" t="str">
        <v>2022/08/01</v>
      </c>
    </row>
    <row r="25" spans="1:34" x14ac:dyDescent="0.3">
      <c r="A25" t="str">
        <f t="array" ref="A25:J25">[1]!'1591.TW-ID,Name,MarketValue,Capital,NetIncomeGrowthRate,OperIncomeGrowthRate,FinancialStatementsTime,TFXRatio,MonthlyNetSalesYoY,RevenueMonth'</f>
        <v>1591</v>
      </c>
      <c r="B25" t="str">
        <v>駿吉-KY</v>
      </c>
      <c r="C25" t="str">
        <v>6.1</v>
      </c>
      <c r="D25" t="str">
        <v>3.32</v>
      </c>
      <c r="E25" t="str">
        <v>61.97</v>
      </c>
      <c r="F25" t="str">
        <v>69.75</v>
      </c>
      <c r="G25" t="str">
        <v>2022/03</v>
      </c>
      <c r="H25" t="str">
        <v>-10.50</v>
      </c>
      <c r="I25" t="str">
        <v>7.93</v>
      </c>
      <c r="J25" t="str">
        <v>2022/06</v>
      </c>
      <c r="K25" t="str">
        <f t="array" ref="K25:T25">[1]!'1591.TW-OperatingProfitRatio,Price,PriceChangeRatio,InOutRatioNumber,Value,YearReturn,MonthReturn,WeekReturn,FinanceBalanceDif,ChipsField2'</f>
        <v>19.13</v>
      </c>
      <c r="L25">
        <v>18.5</v>
      </c>
      <c r="M25">
        <v>2.78</v>
      </c>
      <c r="N25" t="str">
        <v>60.27%</v>
      </c>
      <c r="O25" t="str">
        <v>407萬</v>
      </c>
      <c r="P25" t="str">
        <v>+15.63</v>
      </c>
      <c r="Q25" t="str">
        <v>-0.54</v>
      </c>
      <c r="R25" t="str">
        <v>+1.09</v>
      </c>
      <c r="S25">
        <v>22</v>
      </c>
      <c r="T25">
        <v>0</v>
      </c>
      <c r="U25">
        <f t="array" ref="U25:AD25">[1]!'1591.TW-ChipsField3,ChipsField1,ChipsField25,CashAndStockDividend,CashDividendYieldRate,ProfitFourSeason,ProfitSingle,CName,ExchangeIndustry,CompanyPos'</f>
        <v>0</v>
      </c>
      <c r="V25">
        <v>45</v>
      </c>
      <c r="W25" t="str">
        <v>--</v>
      </c>
      <c r="X25" t="str">
        <v>1.00</v>
      </c>
      <c r="Y25">
        <v>5.41</v>
      </c>
      <c r="Z25" t="str">
        <v>1.83</v>
      </c>
      <c r="AA25" t="str">
        <v>0.80</v>
      </c>
      <c r="AB25" t="str">
        <v>駿吉-KY</v>
      </c>
      <c r="AC25" t="str">
        <v>上櫃電機機械</v>
      </c>
      <c r="AD25" t="str">
        <v>東南亞最大氣動式工業用槍釘供應商</v>
      </c>
      <c r="AE25" t="str">
        <f t="array" ref="AE25:AH25">[1]!'1591.TW-CName,InvestorConferenceDate,DateofMeetingofShareHolders,TradingDate'</f>
        <v>駿吉-KY</v>
      </c>
      <c r="AF25" t="str">
        <v>2021/12/16</v>
      </c>
      <c r="AG25" t="str">
        <v>2022/06/24</v>
      </c>
      <c r="AH25" t="str">
        <v>2022/08/01</v>
      </c>
    </row>
    <row r="26" spans="1:34" x14ac:dyDescent="0.3">
      <c r="A26" t="str">
        <f t="array" ref="A26:J26">[1]!'1599.TW-ID,Name,MarketValue,Capital,NetIncomeGrowthRate,OperIncomeGrowthRate,FinancialStatementsTime,TFXRatio,MonthlyNetSalesYoY,RevenueMonth'</f>
        <v>1599</v>
      </c>
      <c r="B26" t="str">
        <v>宏佳騰</v>
      </c>
      <c r="C26" t="str">
        <v>33.6</v>
      </c>
      <c r="D26" t="str">
        <v>7.45</v>
      </c>
      <c r="E26" t="str">
        <v>-7.41</v>
      </c>
      <c r="F26" t="str">
        <v>-11.63</v>
      </c>
      <c r="G26" t="str">
        <v>2022/03</v>
      </c>
      <c r="H26" t="str">
        <v>12.18</v>
      </c>
      <c r="I26" t="str">
        <v>17.69</v>
      </c>
      <c r="J26" t="str">
        <v>2022/06</v>
      </c>
      <c r="K26" t="str">
        <f t="array" ref="K26:T26">[1]!'1599.TW-OperatingProfitRatio,Price,PriceChangeRatio,InOutRatioNumber,Value,YearReturn,MonthReturn,WeekReturn,FinanceBalanceDif,ChipsField2'</f>
        <v>9.10</v>
      </c>
      <c r="L26">
        <v>45.1</v>
      </c>
      <c r="M26">
        <v>-0.66</v>
      </c>
      <c r="N26" t="str">
        <v>18.31%</v>
      </c>
      <c r="O26" t="str">
        <v>320萬</v>
      </c>
      <c r="P26" t="str">
        <v>+13.74</v>
      </c>
      <c r="Q26" t="str">
        <v>+8.15</v>
      </c>
      <c r="R26" t="str">
        <v>+0.22</v>
      </c>
      <c r="S26">
        <v>5</v>
      </c>
      <c r="T26">
        <v>0</v>
      </c>
      <c r="U26">
        <f t="array" ref="U26:AD26">[1]!'1599.TW-ChipsField3,ChipsField1,ChipsField25,CashAndStockDividend,CashDividendYieldRate,ProfitFourSeason,ProfitSingle,CName,ExchangeIndustry,CompanyPos'</f>
        <v>0</v>
      </c>
      <c r="V26">
        <v>-11</v>
      </c>
      <c r="W26" t="str">
        <v>--</v>
      </c>
      <c r="X26" t="str">
        <v>3.00</v>
      </c>
      <c r="Y26">
        <v>6.65</v>
      </c>
      <c r="Z26" t="str">
        <v>4.70</v>
      </c>
      <c r="AA26" t="str">
        <v>1.02</v>
      </c>
      <c r="AB26" t="str">
        <v>宏佳騰</v>
      </c>
      <c r="AC26" t="str">
        <v>上櫃電機機械</v>
      </c>
      <c r="AD26" t="str">
        <v>以自有品牌「AEON」沙灘車起家並跨入機車領域的業者</v>
      </c>
      <c r="AE26" t="str">
        <f t="array" ref="AE26:AH26">[1]!'1599.TW-CName,InvestorConferenceDate,DateofMeetingofShareHolders,TradingDate'</f>
        <v>宏佳騰</v>
      </c>
      <c r="AF26" t="str">
        <v>--</v>
      </c>
      <c r="AG26" t="str">
        <v>2022/06/27</v>
      </c>
      <c r="AH26" t="str">
        <v>2022/08/01</v>
      </c>
    </row>
    <row r="27" spans="1:34" x14ac:dyDescent="0.3">
      <c r="A27" t="str">
        <f t="array" ref="A27:J27">[1]!'2066.TW-ID,Name,MarketValue,Capital,NetIncomeGrowthRate,OperIncomeGrowthRate,FinancialStatementsTime,TFXRatio,MonthlyNetSalesYoY,RevenueMonth'</f>
        <v>2066</v>
      </c>
      <c r="B27" t="str">
        <v>世德</v>
      </c>
      <c r="C27" t="str">
        <v>24.3</v>
      </c>
      <c r="D27" t="str">
        <v>3.65</v>
      </c>
      <c r="E27" t="str">
        <v>120.70</v>
      </c>
      <c r="F27" t="str">
        <v>29.82</v>
      </c>
      <c r="G27" t="str">
        <v>2022/03</v>
      </c>
      <c r="H27" t="str">
        <v>-4.72</v>
      </c>
      <c r="I27" t="str">
        <v>23.07</v>
      </c>
      <c r="J27" t="str">
        <v>2022/06</v>
      </c>
      <c r="K27" t="str">
        <f t="array" ref="K27:T27">[1]!'2066.TW-OperatingProfitRatio,Price,PriceChangeRatio,InOutRatioNumber,Value,YearReturn,MonthReturn,WeekReturn,FinanceBalanceDif,ChipsField2'</f>
        <v>7.71</v>
      </c>
      <c r="L27">
        <v>66.5</v>
      </c>
      <c r="M27">
        <v>1.06</v>
      </c>
      <c r="N27" t="str">
        <v>74.19%</v>
      </c>
      <c r="O27" t="str">
        <v>205萬</v>
      </c>
      <c r="P27" t="str">
        <v>+29.21</v>
      </c>
      <c r="Q27" t="str">
        <v>+6.57</v>
      </c>
      <c r="R27" t="str">
        <v>+1.84</v>
      </c>
      <c r="S27">
        <v>1</v>
      </c>
      <c r="T27">
        <v>0</v>
      </c>
      <c r="U27">
        <f t="array" ref="U27:AD27">[1]!'2066.TW-ChipsField3,ChipsField1,ChipsField25,CashAndStockDividend,CashDividendYieldRate,ProfitFourSeason,ProfitSingle,CName,ExchangeIndustry,CompanyPos'</f>
        <v>2</v>
      </c>
      <c r="V27">
        <v>-1</v>
      </c>
      <c r="W27" t="str">
        <v>2022/08/24</v>
      </c>
      <c r="X27" t="str">
        <v>2.00</v>
      </c>
      <c r="Y27">
        <v>3.01</v>
      </c>
      <c r="Z27" t="str">
        <v>4.93</v>
      </c>
      <c r="AA27" t="str">
        <v>1.58</v>
      </c>
      <c r="AB27" t="str">
        <v>世德</v>
      </c>
      <c r="AC27" t="str">
        <v>上櫃電機機械</v>
      </c>
      <c r="AD27" t="str">
        <v>全球汽車大廠之第一階扣件及金屬零件供應商</v>
      </c>
      <c r="AE27" t="str">
        <f t="array" ref="AE27:AH27">[1]!'2066.TW-CName,InvestorConferenceDate,DateofMeetingofShareHolders,TradingDate'</f>
        <v>世德</v>
      </c>
      <c r="AF27" t="str">
        <v>--</v>
      </c>
      <c r="AG27" t="str">
        <v>2022/06/24</v>
      </c>
      <c r="AH27" t="str">
        <v>2022/08/01</v>
      </c>
    </row>
    <row r="28" spans="1:34" x14ac:dyDescent="0.3">
      <c r="A28" t="str">
        <f t="array" ref="A28:J28">[1]!'2067.TW-ID,Name,MarketValue,Capital,NetIncomeGrowthRate,OperIncomeGrowthRate,FinancialStatementsTime,TFXRatio,MonthlyNetSalesYoY,RevenueMonth'</f>
        <v>2067</v>
      </c>
      <c r="B28" t="str">
        <v>嘉鋼</v>
      </c>
      <c r="C28" t="str">
        <v>5.9</v>
      </c>
      <c r="D28" t="str">
        <v>4.51</v>
      </c>
      <c r="E28" t="str">
        <v>-633.00</v>
      </c>
      <c r="F28" t="str">
        <v>-316.11</v>
      </c>
      <c r="G28" t="str">
        <v>2022/03</v>
      </c>
      <c r="H28" t="str">
        <v>-17.48</v>
      </c>
      <c r="I28" t="str">
        <v>24.48</v>
      </c>
      <c r="J28" t="str">
        <v>2022/06</v>
      </c>
      <c r="K28" t="str">
        <f t="array" ref="K28:T28">[1]!'2067.TW-OperatingProfitRatio,Price,PriceChangeRatio,InOutRatioNumber,Value,YearReturn,MonthReturn,WeekReturn,FinanceBalanceDif,ChipsField2'</f>
        <v>-6.31</v>
      </c>
      <c r="L28">
        <v>13</v>
      </c>
      <c r="M28">
        <v>-1.89</v>
      </c>
      <c r="N28" t="str">
        <v>0.00%</v>
      </c>
      <c r="O28" t="str">
        <v>10.4萬</v>
      </c>
      <c r="P28" t="str">
        <v>0.00</v>
      </c>
      <c r="Q28" t="str">
        <v>+1.17</v>
      </c>
      <c r="R28" t="str">
        <v>-2.62</v>
      </c>
      <c r="S28">
        <v>0</v>
      </c>
      <c r="T28">
        <v>0</v>
      </c>
      <c r="U28">
        <f t="array" ref="U28:AD28">[1]!'2067.TW-ChipsField3,ChipsField1,ChipsField25,CashAndStockDividend,CashDividendYieldRate,ProfitFourSeason,ProfitSingle,CName,ExchangeIndustry,CompanyPos'</f>
        <v>0</v>
      </c>
      <c r="V28">
        <v>0</v>
      </c>
      <c r="W28" t="str">
        <v>--</v>
      </c>
      <c r="X28" t="str">
        <v>0.00</v>
      </c>
      <c r="Y28">
        <v>0</v>
      </c>
      <c r="Z28" t="str">
        <v>-0.50</v>
      </c>
      <c r="AA28" t="str">
        <v>-0.21</v>
      </c>
      <c r="AB28" t="str">
        <v>嘉鋼</v>
      </c>
      <c r="AC28" t="str">
        <v>上櫃電機機械</v>
      </c>
      <c r="AD28" t="str">
        <v>台灣小型鑄件廠</v>
      </c>
      <c r="AE28" t="str">
        <f t="array" ref="AE28:AH28">[1]!'2067.TW-CName,InvestorConferenceDate,DateofMeetingofShareHolders,TradingDate'</f>
        <v>嘉鋼</v>
      </c>
      <c r="AF28" t="str">
        <v>--</v>
      </c>
      <c r="AG28" t="str">
        <v>2022/06/28</v>
      </c>
      <c r="AH28" t="str">
        <v>2022/08/01</v>
      </c>
    </row>
    <row r="29" spans="1:34" x14ac:dyDescent="0.3">
      <c r="A29" t="str">
        <f t="array" ref="A29:J29">[1]!'2070.TW-ID,Name,MarketValue,Capital,NetIncomeGrowthRate,OperIncomeGrowthRate,FinancialStatementsTime,TFXRatio,MonthlyNetSalesYoY,RevenueMonth'</f>
        <v>2070</v>
      </c>
      <c r="B29" t="str">
        <v>精湛</v>
      </c>
      <c r="C29" t="str">
        <v>12.4</v>
      </c>
      <c r="D29" t="str">
        <v>3.58</v>
      </c>
      <c r="E29" t="str">
        <v>170.36</v>
      </c>
      <c r="F29" t="str">
        <v>-101.16</v>
      </c>
      <c r="G29" t="str">
        <v>2022/03</v>
      </c>
      <c r="H29" t="str">
        <v>125.12</v>
      </c>
      <c r="I29" t="str">
        <v>82.27</v>
      </c>
      <c r="J29" t="str">
        <v>2022/06</v>
      </c>
      <c r="K29" t="str">
        <f t="array" ref="K29:T29">[1]!'2070.TW-OperatingProfitRatio,Price,PriceChangeRatio,InOutRatioNumber,Value,YearReturn,MonthReturn,WeekReturn,FinanceBalanceDif,ChipsField2'</f>
        <v>-0.17</v>
      </c>
      <c r="L29">
        <v>34.6</v>
      </c>
      <c r="M29">
        <v>1.32</v>
      </c>
      <c r="N29" t="str">
        <v>83.87%</v>
      </c>
      <c r="O29" t="str">
        <v>107萬</v>
      </c>
      <c r="P29" t="str">
        <v>+35.25</v>
      </c>
      <c r="Q29" t="str">
        <v>+16.69</v>
      </c>
      <c r="R29" t="str">
        <v>-0.43</v>
      </c>
      <c r="S29">
        <v>-1</v>
      </c>
      <c r="T29">
        <v>0</v>
      </c>
      <c r="U29">
        <f t="array" ref="U29:AD29">[1]!'2070.TW-ChipsField3,ChipsField1,ChipsField25,CashAndStockDividend,CashDividendYieldRate,ProfitFourSeason,ProfitSingle,CName,ExchangeIndustry,CompanyPos'</f>
        <v>0</v>
      </c>
      <c r="V29">
        <v>1</v>
      </c>
      <c r="W29" t="str">
        <v>2022/04/07</v>
      </c>
      <c r="X29" t="str">
        <v>1.50</v>
      </c>
      <c r="Y29">
        <v>4.34</v>
      </c>
      <c r="Z29" t="str">
        <v>3.19</v>
      </c>
      <c r="AA29" t="str">
        <v>0.84</v>
      </c>
      <c r="AB29" t="str">
        <v>精湛</v>
      </c>
      <c r="AC29" t="str">
        <v>上櫃電機機械</v>
      </c>
      <c r="AD29" t="str">
        <v>台灣緊固件篩選設備大廠</v>
      </c>
      <c r="AE29" t="str">
        <f t="array" ref="AE29:AH29">[1]!'2070.TW-CName,InvestorConferenceDate,DateofMeetingofShareHolders,TradingDate'</f>
        <v>精湛</v>
      </c>
      <c r="AF29" t="str">
        <v>--</v>
      </c>
      <c r="AG29" t="str">
        <v>2022/06/09</v>
      </c>
      <c r="AH29" t="str">
        <v>2022/08/01</v>
      </c>
    </row>
    <row r="30" spans="1:34" x14ac:dyDescent="0.3">
      <c r="A30" t="str">
        <f t="array" ref="A30:J30">[1]!'2230.TW-ID,Name,MarketValue,Capital,NetIncomeGrowthRate,OperIncomeGrowthRate,FinancialStatementsTime,TFXRatio,MonthlyNetSalesYoY,RevenueMonth'</f>
        <v>2230</v>
      </c>
      <c r="B30" t="str">
        <v>泰茂</v>
      </c>
      <c r="C30" t="str">
        <v>7.7</v>
      </c>
      <c r="D30" t="str">
        <v>3.99</v>
      </c>
      <c r="E30" t="str">
        <v>71.09</v>
      </c>
      <c r="F30" t="str">
        <v>-366.41</v>
      </c>
      <c r="G30" t="str">
        <v>2022/03</v>
      </c>
      <c r="H30" t="str">
        <v>28.60</v>
      </c>
      <c r="I30" t="str">
        <v>-24.50</v>
      </c>
      <c r="J30" t="str">
        <v>2022/06</v>
      </c>
      <c r="K30" t="str">
        <f t="array" ref="K30:T30">[1]!'2230.TW-OperatingProfitRatio,Price,PriceChangeRatio,InOutRatioNumber,Value,YearReturn,MonthReturn,WeekReturn,FinanceBalanceDif,ChipsField2'</f>
        <v>-3.04</v>
      </c>
      <c r="L30">
        <v>19.2</v>
      </c>
      <c r="M30">
        <v>-0.26</v>
      </c>
      <c r="N30" t="str">
        <v>32.35%</v>
      </c>
      <c r="O30" t="str">
        <v>65.3萬</v>
      </c>
      <c r="P30" t="str">
        <v>+16.87</v>
      </c>
      <c r="Q30" t="str">
        <v>-2.54</v>
      </c>
      <c r="R30" t="str">
        <v>+1.05</v>
      </c>
      <c r="S30">
        <v>31</v>
      </c>
      <c r="T30">
        <v>0</v>
      </c>
      <c r="U30">
        <f t="array" ref="U30:AD30">[1]!'2230.TW-ChipsField3,ChipsField1,ChipsField25,CashAndStockDividend,CashDividendYieldRate,ProfitFourSeason,ProfitSingle,CName,ExchangeIndustry,CompanyPos'</f>
        <v>0</v>
      </c>
      <c r="V30">
        <v>-37</v>
      </c>
      <c r="W30" t="str">
        <v>--</v>
      </c>
      <c r="X30" t="str">
        <v>0.00</v>
      </c>
      <c r="Y30">
        <v>0</v>
      </c>
      <c r="Z30" t="str">
        <v>-0.03</v>
      </c>
      <c r="AA30" t="str">
        <v>0.02</v>
      </c>
      <c r="AB30" t="str">
        <v>泰茂</v>
      </c>
      <c r="AC30" t="str">
        <v>上櫃電機機械</v>
      </c>
      <c r="AD30" t="str">
        <v>台灣第一大活塞環廠商</v>
      </c>
      <c r="AE30" t="str">
        <f t="array" ref="AE30:AH30">[1]!'2230.TW-CName,InvestorConferenceDate,DateofMeetingofShareHolders,TradingDate'</f>
        <v>泰茂</v>
      </c>
      <c r="AF30" t="str">
        <v>--</v>
      </c>
      <c r="AG30" t="str">
        <v>2022/06/27</v>
      </c>
      <c r="AH30" t="str">
        <v>2022/08/01</v>
      </c>
    </row>
    <row r="31" spans="1:34" x14ac:dyDescent="0.3">
      <c r="A31" t="str">
        <f t="array" ref="A31:J31">[1]!'2235.TW-ID,Name,MarketValue,Capital,NetIncomeGrowthRate,OperIncomeGrowthRate,FinancialStatementsTime,TFXRatio,MonthlyNetSalesYoY,RevenueMonth'</f>
        <v>2235</v>
      </c>
      <c r="B31" t="str">
        <v>謚源</v>
      </c>
      <c r="C31" t="str">
        <v>14.5</v>
      </c>
      <c r="D31" t="str">
        <v>3.59</v>
      </c>
      <c r="E31" t="str">
        <v>304.82</v>
      </c>
      <c r="F31" t="str">
        <v>124.66</v>
      </c>
      <c r="G31" t="str">
        <v>2022/03</v>
      </c>
      <c r="H31" t="str">
        <v>37.49</v>
      </c>
      <c r="I31" t="str">
        <v>6.56</v>
      </c>
      <c r="J31" t="str">
        <v>2022/06</v>
      </c>
      <c r="K31" t="str">
        <f t="array" ref="K31:T31">[1]!'2235.TW-OperatingProfitRatio,Price,PriceChangeRatio,InOutRatioNumber,Value,YearReturn,MonthReturn,WeekReturn,FinanceBalanceDif,ChipsField2'</f>
        <v>14.73</v>
      </c>
      <c r="L31">
        <v>40.5</v>
      </c>
      <c r="M31">
        <v>0</v>
      </c>
      <c r="N31" t="str">
        <v>42.86%</v>
      </c>
      <c r="O31" t="str">
        <v>28.5萬</v>
      </c>
      <c r="P31" t="str">
        <v>+2.25</v>
      </c>
      <c r="Q31" t="str">
        <v>+7.83</v>
      </c>
      <c r="R31" t="str">
        <v>+3.58</v>
      </c>
      <c r="S31">
        <v>1</v>
      </c>
      <c r="T31">
        <v>0</v>
      </c>
      <c r="U31">
        <f t="array" ref="U31:AD31">[1]!'2235.TW-ChipsField3,ChipsField1,ChipsField25,CashAndStockDividend,CashDividendYieldRate,ProfitFourSeason,ProfitSingle,CName,ExchangeIndustry,CompanyPos'</f>
        <v>0</v>
      </c>
      <c r="V31">
        <v>0</v>
      </c>
      <c r="W31" t="str">
        <v>2022/07/26</v>
      </c>
      <c r="X31" t="str">
        <v>1.50</v>
      </c>
      <c r="Y31">
        <v>3.7</v>
      </c>
      <c r="Z31" t="str">
        <v>2.40</v>
      </c>
      <c r="AA31" t="str">
        <v>1.29</v>
      </c>
      <c r="AB31" t="str">
        <v>謚源</v>
      </c>
      <c r="AC31" t="str">
        <v>上櫃電機機械</v>
      </c>
      <c r="AD31" t="str">
        <v>為車用水箱風扇製造商，堤維西為其最大股東</v>
      </c>
      <c r="AE31" t="str">
        <f t="array" ref="AE31:AH31">[1]!'2235.TW-CName,InvestorConferenceDate,DateofMeetingofShareHolders,TradingDate'</f>
        <v>謚源</v>
      </c>
      <c r="AF31" t="str">
        <v>--</v>
      </c>
      <c r="AG31" t="str">
        <v>2022/06/16</v>
      </c>
      <c r="AH31" t="str">
        <v>2022/08/01</v>
      </c>
    </row>
    <row r="32" spans="1:34" x14ac:dyDescent="0.3">
      <c r="A32" t="str">
        <f t="array" ref="A32:J32">[1]!'3162.TW-ID,Name,MarketValue,Capital,NetIncomeGrowthRate,OperIncomeGrowthRate,FinancialStatementsTime,TFXRatio,MonthlyNetSalesYoY,RevenueMonth'</f>
        <v>3162</v>
      </c>
      <c r="B32" t="str">
        <v>精確</v>
      </c>
      <c r="C32" t="str">
        <v>50.1</v>
      </c>
      <c r="D32" t="str">
        <v>10.95</v>
      </c>
      <c r="E32" t="str">
        <v>-242.07</v>
      </c>
      <c r="F32" t="str">
        <v>-220.06</v>
      </c>
      <c r="G32" t="str">
        <v>2022/03</v>
      </c>
      <c r="H32" t="str">
        <v>71.49</v>
      </c>
      <c r="I32" t="str">
        <v>33.07</v>
      </c>
      <c r="J32" t="str">
        <v>2022/06</v>
      </c>
      <c r="K32" t="str">
        <f t="array" ref="K32:T32">[1]!'3162.TW-OperatingProfitRatio,Price,PriceChangeRatio,InOutRatioNumber,Value,YearReturn,MonthReturn,WeekReturn,FinanceBalanceDif,ChipsField2'</f>
        <v>-8.25</v>
      </c>
      <c r="L32">
        <v>45.7</v>
      </c>
      <c r="M32">
        <v>-1.72</v>
      </c>
      <c r="N32" t="str">
        <v>26.67%</v>
      </c>
      <c r="O32" t="str">
        <v>1863萬</v>
      </c>
      <c r="P32" t="str">
        <v>-13.45</v>
      </c>
      <c r="Q32" t="str">
        <v>+14.82</v>
      </c>
      <c r="R32" t="str">
        <v>+2.93</v>
      </c>
      <c r="S32">
        <v>36</v>
      </c>
      <c r="T32">
        <v>0</v>
      </c>
      <c r="U32">
        <f t="array" ref="U32:AD32">[1]!'3162.TW-ChipsField3,ChipsField1,ChipsField25,CashAndStockDividend,CashDividendYieldRate,ProfitFourSeason,ProfitSingle,CName,ExchangeIndustry,CompanyPos'</f>
        <v>-18</v>
      </c>
      <c r="V32">
        <v>16</v>
      </c>
      <c r="W32" t="str">
        <v>--</v>
      </c>
      <c r="X32" t="str">
        <v>0.00</v>
      </c>
      <c r="Y32">
        <v>0</v>
      </c>
      <c r="Z32" t="str">
        <v>0.27</v>
      </c>
      <c r="AA32" t="str">
        <v>-0.31</v>
      </c>
      <c r="AB32" t="str">
        <v>精確</v>
      </c>
      <c r="AC32" t="str">
        <v>上櫃電機機械</v>
      </c>
      <c r="AD32" t="str">
        <v>敏實集團旗下的車用鋁壓鑄零件供應商</v>
      </c>
      <c r="AE32" t="str">
        <f t="array" ref="AE32:AH32">[1]!'3162.TW-CName,InvestorConferenceDate,DateofMeetingofShareHolders,TradingDate'</f>
        <v>精確</v>
      </c>
      <c r="AF32" t="str">
        <v>2021/09/22</v>
      </c>
      <c r="AG32" t="str">
        <v>2022/06/29</v>
      </c>
      <c r="AH32" t="str">
        <v>2022/08/01</v>
      </c>
    </row>
    <row r="33" spans="1:34" x14ac:dyDescent="0.3">
      <c r="A33" t="str">
        <f t="array" ref="A33:J33">[1]!'3178.TW-ID,Name,MarketValue,Capital,NetIncomeGrowthRate,OperIncomeGrowthRate,FinancialStatementsTime,TFXRatio,MonthlyNetSalesYoY,RevenueMonth'</f>
        <v>3178</v>
      </c>
      <c r="B33" t="str">
        <v>公準</v>
      </c>
      <c r="C33" t="str">
        <v>27.6</v>
      </c>
      <c r="D33" t="str">
        <v>4.51</v>
      </c>
      <c r="E33" t="str">
        <v>162.38</v>
      </c>
      <c r="F33" t="str">
        <v>186.80</v>
      </c>
      <c r="G33" t="str">
        <v>2022/03</v>
      </c>
      <c r="H33" t="str">
        <v>33.59</v>
      </c>
      <c r="I33" t="str">
        <v>2.52</v>
      </c>
      <c r="J33" t="str">
        <v>2022/06</v>
      </c>
      <c r="K33" t="str">
        <f t="array" ref="K33:T33">[1]!'3178.TW-OperatingProfitRatio,Price,PriceChangeRatio,InOutRatioNumber,Value,YearReturn,MonthReturn,WeekReturn,FinanceBalanceDif,ChipsField2'</f>
        <v>13.66</v>
      </c>
      <c r="L33">
        <v>61.3</v>
      </c>
      <c r="M33">
        <v>0</v>
      </c>
      <c r="N33" t="str">
        <v>38.57%</v>
      </c>
      <c r="O33" t="str">
        <v>429萬</v>
      </c>
      <c r="P33" t="str">
        <v>-17.80</v>
      </c>
      <c r="Q33" t="str">
        <v>+14.58</v>
      </c>
      <c r="R33" t="str">
        <v>+1.66</v>
      </c>
      <c r="S33">
        <v>-9</v>
      </c>
      <c r="T33">
        <v>0</v>
      </c>
      <c r="U33">
        <f t="array" ref="U33:AD33">[1]!'3178.TW-ChipsField3,ChipsField1,ChipsField25,CashAndStockDividend,CashDividendYieldRate,ProfitFourSeason,ProfitSingle,CName,ExchangeIndustry,CompanyPos'</f>
        <v>0</v>
      </c>
      <c r="V33">
        <v>49</v>
      </c>
      <c r="W33" t="str">
        <v>2022/08/17</v>
      </c>
      <c r="X33" t="str">
        <v>1.00</v>
      </c>
      <c r="Y33">
        <v>1.63</v>
      </c>
      <c r="Z33" t="str">
        <v>2.70</v>
      </c>
      <c r="AA33" t="str">
        <v>1.11</v>
      </c>
      <c r="AB33" t="str">
        <v>公準</v>
      </c>
      <c r="AC33" t="str">
        <v>上櫃電機機械</v>
      </c>
      <c r="AD33" t="str">
        <v>台灣供應半導體產業工、模、夾治具之專業設計加工廠商</v>
      </c>
      <c r="AE33" t="str">
        <f t="array" ref="AE33:AH33">[1]!'3178.TW-CName,InvestorConferenceDate,DateofMeetingofShareHolders,TradingDate'</f>
        <v>公準</v>
      </c>
      <c r="AF33" t="str">
        <v>--</v>
      </c>
      <c r="AG33" t="str">
        <v>2022/06/15</v>
      </c>
      <c r="AH33" t="str">
        <v>2022/08/01</v>
      </c>
    </row>
    <row r="34" spans="1:34" x14ac:dyDescent="0.3">
      <c r="A34" t="str">
        <f t="array" ref="A34:J34">[1]!'3226.TW-ID,Name,MarketValue,Capital,NetIncomeGrowthRate,OperIncomeGrowthRate,FinancialStatementsTime,TFXRatio,MonthlyNetSalesYoY,RevenueMonth'</f>
        <v>3226</v>
      </c>
      <c r="B34" t="str">
        <v>至寶電</v>
      </c>
      <c r="C34" t="str">
        <v>40.6</v>
      </c>
      <c r="D34" t="str">
        <v>6.44</v>
      </c>
      <c r="E34" t="str">
        <v>12.26</v>
      </c>
      <c r="F34" t="str">
        <v>-28.21</v>
      </c>
      <c r="G34" t="str">
        <v>2022/03</v>
      </c>
      <c r="H34" t="str">
        <v>-10.53</v>
      </c>
      <c r="I34" t="str">
        <v>-16.17</v>
      </c>
      <c r="J34" t="str">
        <v>2022/06</v>
      </c>
      <c r="K34" t="str">
        <f t="array" ref="K34:T34">[1]!'3226.TW-OperatingProfitRatio,Price,PriceChangeRatio,InOutRatioNumber,Value,YearReturn,MonthReturn,WeekReturn,FinanceBalanceDif,ChipsField2'</f>
        <v>12.45</v>
      </c>
      <c r="L34">
        <v>63</v>
      </c>
      <c r="M34">
        <v>0.32</v>
      </c>
      <c r="N34" t="str">
        <v>100.00%</v>
      </c>
      <c r="O34" t="str">
        <v>6.30萬</v>
      </c>
      <c r="P34" t="str">
        <v>-1.75</v>
      </c>
      <c r="Q34" t="str">
        <v>+3.28</v>
      </c>
      <c r="R34" t="str">
        <v>+1.12</v>
      </c>
      <c r="S34">
        <v>0</v>
      </c>
      <c r="T34">
        <v>0</v>
      </c>
      <c r="U34">
        <f t="array" ref="U34:AD34">[1]!'3226.TW-ChipsField3,ChipsField1,ChipsField25,CashAndStockDividend,CashDividendYieldRate,ProfitFourSeason,ProfitSingle,CName,ExchangeIndustry,CompanyPos'</f>
        <v>0</v>
      </c>
      <c r="V34">
        <v>0</v>
      </c>
      <c r="W34" t="str">
        <v>--</v>
      </c>
      <c r="X34" t="str">
        <v>2.50</v>
      </c>
      <c r="Y34">
        <v>3.97</v>
      </c>
      <c r="Z34" t="str">
        <v>3.75</v>
      </c>
      <c r="AA34" t="str">
        <v>1.56</v>
      </c>
      <c r="AB34" t="str">
        <v>至寶電</v>
      </c>
      <c r="AC34" t="str">
        <v>上櫃電機機械</v>
      </c>
      <c r="AD34" t="str">
        <v>LED車燈模組製造商</v>
      </c>
      <c r="AE34" t="str">
        <f t="array" ref="AE34:AH34">[1]!'3226.TW-CName,InvestorConferenceDate,DateofMeetingofShareHolders,TradingDate'</f>
        <v>至寶電</v>
      </c>
      <c r="AF34" t="str">
        <v>--</v>
      </c>
      <c r="AG34" t="str">
        <v>2022/06/14</v>
      </c>
      <c r="AH34" t="str">
        <v>2022/08/01</v>
      </c>
    </row>
    <row r="35" spans="1:34" x14ac:dyDescent="0.3">
      <c r="A35" t="str">
        <f t="array" ref="A35:J35">[1]!'3379.TW-ID,Name,MarketValue,Capital,NetIncomeGrowthRate,OperIncomeGrowthRate,FinancialStatementsTime,TFXRatio,MonthlyNetSalesYoY,RevenueMonth'</f>
        <v>3379</v>
      </c>
      <c r="B35" t="str">
        <v>彬台</v>
      </c>
      <c r="C35" t="str">
        <v>4.5</v>
      </c>
      <c r="D35" t="str">
        <v>3.80</v>
      </c>
      <c r="E35" t="str">
        <v>-1382.11</v>
      </c>
      <c r="F35" t="str">
        <v>-1173.45</v>
      </c>
      <c r="G35" t="str">
        <v>2022/03</v>
      </c>
      <c r="H35" t="str">
        <v>477.64</v>
      </c>
      <c r="I35" t="str">
        <v>39.10</v>
      </c>
      <c r="J35" t="str">
        <v>2022/06</v>
      </c>
      <c r="K35" t="str">
        <f t="array" ref="K35:T35">[1]!'3379.TW-OperatingProfitRatio,Price,PriceChangeRatio,InOutRatioNumber,Value,YearReturn,MonthReturn,WeekReturn,FinanceBalanceDif,ChipsField2'</f>
        <v>-21.02</v>
      </c>
      <c r="L35">
        <v>11.9</v>
      </c>
      <c r="M35">
        <v>0.42</v>
      </c>
      <c r="N35" t="str">
        <v>55.79%</v>
      </c>
      <c r="O35" t="str">
        <v>114萬</v>
      </c>
      <c r="P35" t="str">
        <v>-7.40</v>
      </c>
      <c r="Q35" t="str">
        <v>+5.78</v>
      </c>
      <c r="R35" t="str">
        <v>+0.85</v>
      </c>
      <c r="S35">
        <v>2</v>
      </c>
      <c r="T35">
        <v>0</v>
      </c>
      <c r="U35">
        <f t="array" ref="U35:AD35">[1]!'3379.TW-ChipsField3,ChipsField1,ChipsField25,CashAndStockDividend,CashDividendYieldRate,ProfitFourSeason,ProfitSingle,CName,ExchangeIndustry,CompanyPos'</f>
        <v>0</v>
      </c>
      <c r="V35">
        <v>1</v>
      </c>
      <c r="W35" t="str">
        <v>--</v>
      </c>
      <c r="X35" t="str">
        <v>0.25</v>
      </c>
      <c r="Y35">
        <v>2.1</v>
      </c>
      <c r="Z35" t="str">
        <v>-0.15</v>
      </c>
      <c r="AA35" t="str">
        <v>-0.39</v>
      </c>
      <c r="AB35" t="str">
        <v>彬台</v>
      </c>
      <c r="AC35" t="str">
        <v>上櫃電機機械</v>
      </c>
      <c r="AD35" t="str">
        <v>台灣食品飲料機械設備供應大廠</v>
      </c>
      <c r="AE35" t="str">
        <f t="array" ref="AE35:AH35">[1]!'3379.TW-CName,InvestorConferenceDate,DateofMeetingofShareHolders,TradingDate'</f>
        <v>彬台</v>
      </c>
      <c r="AF35" t="str">
        <v>--</v>
      </c>
      <c r="AG35" t="str">
        <v>2022/06/27</v>
      </c>
      <c r="AH35" t="str">
        <v>2022/08/01</v>
      </c>
    </row>
    <row r="36" spans="1:34" x14ac:dyDescent="0.3">
      <c r="A36" t="str">
        <f t="array" ref="A36:J36">[1]!'3426.TW-ID,Name,MarketValue,Capital,NetIncomeGrowthRate,OperIncomeGrowthRate,FinancialStatementsTime,TFXRatio,MonthlyNetSalesYoY,RevenueMonth'</f>
        <v>3426</v>
      </c>
      <c r="B36" t="str">
        <v>台興</v>
      </c>
      <c r="C36" t="str">
        <v>9.8</v>
      </c>
      <c r="D36" t="str">
        <v>2.64</v>
      </c>
      <c r="E36" t="str">
        <v>35.58</v>
      </c>
      <c r="F36" t="str">
        <v>32.01</v>
      </c>
      <c r="G36" t="str">
        <v>2022/03</v>
      </c>
      <c r="H36" t="str">
        <v>-1.43</v>
      </c>
      <c r="I36" t="str">
        <v>6.32</v>
      </c>
      <c r="J36" t="str">
        <v>2022/06</v>
      </c>
      <c r="K36" t="str">
        <f t="array" ref="K36:T36">[1]!'3426.TW-OperatingProfitRatio,Price,PriceChangeRatio,InOutRatioNumber,Value,YearReturn,MonthReturn,WeekReturn,FinanceBalanceDif,ChipsField2'</f>
        <v>8.08</v>
      </c>
      <c r="L36" t="str">
        <v>--</v>
      </c>
      <c r="M36" t="str">
        <v>--</v>
      </c>
      <c r="N36" t="str">
        <v>--</v>
      </c>
      <c r="O36" t="str">
        <v>--</v>
      </c>
      <c r="P36" t="str">
        <v>+2.86</v>
      </c>
      <c r="Q36" t="str">
        <v>+2.69</v>
      </c>
      <c r="R36" t="str">
        <v>+0.95</v>
      </c>
      <c r="S36">
        <v>0</v>
      </c>
      <c r="T36">
        <v>-1</v>
      </c>
      <c r="U36">
        <f t="array" ref="U36:AD36">[1]!'3426.TW-ChipsField3,ChipsField1,ChipsField25,CashAndStockDividend,CashDividendYieldRate,ProfitFourSeason,ProfitSingle,CName,ExchangeIndustry,CompanyPos'</f>
        <v>0</v>
      </c>
      <c r="V36">
        <v>0</v>
      </c>
      <c r="W36" t="str">
        <v>2022/07/22</v>
      </c>
      <c r="X36" t="str">
        <v>2.00</v>
      </c>
      <c r="Y36">
        <v>5.38</v>
      </c>
      <c r="Z36" t="str">
        <v>2.61</v>
      </c>
      <c r="AA36" t="str">
        <v>0.49</v>
      </c>
      <c r="AB36" t="str">
        <v>台興</v>
      </c>
      <c r="AC36" t="str">
        <v>上櫃電機機械</v>
      </c>
      <c r="AD36" t="str">
        <v>台灣專業電磁閥製造商</v>
      </c>
      <c r="AE36" t="str">
        <f t="array" ref="AE36:AH36">[1]!'3426.TW-CName,InvestorConferenceDate,DateofMeetingofShareHolders,TradingDate'</f>
        <v>台興</v>
      </c>
      <c r="AF36" t="str">
        <v>--</v>
      </c>
      <c r="AG36" t="str">
        <v>2022/06/09</v>
      </c>
      <c r="AH36" t="str">
        <v>2022/08/01</v>
      </c>
    </row>
    <row r="37" spans="1:34" x14ac:dyDescent="0.3">
      <c r="A37" t="str">
        <f t="array" ref="A37:J37">[1]!'3685.TW-ID,Name,MarketValue,Capital,NetIncomeGrowthRate,OperIncomeGrowthRate,FinancialStatementsTime,TFXRatio,MonthlyNetSalesYoY,RevenueMonth'</f>
        <v>3685</v>
      </c>
      <c r="B37" t="str">
        <v>元創精密</v>
      </c>
      <c r="C37" t="str">
        <v>21.6</v>
      </c>
      <c r="D37" t="str">
        <v>7.96</v>
      </c>
      <c r="E37" t="str">
        <v>134.68</v>
      </c>
      <c r="F37" t="str">
        <v>66.77</v>
      </c>
      <c r="G37" t="str">
        <v>2022/03</v>
      </c>
      <c r="H37" t="str">
        <v>74.13</v>
      </c>
      <c r="I37" t="str">
        <v>82.28</v>
      </c>
      <c r="J37" t="str">
        <v>2022/06</v>
      </c>
      <c r="K37" t="str">
        <f t="array" ref="K37:T37">[1]!'3685.TW-OperatingProfitRatio,Price,PriceChangeRatio,InOutRatioNumber,Value,YearReturn,MonthReturn,WeekReturn,FinanceBalanceDif,ChipsField2'</f>
        <v>-0.80</v>
      </c>
      <c r="L37">
        <v>27.15</v>
      </c>
      <c r="M37">
        <v>0</v>
      </c>
      <c r="N37" t="str">
        <v>56.52%</v>
      </c>
      <c r="O37" t="str">
        <v>187萬</v>
      </c>
      <c r="P37" t="str">
        <v>+1.80</v>
      </c>
      <c r="Q37" t="str">
        <v>+16.77</v>
      </c>
      <c r="R37" t="str">
        <v>+1.69</v>
      </c>
      <c r="S37">
        <v>64</v>
      </c>
      <c r="T37">
        <v>0</v>
      </c>
      <c r="U37">
        <f t="array" ref="U37:AD37">[1]!'3685.TW-ChipsField3,ChipsField1,ChipsField25,CashAndStockDividend,CashDividendYieldRate,ProfitFourSeason,ProfitSingle,CName,ExchangeIndustry,CompanyPos'</f>
        <v>0</v>
      </c>
      <c r="V37">
        <v>14</v>
      </c>
      <c r="W37" t="str">
        <v>--</v>
      </c>
      <c r="X37" t="str">
        <v>0.00</v>
      </c>
      <c r="Y37">
        <v>0</v>
      </c>
      <c r="Z37" t="str">
        <v>0.14</v>
      </c>
      <c r="AA37" t="str">
        <v>0.01</v>
      </c>
      <c r="AB37" t="str">
        <v>元創精密</v>
      </c>
      <c r="AC37" t="str">
        <v>上櫃電機機械</v>
      </c>
      <c r="AD37" t="str">
        <v>車用導光板及沖焊零件供應商</v>
      </c>
      <c r="AE37" t="str">
        <f t="array" ref="AE37:AH37">[1]!'3685.TW-CName,InvestorConferenceDate,DateofMeetingofShareHolders,TradingDate'</f>
        <v>元創精密</v>
      </c>
      <c r="AF37" t="str">
        <v>--</v>
      </c>
      <c r="AG37" t="str">
        <v>2022/05/30</v>
      </c>
      <c r="AH37" t="str">
        <v>2022/08/01</v>
      </c>
    </row>
    <row r="38" spans="1:34" x14ac:dyDescent="0.3">
      <c r="A38" t="str">
        <f t="array" ref="A38:J38">[1]!'4502.TW-ID,Name,MarketValue,Capital,NetIncomeGrowthRate,OperIncomeGrowthRate,FinancialStatementsTime,TFXRatio,MonthlyNetSalesYoY,RevenueMonth'</f>
        <v>4502</v>
      </c>
      <c r="B38" t="str">
        <v>健信</v>
      </c>
      <c r="C38" t="str">
        <v>22.2</v>
      </c>
      <c r="D38" t="str">
        <v>5.81</v>
      </c>
      <c r="E38" t="str">
        <v>79.85</v>
      </c>
      <c r="F38" t="str">
        <v>91.37</v>
      </c>
      <c r="G38" t="str">
        <v>2022/03</v>
      </c>
      <c r="H38" t="str">
        <v>-14.46</v>
      </c>
      <c r="I38" t="str">
        <v>7.34</v>
      </c>
      <c r="J38" t="str">
        <v>2022/06</v>
      </c>
      <c r="K38" t="str">
        <f t="array" ref="K38:T38">[1]!'4502.TW-OperatingProfitRatio,Price,PriceChangeRatio,InOutRatioNumber,Value,YearReturn,MonthReturn,WeekReturn,FinanceBalanceDif,ChipsField2'</f>
        <v>-0.88</v>
      </c>
      <c r="L38">
        <v>38.200000000000003</v>
      </c>
      <c r="M38">
        <v>2.14</v>
      </c>
      <c r="N38" t="str">
        <v>68.75%</v>
      </c>
      <c r="O38" t="str">
        <v>60.6萬</v>
      </c>
      <c r="P38" t="str">
        <v>-2.80</v>
      </c>
      <c r="Q38" t="str">
        <v>+1.46</v>
      </c>
      <c r="R38" t="str">
        <v>+2.83</v>
      </c>
      <c r="S38">
        <v>-1</v>
      </c>
      <c r="T38">
        <v>0</v>
      </c>
      <c r="U38">
        <f t="array" ref="U38:AD38">[1]!'4502.TW-ChipsField3,ChipsField1,ChipsField25,CashAndStockDividend,CashDividendYieldRate,ProfitFourSeason,ProfitSingle,CName,ExchangeIndustry,CompanyPos'</f>
        <v>0</v>
      </c>
      <c r="V38">
        <v>1</v>
      </c>
      <c r="W38" t="str">
        <v>--</v>
      </c>
      <c r="X38" t="str">
        <v>0.00</v>
      </c>
      <c r="Y38">
        <v>0</v>
      </c>
      <c r="Z38" t="str">
        <v>-2.26</v>
      </c>
      <c r="AA38" t="str">
        <v>-0.12</v>
      </c>
      <c r="AB38" t="str">
        <v>健信</v>
      </c>
      <c r="AC38" t="str">
        <v>上櫃電機機械</v>
      </c>
      <c r="AD38" t="str">
        <v>台灣主要汽車鋼圈及鋁圈廠</v>
      </c>
      <c r="AE38" t="str">
        <f t="array" ref="AE38:AH38">[1]!'4502.TW-CName,InvestorConferenceDate,DateofMeetingofShareHolders,TradingDate'</f>
        <v>健信</v>
      </c>
      <c r="AF38" t="str">
        <v>--</v>
      </c>
      <c r="AG38" t="str">
        <v>2022/06/24</v>
      </c>
      <c r="AH38" t="str">
        <v>2022/08/01</v>
      </c>
    </row>
    <row r="39" spans="1:34" x14ac:dyDescent="0.3">
      <c r="A39" t="str">
        <f t="array" ref="A39:J39">[1]!'4503.TW-ID,Name,MarketValue,Capital,NetIncomeGrowthRate,OperIncomeGrowthRate,FinancialStatementsTime,TFXRatio,MonthlyNetSalesYoY,RevenueMonth'</f>
        <v>4503</v>
      </c>
      <c r="B39" t="str">
        <v>金雨</v>
      </c>
      <c r="C39" t="str">
        <v>19.2</v>
      </c>
      <c r="D39" t="str">
        <v>4.79</v>
      </c>
      <c r="E39" t="str">
        <v>-205.68</v>
      </c>
      <c r="F39" t="str">
        <v>-373.45</v>
      </c>
      <c r="G39" t="str">
        <v>2022/03</v>
      </c>
      <c r="H39" t="str">
        <v>5.21</v>
      </c>
      <c r="I39" t="str">
        <v>28.30</v>
      </c>
      <c r="J39" t="str">
        <v>2022/06</v>
      </c>
      <c r="K39" t="str">
        <f t="array" ref="K39:T39">[1]!'4503.TW-OperatingProfitRatio,Price,PriceChangeRatio,InOutRatioNumber,Value,YearReturn,MonthReturn,WeekReturn,FinanceBalanceDif,ChipsField2'</f>
        <v>-65.88</v>
      </c>
      <c r="L39">
        <v>40.049999999999997</v>
      </c>
      <c r="M39">
        <v>0.63</v>
      </c>
      <c r="N39" t="str">
        <v>46.61%</v>
      </c>
      <c r="O39" t="str">
        <v>8161萬</v>
      </c>
      <c r="P39" t="str">
        <v>+149.53</v>
      </c>
      <c r="Q39" t="str">
        <v>-0.12</v>
      </c>
      <c r="R39" t="str">
        <v>0.00</v>
      </c>
      <c r="S39">
        <v>4</v>
      </c>
      <c r="T39">
        <v>0</v>
      </c>
      <c r="U39">
        <f t="array" ref="U39:AD39">[1]!'4503.TW-ChipsField3,ChipsField1,ChipsField25,CashAndStockDividend,CashDividendYieldRate,ProfitFourSeason,ProfitSingle,CName,ExchangeIndustry,CompanyPos'</f>
        <v>0</v>
      </c>
      <c r="V39">
        <v>310</v>
      </c>
      <c r="W39" t="str">
        <v>--</v>
      </c>
      <c r="X39" t="str">
        <v>0.00</v>
      </c>
      <c r="Y39">
        <v>0</v>
      </c>
      <c r="Z39" t="str">
        <v>-1.09</v>
      </c>
      <c r="AA39" t="str">
        <v>-0.36</v>
      </c>
      <c r="AB39" t="str">
        <v>金雨</v>
      </c>
      <c r="AC39" t="str">
        <v>上櫃電機機械</v>
      </c>
      <c r="AD39" t="str">
        <v>台灣最大自動販賣機製造廠</v>
      </c>
      <c r="AE39" t="str">
        <f t="array" ref="AE39:AH39">[1]!'4503.TW-CName,InvestorConferenceDate,DateofMeetingofShareHolders,TradingDate'</f>
        <v>金雨</v>
      </c>
      <c r="AF39" t="str">
        <v>--</v>
      </c>
      <c r="AG39" t="str">
        <v>2022/05/31</v>
      </c>
      <c r="AH39" t="str">
        <v>2022/08/01</v>
      </c>
    </row>
    <row r="40" spans="1:34" x14ac:dyDescent="0.3">
      <c r="A40" t="str">
        <f t="array" ref="A40:J40">[1]!'4506.TW-ID,Name,MarketValue,Capital,NetIncomeGrowthRate,OperIncomeGrowthRate,FinancialStatementsTime,TFXRatio,MonthlyNetSalesYoY,RevenueMonth'</f>
        <v>4506</v>
      </c>
      <c r="B40" t="str">
        <v>崇友</v>
      </c>
      <c r="C40" t="str">
        <v>127.1</v>
      </c>
      <c r="D40" t="str">
        <v>17.70</v>
      </c>
      <c r="E40" t="str">
        <v>42.60</v>
      </c>
      <c r="F40" t="str">
        <v>1.21</v>
      </c>
      <c r="G40" t="str">
        <v>2022/03</v>
      </c>
      <c r="H40" t="str">
        <v>-2.25</v>
      </c>
      <c r="I40" t="str">
        <v>-4.39</v>
      </c>
      <c r="J40" t="str">
        <v>2022/06</v>
      </c>
      <c r="K40" t="str">
        <f t="array" ref="K40:T40">[1]!'4506.TW-OperatingProfitRatio,Price,PriceChangeRatio,InOutRatioNumber,Value,YearReturn,MonthReturn,WeekReturn,FinanceBalanceDif,ChipsField2'</f>
        <v>20.75</v>
      </c>
      <c r="L40">
        <v>71.8</v>
      </c>
      <c r="M40">
        <v>1.27</v>
      </c>
      <c r="N40" t="str">
        <v>78.95%</v>
      </c>
      <c r="O40" t="str">
        <v>286萬</v>
      </c>
      <c r="P40" t="str">
        <v>+33.41</v>
      </c>
      <c r="Q40" t="str">
        <v>+6.86</v>
      </c>
      <c r="R40" t="str">
        <v>+1.84</v>
      </c>
      <c r="S40">
        <v>0</v>
      </c>
      <c r="T40">
        <v>0</v>
      </c>
      <c r="U40">
        <f t="array" ref="U40:AD40">[1]!'4506.TW-ChipsField3,ChipsField1,ChipsField25,CashAndStockDividend,CashDividendYieldRate,ProfitFourSeason,ProfitSingle,CName,ExchangeIndustry,CompanyPos'</f>
        <v>0</v>
      </c>
      <c r="V40">
        <v>1</v>
      </c>
      <c r="W40" t="str">
        <v>2022/07/21</v>
      </c>
      <c r="X40" t="str">
        <v>3.20</v>
      </c>
      <c r="Y40">
        <v>4.46</v>
      </c>
      <c r="Z40" t="str">
        <v>4.85</v>
      </c>
      <c r="AA40" t="str">
        <v>1.52</v>
      </c>
      <c r="AB40" t="str">
        <v>崇友</v>
      </c>
      <c r="AC40" t="str">
        <v>上櫃電機機械</v>
      </c>
      <c r="AD40" t="str">
        <v>台灣前三大電梯製造商</v>
      </c>
      <c r="AE40" t="str">
        <f t="array" ref="AE40:AH40">[1]!'4506.TW-CName,InvestorConferenceDate,DateofMeetingofShareHolders,TradingDate'</f>
        <v>崇友</v>
      </c>
      <c r="AF40" t="str">
        <v>--</v>
      </c>
      <c r="AG40" t="str">
        <v>2022/06/27</v>
      </c>
      <c r="AH40" t="str">
        <v>2022/08/01</v>
      </c>
    </row>
    <row r="41" spans="1:34" x14ac:dyDescent="0.3">
      <c r="A41" t="str">
        <f t="array" ref="A41:J41">[1]!'4510.TW-ID,Name,MarketValue,Capital,NetIncomeGrowthRate,OperIncomeGrowthRate,FinancialStatementsTime,TFXRatio,MonthlyNetSalesYoY,RevenueMonth'</f>
        <v>4510</v>
      </c>
      <c r="B41" t="str">
        <v>高鋒</v>
      </c>
      <c r="C41" t="str">
        <v>11.1</v>
      </c>
      <c r="D41" t="str">
        <v>10.80</v>
      </c>
      <c r="E41" t="str">
        <v>132.49</v>
      </c>
      <c r="F41" t="str">
        <v>113.77</v>
      </c>
      <c r="G41" t="str">
        <v>2022/03</v>
      </c>
      <c r="H41" t="str">
        <v>-15.04</v>
      </c>
      <c r="I41" t="str">
        <v>-33.13</v>
      </c>
      <c r="J41" t="str">
        <v>2022/06</v>
      </c>
      <c r="K41" t="str">
        <f t="array" ref="K41:T41">[1]!'4510.TW-OperatingProfitRatio,Price,PriceChangeRatio,InOutRatioNumber,Value,YearReturn,MonthReturn,WeekReturn,FinanceBalanceDif,ChipsField2'</f>
        <v>0.97</v>
      </c>
      <c r="L41">
        <v>10.3</v>
      </c>
      <c r="M41">
        <v>1.98</v>
      </c>
      <c r="N41" t="str">
        <v>64.10%</v>
      </c>
      <c r="O41" t="str">
        <v>81.1萬</v>
      </c>
      <c r="P41" t="str">
        <v>-14.17</v>
      </c>
      <c r="Q41" t="str">
        <v>-2.83</v>
      </c>
      <c r="R41" t="str">
        <v>+2.49</v>
      </c>
      <c r="S41">
        <v>0</v>
      </c>
      <c r="T41">
        <v>0</v>
      </c>
      <c r="U41">
        <f t="array" ref="U41:AD41">[1]!'4510.TW-ChipsField3,ChipsField1,ChipsField25,CashAndStockDividend,CashDividendYieldRate,ProfitFourSeason,ProfitSingle,CName,ExchangeIndustry,CompanyPos'</f>
        <v>0</v>
      </c>
      <c r="V41">
        <v>1</v>
      </c>
      <c r="W41" t="str">
        <v>--</v>
      </c>
      <c r="X41" t="str">
        <v>0.00</v>
      </c>
      <c r="Y41">
        <v>0</v>
      </c>
      <c r="Z41" t="str">
        <v>0.13</v>
      </c>
      <c r="AA41" t="str">
        <v>0.12</v>
      </c>
      <c r="AB41" t="str">
        <v>高鋒</v>
      </c>
      <c r="AC41" t="str">
        <v>上櫃電機機械</v>
      </c>
      <c r="AD41" t="str">
        <v>台灣從事生產切削機及龍門機廠商</v>
      </c>
      <c r="AE41" t="str">
        <f t="array" ref="AE41:AH41">[1]!'4510.TW-CName,InvestorConferenceDate,DateofMeetingofShareHolders,TradingDate'</f>
        <v>高鋒</v>
      </c>
      <c r="AF41" t="str">
        <v>--</v>
      </c>
      <c r="AG41" t="str">
        <v>2022/06/09</v>
      </c>
      <c r="AH41" t="str">
        <v>2022/08/01</v>
      </c>
    </row>
    <row r="42" spans="1:34" x14ac:dyDescent="0.3">
      <c r="A42" t="str">
        <f t="array" ref="A42:J42">[1]!'4513.TW-ID,Name,MarketValue,Capital,NetIncomeGrowthRate,OperIncomeGrowthRate,FinancialStatementsTime,TFXRatio,MonthlyNetSalesYoY,RevenueMonth'</f>
        <v>4513</v>
      </c>
      <c r="B42" t="str">
        <v>福裕</v>
      </c>
      <c r="C42" t="str">
        <v>18.2</v>
      </c>
      <c r="D42" t="str">
        <v>7.69</v>
      </c>
      <c r="E42" t="str">
        <v>-106.32</v>
      </c>
      <c r="F42" t="str">
        <v>-73.19</v>
      </c>
      <c r="G42" t="str">
        <v>2022/03</v>
      </c>
      <c r="H42" t="str">
        <v>23.77</v>
      </c>
      <c r="I42" t="str">
        <v>20.27</v>
      </c>
      <c r="J42" t="str">
        <v>2022/06</v>
      </c>
      <c r="K42" t="str">
        <f t="array" ref="K42:T42">[1]!'4513.TW-OperatingProfitRatio,Price,PriceChangeRatio,InOutRatioNumber,Value,YearReturn,MonthReturn,WeekReturn,FinanceBalanceDif,ChipsField2'</f>
        <v>0.92</v>
      </c>
      <c r="L42">
        <v>23.7</v>
      </c>
      <c r="M42">
        <v>1.07</v>
      </c>
      <c r="N42" t="str">
        <v>74.09%</v>
      </c>
      <c r="O42" t="str">
        <v>1638萬</v>
      </c>
      <c r="P42" t="str">
        <v>+128.99</v>
      </c>
      <c r="Q42" t="str">
        <v>+26.40</v>
      </c>
      <c r="R42" t="str">
        <v>+0.21</v>
      </c>
      <c r="S42">
        <v>-17</v>
      </c>
      <c r="T42">
        <v>0</v>
      </c>
      <c r="U42">
        <f t="array" ref="U42:AD42">[1]!'4513.TW-ChipsField3,ChipsField1,ChipsField25,CashAndStockDividend,CashDividendYieldRate,ProfitFourSeason,ProfitSingle,CName,ExchangeIndustry,CompanyPos'</f>
        <v>0</v>
      </c>
      <c r="V42">
        <v>302</v>
      </c>
      <c r="W42" t="str">
        <v>--</v>
      </c>
      <c r="X42" t="str">
        <v>0.00</v>
      </c>
      <c r="Y42">
        <v>0</v>
      </c>
      <c r="Z42" t="str">
        <v>0.34</v>
      </c>
      <c r="AA42" t="str">
        <v>-0.01</v>
      </c>
      <c r="AB42" t="str">
        <v>福裕</v>
      </c>
      <c r="AC42" t="str">
        <v>上櫃電機機械</v>
      </c>
      <c r="AD42" t="str">
        <v>台灣最大磨床廠商</v>
      </c>
      <c r="AE42" t="str">
        <f t="array" ref="AE42:AH42">[1]!'4513.TW-CName,InvestorConferenceDate,DateofMeetingofShareHolders,TradingDate'</f>
        <v>福裕</v>
      </c>
      <c r="AF42" t="str">
        <v>--</v>
      </c>
      <c r="AG42" t="str">
        <v>2022/06/22</v>
      </c>
      <c r="AH42" t="str">
        <v>2022/08/01</v>
      </c>
    </row>
    <row r="43" spans="1:34" x14ac:dyDescent="0.3">
      <c r="A43" t="str">
        <f t="array" ref="A43:J43">[1]!'4523.TW-ID,Name,MarketValue,Capital,NetIncomeGrowthRate,OperIncomeGrowthRate,FinancialStatementsTime,TFXRatio,MonthlyNetSalesYoY,RevenueMonth'</f>
        <v>4523</v>
      </c>
      <c r="B43" t="str">
        <v>永彰</v>
      </c>
      <c r="C43" t="str">
        <v>18.5</v>
      </c>
      <c r="D43" t="str">
        <v>6.40</v>
      </c>
      <c r="E43" t="str">
        <v>305.36</v>
      </c>
      <c r="F43" t="str">
        <v>38.05</v>
      </c>
      <c r="G43" t="str">
        <v>2022/03</v>
      </c>
      <c r="H43" t="str">
        <v>29.35</v>
      </c>
      <c r="I43" t="str">
        <v>-31.41</v>
      </c>
      <c r="J43" t="str">
        <v>2022/06</v>
      </c>
      <c r="K43" t="str">
        <f t="array" ref="K43:T43">[1]!'4523.TW-OperatingProfitRatio,Price,PriceChangeRatio,InOutRatioNumber,Value,YearReturn,MonthReturn,WeekReturn,FinanceBalanceDif,ChipsField2'</f>
        <v>-6.58</v>
      </c>
      <c r="L43">
        <v>28.95</v>
      </c>
      <c r="M43">
        <v>-0.17</v>
      </c>
      <c r="N43" t="str">
        <v>50.00%</v>
      </c>
      <c r="O43" t="str">
        <v>5.70萬</v>
      </c>
      <c r="P43" t="str">
        <v>+5.46</v>
      </c>
      <c r="Q43" t="str">
        <v>+3.21</v>
      </c>
      <c r="R43" t="str">
        <v>-1.03</v>
      </c>
      <c r="S43">
        <v>-2</v>
      </c>
      <c r="T43">
        <v>0</v>
      </c>
      <c r="U43">
        <f t="array" ref="U43:AD43">[1]!'4523.TW-ChipsField3,ChipsField1,ChipsField25,CashAndStockDividend,CashDividendYieldRate,ProfitFourSeason,ProfitSingle,CName,ExchangeIndustry,CompanyPos'</f>
        <v>0</v>
      </c>
      <c r="V43">
        <v>2</v>
      </c>
      <c r="W43" t="str">
        <v>--</v>
      </c>
      <c r="X43" t="str">
        <v>0.00</v>
      </c>
      <c r="Y43">
        <v>0</v>
      </c>
      <c r="Z43" t="str">
        <v>0.72</v>
      </c>
      <c r="AA43" t="str">
        <v>0.63</v>
      </c>
      <c r="AB43" t="str">
        <v>永彰</v>
      </c>
      <c r="AC43" t="str">
        <v>上櫃電機機械</v>
      </c>
      <c r="AD43" t="str">
        <v>永大轉投資汽車空調OEM廠商</v>
      </c>
      <c r="AE43" t="str">
        <f t="array" ref="AE43:AH43">[1]!'4523.TW-CName,InvestorConferenceDate,DateofMeetingofShareHolders,TradingDate'</f>
        <v>永彰</v>
      </c>
      <c r="AF43" t="str">
        <v>--</v>
      </c>
      <c r="AG43" t="str">
        <v>2022/06/09</v>
      </c>
      <c r="AH43" t="str">
        <v>2022/08/01</v>
      </c>
    </row>
    <row r="44" spans="1:34" x14ac:dyDescent="0.3">
      <c r="A44" t="str">
        <f t="array" ref="A44:J44">[1]!'4527.TW-ID,Name,MarketValue,Capital,NetIncomeGrowthRate,OperIncomeGrowthRate,FinancialStatementsTime,TFXRatio,MonthlyNetSalesYoY,RevenueMonth'</f>
        <v>4527</v>
      </c>
      <c r="B44" t="str">
        <v>方土霖</v>
      </c>
      <c r="C44" t="str">
        <v>20.5</v>
      </c>
      <c r="D44" t="str">
        <v>7.62</v>
      </c>
      <c r="E44" t="str">
        <v>-37.98</v>
      </c>
      <c r="F44" t="str">
        <v>-36.46</v>
      </c>
      <c r="G44" t="str">
        <v>2022/03</v>
      </c>
      <c r="H44" t="str">
        <v>94.29</v>
      </c>
      <c r="I44" t="str">
        <v>70.31</v>
      </c>
      <c r="J44" t="str">
        <v>2022/06</v>
      </c>
      <c r="K44" t="str">
        <f t="array" ref="K44:T44">[1]!'4527.TW-OperatingProfitRatio,Price,PriceChangeRatio,InOutRatioNumber,Value,YearReturn,MonthReturn,WeekReturn,FinanceBalanceDif,ChipsField2'</f>
        <v>3.44</v>
      </c>
      <c r="L44">
        <v>26.9</v>
      </c>
      <c r="M44">
        <v>1.1299999999999999</v>
      </c>
      <c r="N44" t="str">
        <v>76.00%</v>
      </c>
      <c r="O44" t="str">
        <v>67.1萬</v>
      </c>
      <c r="P44" t="str">
        <v>+5.51</v>
      </c>
      <c r="Q44" t="str">
        <v>+3.46</v>
      </c>
      <c r="R44" t="str">
        <v>+2.48</v>
      </c>
      <c r="S44">
        <v>0</v>
      </c>
      <c r="T44">
        <v>0</v>
      </c>
      <c r="U44">
        <f t="array" ref="U44:AD44">[1]!'4527.TW-ChipsField3,ChipsField1,ChipsField25,CashAndStockDividend,CashDividendYieldRate,ProfitFourSeason,ProfitSingle,CName,ExchangeIndustry,CompanyPos'</f>
        <v>0</v>
      </c>
      <c r="V44">
        <v>1</v>
      </c>
      <c r="W44" t="str">
        <v>2022/06/14</v>
      </c>
      <c r="X44" t="str">
        <v>1.80</v>
      </c>
      <c r="Y44">
        <v>6.69</v>
      </c>
      <c r="Z44" t="str">
        <v>1.86</v>
      </c>
      <c r="AA44" t="str">
        <v>0.24</v>
      </c>
      <c r="AB44" t="str">
        <v>方土霖</v>
      </c>
      <c r="AC44" t="str">
        <v>上櫃電機機械</v>
      </c>
      <c r="AD44" t="str">
        <v>台灣冰水主機與空調設備製造商</v>
      </c>
      <c r="AE44" t="str">
        <f t="array" ref="AE44:AH44">[1]!'4527.TW-CName,InvestorConferenceDate,DateofMeetingofShareHolders,TradingDate'</f>
        <v>方土霖</v>
      </c>
      <c r="AF44" t="str">
        <v>--</v>
      </c>
      <c r="AG44" t="str">
        <v>2022/05/26</v>
      </c>
      <c r="AH44" t="str">
        <v>2022/08/01</v>
      </c>
    </row>
    <row r="45" spans="1:34" x14ac:dyDescent="0.3">
      <c r="A45" t="str">
        <f t="array" ref="A45:J45">[1]!'4528.TW-ID,Name,MarketValue,Capital,NetIncomeGrowthRate,OperIncomeGrowthRate,FinancialStatementsTime,TFXRatio,MonthlyNetSalesYoY,RevenueMonth'</f>
        <v>4528</v>
      </c>
      <c r="B45" t="str">
        <v>江興鍛</v>
      </c>
      <c r="C45" t="str">
        <v>26.7</v>
      </c>
      <c r="D45" t="str">
        <v>7.65</v>
      </c>
      <c r="E45" t="str">
        <v>-61.89</v>
      </c>
      <c r="F45" t="str">
        <v>-55.47</v>
      </c>
      <c r="G45" t="str">
        <v>2022/03</v>
      </c>
      <c r="H45" t="str">
        <v>14.78</v>
      </c>
      <c r="I45" t="str">
        <v>-22.42</v>
      </c>
      <c r="J45" t="str">
        <v>2022/06</v>
      </c>
      <c r="K45" t="str">
        <f t="array" ref="K45:T45">[1]!'4528.TW-OperatingProfitRatio,Price,PriceChangeRatio,InOutRatioNumber,Value,YearReturn,MonthReturn,WeekReturn,FinanceBalanceDif,ChipsField2'</f>
        <v>4.84</v>
      </c>
      <c r="L45">
        <v>34.85</v>
      </c>
      <c r="M45">
        <v>2.35</v>
      </c>
      <c r="N45" t="str">
        <v>82.50%</v>
      </c>
      <c r="O45" t="str">
        <v>146萬</v>
      </c>
      <c r="P45" t="str">
        <v>-18.68</v>
      </c>
      <c r="Q45" t="str">
        <v>-1.55</v>
      </c>
      <c r="R45" t="str">
        <v>+3.57</v>
      </c>
      <c r="S45">
        <v>-6</v>
      </c>
      <c r="T45">
        <v>0</v>
      </c>
      <c r="U45">
        <f t="array" ref="U45:AD45">[1]!'4528.TW-ChipsField3,ChipsField1,ChipsField25,CashAndStockDividend,CashDividendYieldRate,ProfitFourSeason,ProfitSingle,CName,ExchangeIndustry,CompanyPos'</f>
        <v>0</v>
      </c>
      <c r="V45">
        <v>1</v>
      </c>
      <c r="W45" t="str">
        <v>2022/04/15</v>
      </c>
      <c r="X45" t="str">
        <v>1.50</v>
      </c>
      <c r="Y45">
        <v>4.3</v>
      </c>
      <c r="Z45" t="str">
        <v>1.92</v>
      </c>
      <c r="AA45" t="str">
        <v>0.27</v>
      </c>
      <c r="AB45" t="str">
        <v>江興鍛</v>
      </c>
      <c r="AC45" t="str">
        <v>上櫃電機機械</v>
      </c>
      <c r="AD45" t="str">
        <v>台灣汽車傳動系統零件鍛造廠</v>
      </c>
      <c r="AE45" t="str">
        <f t="array" ref="AE45:AH45">[1]!'4528.TW-CName,InvestorConferenceDate,DateofMeetingofShareHolders,TradingDate'</f>
        <v>江興鍛</v>
      </c>
      <c r="AF45" t="str">
        <v>--</v>
      </c>
      <c r="AG45" t="str">
        <v>2022/06/17</v>
      </c>
      <c r="AH45" t="str">
        <v>2022/08/01</v>
      </c>
    </row>
    <row r="46" spans="1:34" x14ac:dyDescent="0.3">
      <c r="A46" t="str">
        <f t="array" ref="A46:J46">[1]!'4530.TW-ID,Name,MarketValue,Capital,NetIncomeGrowthRate,OperIncomeGrowthRate,FinancialStatementsTime,TFXRatio,MonthlyNetSalesYoY,RevenueMonth'</f>
        <v>4530</v>
      </c>
      <c r="B46" t="str">
        <v>宏易</v>
      </c>
      <c r="C46" t="str">
        <v>3.6</v>
      </c>
      <c r="D46" t="str">
        <v>4.94</v>
      </c>
      <c r="E46" t="str">
        <v>67.92</v>
      </c>
      <c r="F46" t="str">
        <v>63.07</v>
      </c>
      <c r="G46" t="str">
        <v>2022/03</v>
      </c>
      <c r="H46" t="str">
        <v>21.95</v>
      </c>
      <c r="I46" t="str">
        <v>127.12</v>
      </c>
      <c r="J46" t="str">
        <v>2022/06</v>
      </c>
      <c r="K46" t="str">
        <f t="array" ref="K46:T46">[1]!'4530.TW-OperatingProfitRatio,Price,PriceChangeRatio,InOutRatioNumber,Value,YearReturn,MonthReturn,WeekReturn,FinanceBalanceDif,ChipsField2'</f>
        <v>-7.52</v>
      </c>
      <c r="L46">
        <v>7.31</v>
      </c>
      <c r="M46">
        <v>0.41</v>
      </c>
      <c r="N46" t="str">
        <v>35.34%</v>
      </c>
      <c r="O46" t="str">
        <v>84.2萬</v>
      </c>
      <c r="P46" t="str">
        <v>-20.02</v>
      </c>
      <c r="Q46" t="str">
        <v>-2.53</v>
      </c>
      <c r="R46" t="str">
        <v>-2.01</v>
      </c>
      <c r="S46">
        <v>0</v>
      </c>
      <c r="T46">
        <v>0</v>
      </c>
      <c r="U46">
        <f t="array" ref="U46:AD46">[1]!'4530.TW-ChipsField3,ChipsField1,ChipsField25,CashAndStockDividend,CashDividendYieldRate,ProfitFourSeason,ProfitSingle,CName,ExchangeIndustry,CompanyPos'</f>
        <v>0</v>
      </c>
      <c r="V46">
        <v>10</v>
      </c>
      <c r="W46" t="str">
        <v>--</v>
      </c>
      <c r="X46" t="str">
        <v>0.00</v>
      </c>
      <c r="Y46">
        <v>0</v>
      </c>
      <c r="Z46" t="str">
        <v>-0.38</v>
      </c>
      <c r="AA46" t="str">
        <v>-0.09</v>
      </c>
      <c r="AB46" t="str">
        <v>宏易</v>
      </c>
      <c r="AC46" t="str">
        <v>上櫃電機機械</v>
      </c>
      <c r="AD46" t="str">
        <v>公司轉型為汽車零件及餐飲事業</v>
      </c>
      <c r="AE46" t="str">
        <f t="array" ref="AE46:AH46">[1]!'4530.TW-CName,InvestorConferenceDate,DateofMeetingofShareHolders,TradingDate'</f>
        <v>宏易</v>
      </c>
      <c r="AF46" t="str">
        <v>--</v>
      </c>
      <c r="AG46" t="str">
        <v>2022/06/30</v>
      </c>
      <c r="AH46" t="str">
        <v>2022/08/01</v>
      </c>
    </row>
    <row r="47" spans="1:34" x14ac:dyDescent="0.3">
      <c r="A47" t="str">
        <f t="array" ref="A47:J47">[1]!'4533.TW-ID,Name,MarketValue,Capital,NetIncomeGrowthRate,OperIncomeGrowthRate,FinancialStatementsTime,TFXRatio,MonthlyNetSalesYoY,RevenueMonth'</f>
        <v>4533</v>
      </c>
      <c r="B47" t="str">
        <v>協易機</v>
      </c>
      <c r="C47" t="str">
        <v>17.1</v>
      </c>
      <c r="D47" t="str">
        <v>15.84</v>
      </c>
      <c r="E47" t="str">
        <v>315.81</v>
      </c>
      <c r="F47" t="str">
        <v>11.80</v>
      </c>
      <c r="G47" t="str">
        <v>2022/03</v>
      </c>
      <c r="H47" t="str">
        <v>54.28</v>
      </c>
      <c r="I47" t="str">
        <v>16.20</v>
      </c>
      <c r="J47" t="str">
        <v>2022/06</v>
      </c>
      <c r="K47" t="str">
        <f t="array" ref="K47:T47">[1]!'4533.TW-OperatingProfitRatio,Price,PriceChangeRatio,InOutRatioNumber,Value,YearReturn,MonthReturn,WeekReturn,FinanceBalanceDif,ChipsField2'</f>
        <v>-2.76</v>
      </c>
      <c r="L47">
        <v>10.8</v>
      </c>
      <c r="M47">
        <v>0.47</v>
      </c>
      <c r="N47" t="str">
        <v>22.62%</v>
      </c>
      <c r="O47" t="str">
        <v>90.3萬</v>
      </c>
      <c r="P47" t="str">
        <v>-6.04</v>
      </c>
      <c r="Q47" t="str">
        <v>+3.35</v>
      </c>
      <c r="R47" t="str">
        <v>+1.41</v>
      </c>
      <c r="S47">
        <v>-5</v>
      </c>
      <c r="T47">
        <v>0</v>
      </c>
      <c r="U47">
        <f t="array" ref="U47:AD47">[1]!'4533.TW-ChipsField3,ChipsField1,ChipsField25,CashAndStockDividend,CashDividendYieldRate,ProfitFourSeason,ProfitSingle,CName,ExchangeIndustry,CompanyPos'</f>
        <v>0</v>
      </c>
      <c r="V47">
        <v>2</v>
      </c>
      <c r="W47" t="str">
        <v>2022/08/02</v>
      </c>
      <c r="X47" t="str">
        <v>0.35</v>
      </c>
      <c r="Y47">
        <v>3.24</v>
      </c>
      <c r="Z47" t="str">
        <v>0.66</v>
      </c>
      <c r="AA47" t="str">
        <v>0.21</v>
      </c>
      <c r="AB47" t="str">
        <v>協易機</v>
      </c>
      <c r="AC47" t="str">
        <v>上櫃電機機械</v>
      </c>
      <c r="AD47" t="str">
        <v>台灣沖床大廠</v>
      </c>
      <c r="AE47" t="str">
        <f t="array" ref="AE47:AH47">[1]!'4533.TW-CName,InvestorConferenceDate,DateofMeetingofShareHolders,TradingDate'</f>
        <v>協易機</v>
      </c>
      <c r="AF47" t="str">
        <v>--</v>
      </c>
      <c r="AG47" t="str">
        <v>2022/05/27</v>
      </c>
      <c r="AH47" t="str">
        <v>2022/08/01</v>
      </c>
    </row>
    <row r="48" spans="1:34" x14ac:dyDescent="0.3">
      <c r="A48" t="str">
        <f t="array" ref="A48:J48">[1]!'4534.TW-ID,Name,MarketValue,Capital,NetIncomeGrowthRate,OperIncomeGrowthRate,FinancialStatementsTime,TFXRatio,MonthlyNetSalesYoY,RevenueMonth'</f>
        <v>4534</v>
      </c>
      <c r="B48" t="str">
        <v>慶騰</v>
      </c>
      <c r="C48" t="str">
        <v>8.6</v>
      </c>
      <c r="D48" t="str">
        <v>8.68</v>
      </c>
      <c r="E48" t="str">
        <v>-254.16</v>
      </c>
      <c r="F48" t="str">
        <v>-268.23</v>
      </c>
      <c r="G48" t="str">
        <v>2022/03</v>
      </c>
      <c r="H48" t="str">
        <v>2.54</v>
      </c>
      <c r="I48" t="str">
        <v>-32.36</v>
      </c>
      <c r="J48" t="str">
        <v>2022/06</v>
      </c>
      <c r="K48" t="str">
        <f t="array" ref="K48:T48">[1]!'4534.TW-OperatingProfitRatio,Price,PriceChangeRatio,InOutRatioNumber,Value,YearReturn,MonthReturn,WeekReturn,FinanceBalanceDif,ChipsField2'</f>
        <v>-21.00</v>
      </c>
      <c r="L48">
        <v>9.93</v>
      </c>
      <c r="M48">
        <v>0.2</v>
      </c>
      <c r="N48" t="str">
        <v>53.85%</v>
      </c>
      <c r="O48" t="str">
        <v>25.8萬</v>
      </c>
      <c r="P48" t="str">
        <v>-28.82</v>
      </c>
      <c r="Q48" t="str">
        <v>+10.95</v>
      </c>
      <c r="R48" t="str">
        <v>-2.65</v>
      </c>
      <c r="S48">
        <v>34</v>
      </c>
      <c r="T48">
        <v>0</v>
      </c>
      <c r="U48">
        <f t="array" ref="U48:AD48">[1]!'4534.TW-ChipsField3,ChipsField1,ChipsField25,CashAndStockDividend,CashDividendYieldRate,ProfitFourSeason,ProfitSingle,CName,ExchangeIndustry,CompanyPos'</f>
        <v>0</v>
      </c>
      <c r="V48">
        <v>-18</v>
      </c>
      <c r="W48" t="str">
        <v>--</v>
      </c>
      <c r="X48" t="str">
        <v>0.00</v>
      </c>
      <c r="Y48">
        <v>0</v>
      </c>
      <c r="Z48" t="str">
        <v>-0.25</v>
      </c>
      <c r="AA48" t="str">
        <v>-0.51</v>
      </c>
      <c r="AB48" t="str">
        <v>慶騰</v>
      </c>
      <c r="AC48" t="str">
        <v>上櫃電機機械</v>
      </c>
      <c r="AD48" t="str">
        <v>為台灣粉末冶金及齒輪箱設計開發知名廠商</v>
      </c>
      <c r="AE48" t="str">
        <f t="array" ref="AE48:AH48">[1]!'4534.TW-CName,InvestorConferenceDate,DateofMeetingofShareHolders,TradingDate'</f>
        <v>慶騰</v>
      </c>
      <c r="AF48" t="str">
        <v>2021/12/14</v>
      </c>
      <c r="AG48" t="str">
        <v>2022/06/27</v>
      </c>
      <c r="AH48" t="str">
        <v>2022/08/01</v>
      </c>
    </row>
    <row r="49" spans="1:34" x14ac:dyDescent="0.3">
      <c r="A49" t="str">
        <f t="array" ref="A49:J49">[1]!'4535.TW-ID,Name,MarketValue,Capital,NetIncomeGrowthRate,OperIncomeGrowthRate,FinancialStatementsTime,TFXRatio,MonthlyNetSalesYoY,RevenueMonth'</f>
        <v>4535</v>
      </c>
      <c r="B49" t="str">
        <v>至興</v>
      </c>
      <c r="C49" t="str">
        <v>27.6</v>
      </c>
      <c r="D49" t="str">
        <v>7.57</v>
      </c>
      <c r="E49" t="str">
        <v>-6.64</v>
      </c>
      <c r="F49" t="str">
        <v>-15.95</v>
      </c>
      <c r="G49" t="str">
        <v>2022/03</v>
      </c>
      <c r="H49" t="str">
        <v>-17.68</v>
      </c>
      <c r="I49" t="str">
        <v>-6.96</v>
      </c>
      <c r="J49" t="str">
        <v>2022/06</v>
      </c>
      <c r="K49" t="str">
        <f t="array" ref="K49:T49">[1]!'4535.TW-OperatingProfitRatio,Price,PriceChangeRatio,InOutRatioNumber,Value,YearReturn,MonthReturn,WeekReturn,FinanceBalanceDif,ChipsField2'</f>
        <v>12.85</v>
      </c>
      <c r="L49">
        <v>36.450000000000003</v>
      </c>
      <c r="M49">
        <v>-0.14000000000000001</v>
      </c>
      <c r="N49" t="str">
        <v>100.00%</v>
      </c>
      <c r="O49" t="str">
        <v>14.6萬</v>
      </c>
      <c r="P49" t="str">
        <v>+9.25</v>
      </c>
      <c r="Q49" t="str">
        <v>+0.69</v>
      </c>
      <c r="R49" t="str">
        <v>-1.35</v>
      </c>
      <c r="S49">
        <v>0</v>
      </c>
      <c r="T49">
        <v>0</v>
      </c>
      <c r="U49">
        <f t="array" ref="U49:AD49">[1]!'4535.TW-ChipsField3,ChipsField1,ChipsField25,CashAndStockDividend,CashDividendYieldRate,ProfitFourSeason,ProfitSingle,CName,ExchangeIndustry,CompanyPos'</f>
        <v>0</v>
      </c>
      <c r="V49">
        <v>0</v>
      </c>
      <c r="W49" t="str">
        <v>2022/06/14</v>
      </c>
      <c r="X49" t="str">
        <v>1.60</v>
      </c>
      <c r="Y49">
        <v>4.3899999999999997</v>
      </c>
      <c r="Z49" t="str">
        <v>2.32</v>
      </c>
      <c r="AA49" t="str">
        <v>0.76</v>
      </c>
      <c r="AB49" t="str">
        <v>至興</v>
      </c>
      <c r="AC49" t="str">
        <v>上櫃電機機械</v>
      </c>
      <c r="AD49" t="str">
        <v>台灣最大汽機車精密沖壓零件廠</v>
      </c>
      <c r="AE49" t="str">
        <f t="array" ref="AE49:AH49">[1]!'4535.TW-CName,InvestorConferenceDate,DateofMeetingofShareHolders,TradingDate'</f>
        <v>至興</v>
      </c>
      <c r="AF49" t="str">
        <v>--</v>
      </c>
      <c r="AG49" t="str">
        <v>2022/05/24</v>
      </c>
      <c r="AH49" t="str">
        <v>2022/08/01</v>
      </c>
    </row>
    <row r="50" spans="1:34" x14ac:dyDescent="0.3">
      <c r="A50" t="str">
        <f t="array" ref="A50:J50">[1]!'4538.TW-ID,Name,MarketValue,Capital,NetIncomeGrowthRate,OperIncomeGrowthRate,FinancialStatementsTime,TFXRatio,MonthlyNetSalesYoY,RevenueMonth'</f>
        <v>4538</v>
      </c>
      <c r="B50" t="str">
        <v>大詠城</v>
      </c>
      <c r="C50" t="str">
        <v>9.2</v>
      </c>
      <c r="D50" t="str">
        <v>5.05</v>
      </c>
      <c r="E50" t="str">
        <v>-43.23</v>
      </c>
      <c r="F50" t="str">
        <v>-52.72</v>
      </c>
      <c r="G50" t="str">
        <v>2022/03</v>
      </c>
      <c r="H50" t="str">
        <v>15.06</v>
      </c>
      <c r="I50" t="str">
        <v>25.39</v>
      </c>
      <c r="J50" t="str">
        <v>2022/06</v>
      </c>
      <c r="K50" t="str">
        <f t="array" ref="K50:T50">[1]!'4538.TW-OperatingProfitRatio,Price,PriceChangeRatio,InOutRatioNumber,Value,YearReturn,MonthReturn,WeekReturn,FinanceBalanceDif,ChipsField2'</f>
        <v>3.85</v>
      </c>
      <c r="L50">
        <v>18.25</v>
      </c>
      <c r="M50">
        <v>0.27</v>
      </c>
      <c r="N50" t="str">
        <v>100.00%</v>
      </c>
      <c r="O50" t="str">
        <v>3.64萬</v>
      </c>
      <c r="P50" t="str">
        <v>-1.80</v>
      </c>
      <c r="Q50" t="str">
        <v>+7.35</v>
      </c>
      <c r="R50" t="str">
        <v>+0.27</v>
      </c>
      <c r="S50">
        <v>0</v>
      </c>
      <c r="T50">
        <v>0</v>
      </c>
      <c r="U50">
        <f t="array" ref="U50:AD50">[1]!'4538.TW-ChipsField3,ChipsField1,ChipsField25,CashAndStockDividend,CashDividendYieldRate,ProfitFourSeason,ProfitSingle,CName,ExchangeIndustry,CompanyPos'</f>
        <v>0</v>
      </c>
      <c r="V50">
        <v>0</v>
      </c>
      <c r="W50" t="str">
        <v>2022/06/14</v>
      </c>
      <c r="X50" t="str">
        <v>0.50</v>
      </c>
      <c r="Y50">
        <v>2.74</v>
      </c>
      <c r="Z50" t="str">
        <v>0.70</v>
      </c>
      <c r="AA50" t="str">
        <v>0.09</v>
      </c>
      <c r="AB50" t="str">
        <v>大詠城</v>
      </c>
      <c r="AC50" t="str">
        <v>上櫃電機機械</v>
      </c>
      <c r="AD50" t="str">
        <v>台灣工具機鑄件廠</v>
      </c>
      <c r="AE50" t="str">
        <f t="array" ref="AE50:AH50">[1]!'4538.TW-CName,InvestorConferenceDate,DateofMeetingofShareHolders,TradingDate'</f>
        <v>大詠城</v>
      </c>
      <c r="AF50" t="str">
        <v>--</v>
      </c>
      <c r="AG50" t="str">
        <v>2022/05/26</v>
      </c>
      <c r="AH50" t="str">
        <v>2022/08/01</v>
      </c>
    </row>
    <row r="51" spans="1:34" x14ac:dyDescent="0.3">
      <c r="A51" t="str">
        <f t="array" ref="A51:J51">[1]!'4543.TW-ID,Name,MarketValue,Capital,NetIncomeGrowthRate,OperIncomeGrowthRate,FinancialStatementsTime,TFXRatio,MonthlyNetSalesYoY,RevenueMonth'</f>
        <v>4543</v>
      </c>
      <c r="B51" t="str">
        <v>萬在</v>
      </c>
      <c r="C51" t="str">
        <v>16.7</v>
      </c>
      <c r="D51" t="str">
        <v>5.70</v>
      </c>
      <c r="E51" t="str">
        <v>165.12</v>
      </c>
      <c r="F51" t="str">
        <v>35.34</v>
      </c>
      <c r="G51" t="str">
        <v>2022/03</v>
      </c>
      <c r="H51" t="str">
        <v>11.04</v>
      </c>
      <c r="I51" t="str">
        <v>8.00</v>
      </c>
      <c r="J51" t="str">
        <v>2022/06</v>
      </c>
      <c r="K51" t="str">
        <f t="array" ref="K51:T51">[1]!'4543.TW-OperatingProfitRatio,Price,PriceChangeRatio,InOutRatioNumber,Value,YearReturn,MonthReturn,WeekReturn,FinanceBalanceDif,ChipsField2'</f>
        <v>8.35</v>
      </c>
      <c r="L51">
        <v>29.25</v>
      </c>
      <c r="M51">
        <v>9.9600000000000009</v>
      </c>
      <c r="N51" t="str">
        <v>63.85%</v>
      </c>
      <c r="O51" t="str">
        <v>3.06億</v>
      </c>
      <c r="P51" t="str">
        <v>+69.57</v>
      </c>
      <c r="Q51" t="str">
        <v>+41.65</v>
      </c>
      <c r="R51" t="str">
        <v>+20.87</v>
      </c>
      <c r="S51">
        <v>10</v>
      </c>
      <c r="T51">
        <v>0</v>
      </c>
      <c r="U51">
        <f t="array" ref="U51:AD51">[1]!'4543.TW-ChipsField3,ChipsField1,ChipsField25,CashAndStockDividend,CashDividendYieldRate,ProfitFourSeason,ProfitSingle,CName,ExchangeIndustry,CompanyPos'</f>
        <v>0</v>
      </c>
      <c r="V51">
        <v>169</v>
      </c>
      <c r="W51" t="str">
        <v>--</v>
      </c>
      <c r="X51" t="str">
        <v>0.00</v>
      </c>
      <c r="Y51">
        <v>0</v>
      </c>
      <c r="Z51" t="str">
        <v>0.90</v>
      </c>
      <c r="AA51" t="str">
        <v>0.59</v>
      </c>
      <c r="AB51" t="str">
        <v>萬在</v>
      </c>
      <c r="AC51" t="str">
        <v>上櫃電機機械</v>
      </c>
      <c r="AD51" t="str">
        <v>專供AM市場汽車空調與引擎冷卻系統零件製造廠</v>
      </c>
      <c r="AE51" t="str">
        <f t="array" ref="AE51:AH51">[1]!'4543.TW-CName,InvestorConferenceDate,DateofMeetingofShareHolders,TradingDate'</f>
        <v>萬在</v>
      </c>
      <c r="AF51" t="str">
        <v>--</v>
      </c>
      <c r="AG51" t="str">
        <v>2022/05/31</v>
      </c>
      <c r="AH51" t="str">
        <v>2022/08/01</v>
      </c>
    </row>
    <row r="52" spans="1:34" x14ac:dyDescent="0.3">
      <c r="A52" t="str">
        <f t="array" ref="A52:J52">[1]!'4549.TW-ID,Name,MarketValue,Capital,NetIncomeGrowthRate,OperIncomeGrowthRate,FinancialStatementsTime,TFXRatio,MonthlyNetSalesYoY,RevenueMonth'</f>
        <v>4549</v>
      </c>
      <c r="B52" t="str">
        <v>桓達</v>
      </c>
      <c r="C52" t="str">
        <v>39.1</v>
      </c>
      <c r="D52" t="str">
        <v>4.45</v>
      </c>
      <c r="E52" t="str">
        <v>24.24</v>
      </c>
      <c r="F52" t="str">
        <v>-7.48</v>
      </c>
      <c r="G52" t="str">
        <v>2022/03</v>
      </c>
      <c r="H52" t="str">
        <v>42.74</v>
      </c>
      <c r="I52" t="str">
        <v>51.78</v>
      </c>
      <c r="J52" t="str">
        <v>2022/06</v>
      </c>
      <c r="K52" t="str">
        <f t="array" ref="K52:T52">[1]!'4549.TW-OperatingProfitRatio,Price,PriceChangeRatio,InOutRatioNumber,Value,YearReturn,MonthReturn,WeekReturn,FinanceBalanceDif,ChipsField2'</f>
        <v>20.43</v>
      </c>
      <c r="L52">
        <v>87.8</v>
      </c>
      <c r="M52">
        <v>1.86</v>
      </c>
      <c r="N52" t="str">
        <v>69.66%</v>
      </c>
      <c r="O52" t="str">
        <v>776萬</v>
      </c>
      <c r="P52" t="str">
        <v>+15.61</v>
      </c>
      <c r="Q52" t="str">
        <v>+6.42</v>
      </c>
      <c r="R52" t="str">
        <v>+2.45</v>
      </c>
      <c r="S52">
        <v>0</v>
      </c>
      <c r="T52">
        <v>0</v>
      </c>
      <c r="U52">
        <f t="array" ref="U52:AD52">[1]!'4549.TW-ChipsField3,ChipsField1,ChipsField25,CashAndStockDividend,CashDividendYieldRate,ProfitFourSeason,ProfitSingle,CName,ExchangeIndustry,CompanyPos'</f>
        <v>0</v>
      </c>
      <c r="V52">
        <v>0</v>
      </c>
      <c r="W52" t="str">
        <v>2022/06/28</v>
      </c>
      <c r="X52" t="str">
        <v>5.20</v>
      </c>
      <c r="Y52">
        <v>5.92</v>
      </c>
      <c r="Z52" t="str">
        <v>6.60</v>
      </c>
      <c r="AA52" t="str">
        <v>1.38</v>
      </c>
      <c r="AB52" t="str">
        <v>桓達</v>
      </c>
      <c r="AC52" t="str">
        <v>上櫃電機機械</v>
      </c>
      <c r="AD52" t="str">
        <v>台灣最大製程自動化感測器廠</v>
      </c>
      <c r="AE52" t="str">
        <f t="array" ref="AE52:AH52">[1]!'4549.TW-CName,InvestorConferenceDate,DateofMeetingofShareHolders,TradingDate'</f>
        <v>桓達</v>
      </c>
      <c r="AF52" t="str">
        <v>2021/10/13</v>
      </c>
      <c r="AG52" t="str">
        <v>2022/06/10</v>
      </c>
      <c r="AH52" t="str">
        <v>2022/08/01</v>
      </c>
    </row>
    <row r="53" spans="1:34" x14ac:dyDescent="0.3">
      <c r="A53" t="str">
        <f t="array" ref="A53:J53">[1]!'4550.TW-ID,Name,MarketValue,Capital,NetIncomeGrowthRate,OperIncomeGrowthRate,FinancialStatementsTime,TFXRatio,MonthlyNetSalesYoY,RevenueMonth'</f>
        <v>4550</v>
      </c>
      <c r="B53" t="str">
        <v>長佳</v>
      </c>
      <c r="C53" t="str">
        <v>8.1</v>
      </c>
      <c r="D53" t="str">
        <v>3.78</v>
      </c>
      <c r="E53" t="str">
        <v>75.51</v>
      </c>
      <c r="F53" t="str">
        <v>-8.23</v>
      </c>
      <c r="G53" t="str">
        <v>2022/03</v>
      </c>
      <c r="H53" t="str">
        <v>21.36</v>
      </c>
      <c r="I53" t="str">
        <v>17.24</v>
      </c>
      <c r="J53" t="str">
        <v>2022/06</v>
      </c>
      <c r="K53" t="str">
        <f t="array" ref="K53:T53">[1]!'4550.TW-OperatingProfitRatio,Price,PriceChangeRatio,InOutRatioNumber,Value,YearReturn,MonthReturn,WeekReturn,FinanceBalanceDif,ChipsField2'</f>
        <v>1.94</v>
      </c>
      <c r="L53">
        <v>21.5</v>
      </c>
      <c r="M53">
        <v>2.63</v>
      </c>
      <c r="N53" t="str">
        <v>75.00%</v>
      </c>
      <c r="O53" t="str">
        <v>33.6萬</v>
      </c>
      <c r="P53" t="str">
        <v>-0.88</v>
      </c>
      <c r="Q53" t="str">
        <v>+4.37</v>
      </c>
      <c r="R53" t="str">
        <v>+0.70</v>
      </c>
      <c r="S53">
        <v>0</v>
      </c>
      <c r="T53">
        <v>0</v>
      </c>
      <c r="U53">
        <f t="array" ref="U53:AD53">[1]!'4550.TW-ChipsField3,ChipsField1,ChipsField25,CashAndStockDividend,CashDividendYieldRate,ProfitFourSeason,ProfitSingle,CName,ExchangeIndustry,CompanyPos'</f>
        <v>0</v>
      </c>
      <c r="V53">
        <v>0</v>
      </c>
      <c r="W53" t="str">
        <v>2022/06/30</v>
      </c>
      <c r="X53" t="str">
        <v>1.15</v>
      </c>
      <c r="Y53">
        <v>5.35</v>
      </c>
      <c r="Z53" t="str">
        <v>1.50</v>
      </c>
      <c r="AA53" t="str">
        <v>0.21</v>
      </c>
      <c r="AB53" t="str">
        <v>長佳</v>
      </c>
      <c r="AC53" t="str">
        <v>上櫃電機機械</v>
      </c>
      <c r="AD53" t="str">
        <v>專業的機電工程整合公司</v>
      </c>
      <c r="AE53" t="str">
        <f t="array" ref="AE53:AH53">[1]!'4550.TW-CName,InvestorConferenceDate,DateofMeetingofShareHolders,TradingDate'</f>
        <v>長佳</v>
      </c>
      <c r="AF53" t="str">
        <v>--</v>
      </c>
      <c r="AG53" t="str">
        <v>2022/06/14</v>
      </c>
      <c r="AH53" t="str">
        <v>2022/08/01</v>
      </c>
    </row>
    <row r="54" spans="1:34" x14ac:dyDescent="0.3">
      <c r="A54" t="str">
        <f t="array" ref="A54:J54">[1]!'4558.TW-ID,Name,MarketValue,Capital,NetIncomeGrowthRate,OperIncomeGrowthRate,FinancialStatementsTime,TFXRatio,MonthlyNetSalesYoY,RevenueMonth'</f>
        <v>4558</v>
      </c>
      <c r="B54" t="str">
        <v>寶緯</v>
      </c>
      <c r="C54" t="str">
        <v>18.2</v>
      </c>
      <c r="D54" t="str">
        <v>5.00</v>
      </c>
      <c r="E54" t="str">
        <v>76.37</v>
      </c>
      <c r="F54" t="str">
        <v>90.11</v>
      </c>
      <c r="G54" t="str">
        <v>2022/03</v>
      </c>
      <c r="H54" t="str">
        <v>-9.33</v>
      </c>
      <c r="I54" t="str">
        <v>6.28</v>
      </c>
      <c r="J54" t="str">
        <v>2022/06</v>
      </c>
      <c r="K54" t="str">
        <f t="array" ref="K54:T54">[1]!'4558.TW-OperatingProfitRatio,Price,PriceChangeRatio,InOutRatioNumber,Value,YearReturn,MonthReturn,WeekReturn,FinanceBalanceDif,ChipsField2'</f>
        <v>13.12</v>
      </c>
      <c r="L54">
        <v>36.4</v>
      </c>
      <c r="M54">
        <v>-0.27</v>
      </c>
      <c r="N54" t="str">
        <v>19.23%</v>
      </c>
      <c r="O54" t="str">
        <v>93.8萬</v>
      </c>
      <c r="P54" t="str">
        <v>--</v>
      </c>
      <c r="Q54" t="str">
        <v>+2.87</v>
      </c>
      <c r="R54" t="str">
        <v>-0.68</v>
      </c>
      <c r="S54">
        <v>0</v>
      </c>
      <c r="T54">
        <v>0</v>
      </c>
      <c r="U54">
        <f t="array" ref="U54:AD54">[1]!'4558.TW-ChipsField3,ChipsField1,ChipsField25,CashAndStockDividend,CashDividendYieldRate,ProfitFourSeason,ProfitSingle,CName,ExchangeIndustry,CompanyPos'</f>
        <v>0</v>
      </c>
      <c r="V54">
        <v>0</v>
      </c>
      <c r="W54" t="str">
        <v>2022/07/14</v>
      </c>
      <c r="X54" t="str">
        <v>3.00</v>
      </c>
      <c r="Y54">
        <v>8.24</v>
      </c>
      <c r="Z54" t="str">
        <v>5.04</v>
      </c>
      <c r="AA54" t="str">
        <v>1.16</v>
      </c>
      <c r="AB54" t="str">
        <v>寶緯</v>
      </c>
      <c r="AC54" t="str">
        <v>上櫃電機機械</v>
      </c>
      <c r="AD54" t="str">
        <v>台灣加工鋁擠型及鋁窗生產廠</v>
      </c>
      <c r="AE54" t="str">
        <f t="array" ref="AE54:AH54">[1]!'4558.TW-CName,InvestorConferenceDate,DateofMeetingofShareHolders,TradingDate'</f>
        <v>寶緯</v>
      </c>
      <c r="AF54" t="str">
        <v>--</v>
      </c>
      <c r="AG54" t="str">
        <v>2022/06/24</v>
      </c>
      <c r="AH54" t="str">
        <v>2022/08/01</v>
      </c>
    </row>
    <row r="55" spans="1:34" x14ac:dyDescent="0.3">
      <c r="A55" t="str">
        <f t="array" ref="A55:J55">[1]!'4561.TW-ID,Name,MarketValue,Capital,NetIncomeGrowthRate,OperIncomeGrowthRate,FinancialStatementsTime,TFXRatio,MonthlyNetSalesYoY,RevenueMonth'</f>
        <v>4561</v>
      </c>
      <c r="B55" t="str">
        <v>健椿</v>
      </c>
      <c r="C55" t="str">
        <v>14.9</v>
      </c>
      <c r="D55" t="str">
        <v>5.85</v>
      </c>
      <c r="E55" t="str">
        <v>11.18</v>
      </c>
      <c r="F55" t="str">
        <v>-27.11</v>
      </c>
      <c r="G55" t="str">
        <v>2022/03</v>
      </c>
      <c r="H55" t="str">
        <v>-1.67</v>
      </c>
      <c r="I55" t="str">
        <v>-5.08</v>
      </c>
      <c r="J55" t="str">
        <v>2022/06</v>
      </c>
      <c r="K55" t="str">
        <f t="array" ref="K55:T55">[1]!'4561.TW-OperatingProfitRatio,Price,PriceChangeRatio,InOutRatioNumber,Value,YearReturn,MonthReturn,WeekReturn,FinanceBalanceDif,ChipsField2'</f>
        <v>10.74</v>
      </c>
      <c r="L55">
        <v>25.4</v>
      </c>
      <c r="M55">
        <v>2.42</v>
      </c>
      <c r="N55" t="str">
        <v>100.00%</v>
      </c>
      <c r="O55" t="str">
        <v>104萬</v>
      </c>
      <c r="P55" t="str">
        <v>-3.32</v>
      </c>
      <c r="Q55" t="str">
        <v>+4.16</v>
      </c>
      <c r="R55" t="str">
        <v>+2.42</v>
      </c>
      <c r="S55">
        <v>1</v>
      </c>
      <c r="T55">
        <v>0</v>
      </c>
      <c r="U55">
        <f t="array" ref="U55:AD55">[1]!'4561.TW-ChipsField3,ChipsField1,ChipsField25,CashAndStockDividend,CashDividendYieldRate,ProfitFourSeason,ProfitSingle,CName,ExchangeIndustry,CompanyPos'</f>
        <v>1</v>
      </c>
      <c r="V55">
        <v>1</v>
      </c>
      <c r="W55" t="str">
        <v>2022/07/19</v>
      </c>
      <c r="X55" t="str">
        <v>0.90</v>
      </c>
      <c r="Y55">
        <v>3.54</v>
      </c>
      <c r="Z55" t="str">
        <v>2.56</v>
      </c>
      <c r="AA55" t="str">
        <v>0.64</v>
      </c>
      <c r="AB55" t="str">
        <v>健椿</v>
      </c>
      <c r="AC55" t="str">
        <v>上櫃電機機械</v>
      </c>
      <c r="AD55" t="str">
        <v>台灣最大精密主軸製造廠</v>
      </c>
      <c r="AE55" t="str">
        <f t="array" ref="AE55:AH55">[1]!'4561.TW-CName,InvestorConferenceDate,DateofMeetingofShareHolders,TradingDate'</f>
        <v>健椿</v>
      </c>
      <c r="AF55" t="str">
        <v>--</v>
      </c>
      <c r="AG55" t="str">
        <v>2022/06/21</v>
      </c>
      <c r="AH55" t="str">
        <v>2022/08/01</v>
      </c>
    </row>
    <row r="56" spans="1:34" x14ac:dyDescent="0.3">
      <c r="A56" t="str">
        <f t="array" ref="A56:J56">[1]!'4563.TW-ID,Name,MarketValue,Capital,NetIncomeGrowthRate,OperIncomeGrowthRate,FinancialStatementsTime,TFXRatio,MonthlyNetSalesYoY,RevenueMonth'</f>
        <v>4563</v>
      </c>
      <c r="B56" t="str">
        <v>百德</v>
      </c>
      <c r="C56" t="str">
        <v>17.1</v>
      </c>
      <c r="D56" t="str">
        <v>5.50</v>
      </c>
      <c r="E56" t="str">
        <v>156.18</v>
      </c>
      <c r="F56" t="str">
        <v>122.57</v>
      </c>
      <c r="G56" t="str">
        <v>2022/03</v>
      </c>
      <c r="H56" t="str">
        <v>14.79</v>
      </c>
      <c r="I56" t="str">
        <v>28.08</v>
      </c>
      <c r="J56" t="str">
        <v>2022/06</v>
      </c>
      <c r="K56" t="str">
        <f t="array" ref="K56:T56">[1]!'4563.TW-OperatingProfitRatio,Price,PriceChangeRatio,InOutRatioNumber,Value,YearReturn,MonthReturn,WeekReturn,FinanceBalanceDif,ChipsField2'</f>
        <v>1.89</v>
      </c>
      <c r="L56">
        <v>31.1</v>
      </c>
      <c r="M56">
        <v>-0.16</v>
      </c>
      <c r="N56" t="str">
        <v>58.82%</v>
      </c>
      <c r="O56" t="str">
        <v>58.7萬</v>
      </c>
      <c r="P56" t="str">
        <v>+1.30</v>
      </c>
      <c r="Q56" t="str">
        <v>+4.01</v>
      </c>
      <c r="R56" t="str">
        <v>-0.48</v>
      </c>
      <c r="S56">
        <v>0</v>
      </c>
      <c r="T56">
        <v>0</v>
      </c>
      <c r="U56">
        <f t="array" ref="U56:AD56">[1]!'4563.TW-ChipsField3,ChipsField1,ChipsField25,CashAndStockDividend,CashDividendYieldRate,ProfitFourSeason,ProfitSingle,CName,ExchangeIndustry,CompanyPos'</f>
        <v>0</v>
      </c>
      <c r="V56">
        <v>2</v>
      </c>
      <c r="W56" t="str">
        <v>--</v>
      </c>
      <c r="X56" t="str">
        <v>0.00</v>
      </c>
      <c r="Y56">
        <v>0</v>
      </c>
      <c r="Z56" t="str">
        <v>-1.68</v>
      </c>
      <c r="AA56" t="str">
        <v>0.60</v>
      </c>
      <c r="AB56" t="str">
        <v>百德</v>
      </c>
      <c r="AC56" t="str">
        <v>上櫃電機機械</v>
      </c>
      <c r="AD56" t="str">
        <v>為台灣老字號的綜合加工機製造廠商</v>
      </c>
      <c r="AE56" t="str">
        <f t="array" ref="AE56:AH56">[1]!'4563.TW-CName,InvestorConferenceDate,DateofMeetingofShareHolders,TradingDate'</f>
        <v>百德</v>
      </c>
      <c r="AF56" t="str">
        <v>--</v>
      </c>
      <c r="AG56" t="str">
        <v>2022/08/04</v>
      </c>
      <c r="AH56" t="str">
        <v>2022/08/01</v>
      </c>
    </row>
    <row r="57" spans="1:34" x14ac:dyDescent="0.3">
      <c r="A57" t="str">
        <f t="array" ref="A57:J57">[1]!'4568.TW-ID,Name,MarketValue,Capital,NetIncomeGrowthRate,OperIncomeGrowthRate,FinancialStatementsTime,TFXRatio,MonthlyNetSalesYoY,RevenueMonth'</f>
        <v>4568</v>
      </c>
      <c r="B57" t="str">
        <v>科際精密</v>
      </c>
      <c r="C57" t="str">
        <v>19.9</v>
      </c>
      <c r="D57" t="str">
        <v>3.02</v>
      </c>
      <c r="E57" t="str">
        <v>38.64</v>
      </c>
      <c r="F57" t="str">
        <v>-4.85</v>
      </c>
      <c r="G57" t="str">
        <v>2022/03</v>
      </c>
      <c r="H57" t="str">
        <v>2.21</v>
      </c>
      <c r="I57" t="str">
        <v>-7.29</v>
      </c>
      <c r="J57" t="str">
        <v>2022/06</v>
      </c>
      <c r="K57" t="str">
        <f t="array" ref="K57:T57">[1]!'4568.TW-OperatingProfitRatio,Price,PriceChangeRatio,InOutRatioNumber,Value,YearReturn,MonthReturn,WeekReturn,FinanceBalanceDif,ChipsField2'</f>
        <v>9.90</v>
      </c>
      <c r="L57">
        <v>65.900000000000006</v>
      </c>
      <c r="M57">
        <v>0.46</v>
      </c>
      <c r="N57" t="str">
        <v>33.33%</v>
      </c>
      <c r="O57" t="str">
        <v>39.8萬</v>
      </c>
      <c r="P57" t="str">
        <v>+4.99</v>
      </c>
      <c r="Q57" t="str">
        <v>+2.17</v>
      </c>
      <c r="R57" t="str">
        <v>+2.01</v>
      </c>
      <c r="S57">
        <v>-2</v>
      </c>
      <c r="T57">
        <v>0</v>
      </c>
      <c r="U57">
        <f t="array" ref="U57:AD57">[1]!'4568.TW-ChipsField3,ChipsField1,ChipsField25,CashAndStockDividend,CashDividendYieldRate,ProfitFourSeason,ProfitSingle,CName,ExchangeIndustry,CompanyPos'</f>
        <v>0</v>
      </c>
      <c r="V57">
        <v>-1</v>
      </c>
      <c r="W57" t="str">
        <v>2022/04/11</v>
      </c>
      <c r="X57" t="str">
        <v>4.50</v>
      </c>
      <c r="Y57">
        <v>6.83</v>
      </c>
      <c r="Z57" t="str">
        <v>5.43</v>
      </c>
      <c r="AA57" t="str">
        <v>1.44</v>
      </c>
      <c r="AB57" t="str">
        <v>科際精密</v>
      </c>
      <c r="AC57" t="str">
        <v>上櫃電機機械</v>
      </c>
      <c r="AD57" t="str">
        <v>專業微型泵浦生產廠商</v>
      </c>
      <c r="AE57" t="str">
        <f t="array" ref="AE57:AH57">[1]!'4568.TW-CName,InvestorConferenceDate,DateofMeetingofShareHolders,TradingDate'</f>
        <v>科際精密</v>
      </c>
      <c r="AF57" t="str">
        <v>2022/08/05</v>
      </c>
      <c r="AG57" t="str">
        <v>2022/06/22</v>
      </c>
      <c r="AH57" t="str">
        <v>2022/08/01</v>
      </c>
    </row>
    <row r="58" spans="1:34" x14ac:dyDescent="0.3">
      <c r="A58" t="str">
        <f t="array" ref="A58:J58">[1]!'4580.TW-ID,Name,MarketValue,Capital,NetIncomeGrowthRate,OperIncomeGrowthRate,FinancialStatementsTime,TFXRatio,MonthlyNetSalesYoY,RevenueMonth'</f>
        <v>4580</v>
      </c>
      <c r="B58" t="str">
        <v>捷流閥業</v>
      </c>
      <c r="C58" t="str">
        <v>38.1</v>
      </c>
      <c r="D58" t="str">
        <v>4.31</v>
      </c>
      <c r="E58" t="str">
        <v>30.21</v>
      </c>
      <c r="F58" t="str">
        <v>15.12</v>
      </c>
      <c r="G58" t="str">
        <v>2022/03</v>
      </c>
      <c r="H58" t="str">
        <v>-1.86</v>
      </c>
      <c r="I58" t="str">
        <v>10.48</v>
      </c>
      <c r="J58" t="str">
        <v>2022/06</v>
      </c>
      <c r="K58" t="str">
        <f t="array" ref="K58:T58">[1]!'4580.TW-OperatingProfitRatio,Price,PriceChangeRatio,InOutRatioNumber,Value,YearReturn,MonthReturn,WeekReturn,FinanceBalanceDif,ChipsField2'</f>
        <v>16.98</v>
      </c>
      <c r="L58">
        <v>88.3</v>
      </c>
      <c r="M58">
        <v>0.68</v>
      </c>
      <c r="N58" t="str">
        <v>55.56%</v>
      </c>
      <c r="O58" t="str">
        <v>317萬</v>
      </c>
      <c r="P58" t="str">
        <v>+4.00</v>
      </c>
      <c r="Q58" t="str">
        <v>+2.32</v>
      </c>
      <c r="R58" t="str">
        <v>+0.46</v>
      </c>
      <c r="S58">
        <v>0</v>
      </c>
      <c r="T58">
        <v>0</v>
      </c>
      <c r="U58">
        <f t="array" ref="U58:AD58">[1]!'4580.TW-ChipsField3,ChipsField1,ChipsField25,CashAndStockDividend,CashDividendYieldRate,ProfitFourSeason,ProfitSingle,CName,ExchangeIndustry,CompanyPos'</f>
        <v>0</v>
      </c>
      <c r="V58">
        <v>3</v>
      </c>
      <c r="W58" t="str">
        <v>2022/08/08</v>
      </c>
      <c r="X58" t="str">
        <v>5.22</v>
      </c>
      <c r="Y58">
        <v>5.91</v>
      </c>
      <c r="Z58" t="str">
        <v>8.57</v>
      </c>
      <c r="AA58" t="str">
        <v>2.27</v>
      </c>
      <c r="AB58" t="str">
        <v>捷流閥業</v>
      </c>
      <c r="AC58" t="str">
        <v>上櫃電機機械</v>
      </c>
      <c r="AD58" t="str">
        <v>專業閥門製造商</v>
      </c>
      <c r="AE58" t="str">
        <f t="array" ref="AE58:AH58">[1]!'4580.TW-CName,InvestorConferenceDate,DateofMeetingofShareHolders,TradingDate'</f>
        <v>捷流閥業</v>
      </c>
      <c r="AF58" t="str">
        <v>2022/05/12</v>
      </c>
      <c r="AG58" t="str">
        <v>2022/06/27</v>
      </c>
      <c r="AH58" t="str">
        <v>2022/08/01</v>
      </c>
    </row>
    <row r="59" spans="1:34" x14ac:dyDescent="0.3">
      <c r="A59" t="str">
        <f t="array" ref="A59:J59">[1]!'6122.TW-ID,Name,MarketValue,Capital,NetIncomeGrowthRate,OperIncomeGrowthRate,FinancialStatementsTime,TFXRatio,MonthlyNetSalesYoY,RevenueMonth'</f>
        <v>6122</v>
      </c>
      <c r="B59" t="str">
        <v>擎邦</v>
      </c>
      <c r="C59" t="str">
        <v>13.7</v>
      </c>
      <c r="D59" t="str">
        <v>7.08</v>
      </c>
      <c r="E59" t="str">
        <v>1448.26</v>
      </c>
      <c r="F59" t="str">
        <v>1903.30</v>
      </c>
      <c r="G59" t="str">
        <v>2022/03</v>
      </c>
      <c r="H59" t="str">
        <v>66.13</v>
      </c>
      <c r="I59" t="str">
        <v>76.41</v>
      </c>
      <c r="J59" t="str">
        <v>2022/06</v>
      </c>
      <c r="K59" t="str">
        <f t="array" ref="K59:T59">[1]!'6122.TW-OperatingProfitRatio,Price,PriceChangeRatio,InOutRatioNumber,Value,YearReturn,MonthReturn,WeekReturn,FinanceBalanceDif,ChipsField2'</f>
        <v>4.09</v>
      </c>
      <c r="L59">
        <v>19.399999999999999</v>
      </c>
      <c r="M59">
        <v>-0.26</v>
      </c>
      <c r="N59" t="str">
        <v>26.33%</v>
      </c>
      <c r="O59" t="str">
        <v>1729萬</v>
      </c>
      <c r="P59" t="str">
        <v>+84.66</v>
      </c>
      <c r="Q59" t="str">
        <v>+22.01</v>
      </c>
      <c r="R59" t="str">
        <v>+4.58</v>
      </c>
      <c r="S59">
        <v>-132</v>
      </c>
      <c r="T59">
        <v>0</v>
      </c>
      <c r="U59">
        <f t="array" ref="U59:AD59">[1]!'6122.TW-ChipsField3,ChipsField1,ChipsField25,CashAndStockDividend,CashDividendYieldRate,ProfitFourSeason,ProfitSingle,CName,ExchangeIndustry,CompanyPos'</f>
        <v>-5</v>
      </c>
      <c r="V59">
        <v>606</v>
      </c>
      <c r="W59" t="str">
        <v>--</v>
      </c>
      <c r="X59" t="str">
        <v>0.60</v>
      </c>
      <c r="Y59">
        <v>3.09</v>
      </c>
      <c r="Z59" t="str">
        <v>1.11</v>
      </c>
      <c r="AA59" t="str">
        <v>0.35</v>
      </c>
      <c r="AB59" t="str">
        <v>擎邦</v>
      </c>
      <c r="AC59" t="str">
        <v>上櫃電機機械</v>
      </c>
      <c r="AD59" t="str">
        <v>整廠工程之承攬、規劃、設計、施工服務廠商</v>
      </c>
      <c r="AE59" t="str">
        <f t="array" ref="AE59:AH59">[1]!'6122.TW-CName,InvestorConferenceDate,DateofMeetingofShareHolders,TradingDate'</f>
        <v>擎邦</v>
      </c>
      <c r="AF59" t="str">
        <v>--</v>
      </c>
      <c r="AG59" t="str">
        <v>2022/06/24</v>
      </c>
      <c r="AH59" t="str">
        <v>2022/08/01</v>
      </c>
    </row>
    <row r="60" spans="1:34" x14ac:dyDescent="0.3">
      <c r="A60" t="str">
        <f t="array" ref="A60:J60">[1]!'6425.TW-ID,Name,MarketValue,Capital,NetIncomeGrowthRate,OperIncomeGrowthRate,FinancialStatementsTime,TFXRatio,MonthlyNetSalesYoY,RevenueMonth'</f>
        <v>6425</v>
      </c>
      <c r="B60" t="str">
        <v>易發</v>
      </c>
      <c r="C60" t="str">
        <v>9.6</v>
      </c>
      <c r="D60" t="str">
        <v>4.36</v>
      </c>
      <c r="E60" t="str">
        <v>134.34</v>
      </c>
      <c r="F60" t="str">
        <v>117.33</v>
      </c>
      <c r="G60" t="str">
        <v>2022/03</v>
      </c>
      <c r="H60" t="str">
        <v>15.23</v>
      </c>
      <c r="I60" t="str">
        <v>14.73</v>
      </c>
      <c r="J60" t="str">
        <v>2022/06</v>
      </c>
      <c r="K60" t="str">
        <f t="array" ref="K60:T60">[1]!'6425.TW-OperatingProfitRatio,Price,PriceChangeRatio,InOutRatioNumber,Value,YearReturn,MonthReturn,WeekReturn,FinanceBalanceDif,ChipsField2'</f>
        <v>3.52</v>
      </c>
      <c r="L60">
        <v>21.95</v>
      </c>
      <c r="M60">
        <v>0.69</v>
      </c>
      <c r="N60" t="str">
        <v>80.00%</v>
      </c>
      <c r="O60" t="str">
        <v>10.9萬</v>
      </c>
      <c r="P60" t="str">
        <v>-4.44</v>
      </c>
      <c r="Q60" t="str">
        <v>+2.07</v>
      </c>
      <c r="R60" t="str">
        <v>+0.23</v>
      </c>
      <c r="S60">
        <v>1</v>
      </c>
      <c r="T60">
        <v>0</v>
      </c>
      <c r="U60">
        <f t="array" ref="U60:AD60">[1]!'6425.TW-ChipsField3,ChipsField1,ChipsField25,CashAndStockDividend,CashDividendYieldRate,ProfitFourSeason,ProfitSingle,CName,ExchangeIndustry,CompanyPos'</f>
        <v>0</v>
      </c>
      <c r="V60">
        <v>-1</v>
      </c>
      <c r="W60" t="str">
        <v>2022/07/15</v>
      </c>
      <c r="X60" t="str">
        <v>0.50</v>
      </c>
      <c r="Y60">
        <v>2.2799999999999998</v>
      </c>
      <c r="Z60" t="str">
        <v>-0.06</v>
      </c>
      <c r="AA60" t="str">
        <v>0.63</v>
      </c>
      <c r="AB60" t="str">
        <v>易發</v>
      </c>
      <c r="AC60" t="str">
        <v>上櫃電機機械</v>
      </c>
      <c r="AD60" t="str">
        <v>深耕面板製程設備，並跨足半導體及動力電池設備之廠商</v>
      </c>
      <c r="AE60" t="str">
        <f t="array" ref="AE60:AH60">[1]!'6425.TW-CName,InvestorConferenceDate,DateofMeetingofShareHolders,TradingDate'</f>
        <v>易發</v>
      </c>
      <c r="AF60" t="str">
        <v>--</v>
      </c>
      <c r="AG60" t="str">
        <v>2022/05/18</v>
      </c>
      <c r="AH60" t="str">
        <v>2022/08/01</v>
      </c>
    </row>
    <row r="61" spans="1:34" x14ac:dyDescent="0.3">
      <c r="A61" t="str">
        <f t="array" ref="A61:J61">[1]!'6603.TW-ID,Name,MarketValue,Capital,NetIncomeGrowthRate,OperIncomeGrowthRate,FinancialStatementsTime,TFXRatio,MonthlyNetSalesYoY,RevenueMonth'</f>
        <v>6603</v>
      </c>
      <c r="B61" t="str">
        <v>富強鑫</v>
      </c>
      <c r="C61" t="str">
        <v>26.3</v>
      </c>
      <c r="D61" t="str">
        <v>14.94</v>
      </c>
      <c r="E61" t="str">
        <v>62.18</v>
      </c>
      <c r="F61" t="str">
        <v>39.91</v>
      </c>
      <c r="G61" t="str">
        <v>2022/03</v>
      </c>
      <c r="H61" t="str">
        <v>-0.05</v>
      </c>
      <c r="I61" t="str">
        <v>1.08</v>
      </c>
      <c r="J61" t="str">
        <v>2022/06</v>
      </c>
      <c r="K61" t="str">
        <f t="array" ref="K61:T61">[1]!'6603.TW-OperatingProfitRatio,Price,PriceChangeRatio,InOutRatioNumber,Value,YearReturn,MonthReturn,WeekReturn,FinanceBalanceDif,ChipsField2'</f>
        <v>4.95</v>
      </c>
      <c r="L61">
        <v>17.600000000000001</v>
      </c>
      <c r="M61">
        <v>-0.28000000000000003</v>
      </c>
      <c r="N61" t="str">
        <v>46.59%</v>
      </c>
      <c r="O61" t="str">
        <v>528萬</v>
      </c>
      <c r="P61" t="str">
        <v>+13.36</v>
      </c>
      <c r="Q61" t="str">
        <v>+7.98</v>
      </c>
      <c r="R61" t="str">
        <v>+2.92</v>
      </c>
      <c r="S61">
        <v>43</v>
      </c>
      <c r="T61">
        <v>0</v>
      </c>
      <c r="U61">
        <f t="array" ref="U61:AD61">[1]!'6603.TW-ChipsField3,ChipsField1,ChipsField25,CashAndStockDividend,CashDividendYieldRate,ProfitFourSeason,ProfitSingle,CName,ExchangeIndustry,CompanyPos'</f>
        <v>0</v>
      </c>
      <c r="V61">
        <v>155</v>
      </c>
      <c r="W61" t="str">
        <v>2022/08/22</v>
      </c>
      <c r="X61" t="str">
        <v>0.50</v>
      </c>
      <c r="Y61">
        <v>2.84</v>
      </c>
      <c r="Z61" t="str">
        <v>0.88</v>
      </c>
      <c r="AA61" t="str">
        <v>0.23</v>
      </c>
      <c r="AB61" t="str">
        <v>富強鑫</v>
      </c>
      <c r="AC61" t="str">
        <v>上櫃電機機械</v>
      </c>
      <c r="AD61" t="str">
        <v>台灣塑膠射出機領導廠商</v>
      </c>
      <c r="AE61" t="str">
        <f t="array" ref="AE61:AH61">[1]!'6603.TW-CName,InvestorConferenceDate,DateofMeetingofShareHolders,TradingDate'</f>
        <v>富強鑫</v>
      </c>
      <c r="AF61" t="str">
        <v>--</v>
      </c>
      <c r="AG61" t="str">
        <v>2022/05/31</v>
      </c>
      <c r="AH61" t="str">
        <v>2022/08/01</v>
      </c>
    </row>
    <row r="62" spans="1:34" x14ac:dyDescent="0.3">
      <c r="A62" t="str">
        <f t="array" ref="A62:J62">[1]!'6609.TW-ID,Name,MarketValue,Capital,NetIncomeGrowthRate,OperIncomeGrowthRate,FinancialStatementsTime,TFXRatio,MonthlyNetSalesYoY,RevenueMonth'</f>
        <v>6609</v>
      </c>
      <c r="B62" t="str">
        <v>瀧澤科</v>
      </c>
      <c r="C62" t="str">
        <v>23.3</v>
      </c>
      <c r="D62" t="str">
        <v>7.25</v>
      </c>
      <c r="E62" t="str">
        <v>340.10</v>
      </c>
      <c r="F62" t="str">
        <v>255.33</v>
      </c>
      <c r="G62" t="str">
        <v>2022/03</v>
      </c>
      <c r="H62" t="str">
        <v>6.88</v>
      </c>
      <c r="I62" t="str">
        <v>-10.84</v>
      </c>
      <c r="J62" t="str">
        <v>2022/06</v>
      </c>
      <c r="K62" t="str">
        <f t="array" ref="K62:T62">[1]!'6609.TW-OperatingProfitRatio,Price,PriceChangeRatio,InOutRatioNumber,Value,YearReturn,MonthReturn,WeekReturn,FinanceBalanceDif,ChipsField2'</f>
        <v>8.03</v>
      </c>
      <c r="L62">
        <v>32.15</v>
      </c>
      <c r="M62">
        <v>0.16</v>
      </c>
      <c r="N62" t="str">
        <v>56.64%</v>
      </c>
      <c r="O62" t="str">
        <v>508萬</v>
      </c>
      <c r="P62" t="str">
        <v>-3.56</v>
      </c>
      <c r="Q62" t="str">
        <v>+9.44</v>
      </c>
      <c r="R62" t="str">
        <v>+0.47</v>
      </c>
      <c r="S62">
        <v>-17</v>
      </c>
      <c r="T62">
        <v>0</v>
      </c>
      <c r="U62">
        <f t="array" ref="U62:AD62">[1]!'6609.TW-ChipsField3,ChipsField1,ChipsField25,CashAndStockDividend,CashDividendYieldRate,ProfitFourSeason,ProfitSingle,CName,ExchangeIndustry,CompanyPos'</f>
        <v>0</v>
      </c>
      <c r="V62">
        <v>42</v>
      </c>
      <c r="W62" t="str">
        <v>2022/07/14</v>
      </c>
      <c r="X62" t="str">
        <v>1.50</v>
      </c>
      <c r="Y62">
        <v>4.67</v>
      </c>
      <c r="Z62" t="str">
        <v>3.47</v>
      </c>
      <c r="AA62" t="str">
        <v>1.24</v>
      </c>
      <c r="AB62" t="str">
        <v>瀧澤科</v>
      </c>
      <c r="AC62" t="str">
        <v>上櫃電機機械</v>
      </c>
      <c r="AD62" t="str">
        <v>中日合資工具機生產廠商，以CNC車床為主</v>
      </c>
      <c r="AE62" t="str">
        <f t="array" ref="AE62:AH62">[1]!'6609.TW-CName,InvestorConferenceDate,DateofMeetingofShareHolders,TradingDate'</f>
        <v>瀧澤科</v>
      </c>
      <c r="AF62" t="str">
        <v>2021/10/14</v>
      </c>
      <c r="AG62" t="str">
        <v>2022/06/21</v>
      </c>
      <c r="AH62" t="str">
        <v>2022/08/01</v>
      </c>
    </row>
    <row r="63" spans="1:34" x14ac:dyDescent="0.3">
      <c r="A63" t="str">
        <f t="array" ref="A63:J63">[1]!'6829.TW-ID,Name,MarketValue,Capital,NetIncomeGrowthRate,OperIncomeGrowthRate,FinancialStatementsTime,TFXRatio,MonthlyNetSalesYoY,RevenueMonth'</f>
        <v>6829</v>
      </c>
      <c r="B63" t="str">
        <v>千附精密</v>
      </c>
      <c r="C63" t="str">
        <v>42.0</v>
      </c>
      <c r="D63" t="str">
        <v>5.92</v>
      </c>
      <c r="E63" t="str">
        <v>94.79</v>
      </c>
      <c r="F63" t="str">
        <v>67.03</v>
      </c>
      <c r="G63" t="str">
        <v>2022/03</v>
      </c>
      <c r="H63" t="str">
        <v>-9.97</v>
      </c>
      <c r="I63" t="str">
        <v>8.85</v>
      </c>
      <c r="J63" t="str">
        <v>2022/06</v>
      </c>
      <c r="K63" t="str">
        <f t="array" ref="K63:T63">[1]!'6829.TW-OperatingProfitRatio,Price,PriceChangeRatio,InOutRatioNumber,Value,YearReturn,MonthReturn,WeekReturn,FinanceBalanceDif,ChipsField2'</f>
        <v>20.15</v>
      </c>
      <c r="L63">
        <v>71</v>
      </c>
      <c r="M63">
        <v>0.85</v>
      </c>
      <c r="N63" t="str">
        <v>50.00%</v>
      </c>
      <c r="O63" t="str">
        <v>255萬</v>
      </c>
      <c r="P63" t="str">
        <v>--</v>
      </c>
      <c r="Q63" t="str">
        <v>+7.54</v>
      </c>
      <c r="R63" t="str">
        <v>+2.67</v>
      </c>
      <c r="S63">
        <v>0</v>
      </c>
      <c r="T63">
        <v>10</v>
      </c>
      <c r="U63">
        <f t="array" ref="U63:AD63">[1]!'6829.TW-ChipsField3,ChipsField1,ChipsField25,CashAndStockDividend,CashDividendYieldRate,ProfitFourSeason,ProfitSingle,CName,ExchangeIndustry,CompanyPos'</f>
        <v>0</v>
      </c>
      <c r="V63">
        <v>-3</v>
      </c>
      <c r="W63" t="str">
        <v>2022/07/27</v>
      </c>
      <c r="X63" t="str">
        <v>3.64</v>
      </c>
      <c r="Y63">
        <v>5.13</v>
      </c>
      <c r="Z63" t="str">
        <v>5.72</v>
      </c>
      <c r="AA63" t="str">
        <v>1.74</v>
      </c>
      <c r="AB63" t="str">
        <v>千附精密</v>
      </c>
      <c r="AC63" t="str">
        <v>上櫃電機機械</v>
      </c>
      <c r="AD63" t="str">
        <v>千附旗下的精密零組件整合製造商</v>
      </c>
      <c r="AE63" t="str">
        <f t="array" ref="AE63:AH63">[1]!'6829.TW-CName,InvestorConferenceDate,DateofMeetingofShareHolders,TradingDate'</f>
        <v>千附精密</v>
      </c>
      <c r="AF63" t="str">
        <v>--</v>
      </c>
      <c r="AG63" t="str">
        <v>2022/05/26</v>
      </c>
      <c r="AH63" t="str">
        <v>2022/08/01</v>
      </c>
    </row>
    <row r="64" spans="1:34" x14ac:dyDescent="0.3">
      <c r="A64" t="str">
        <f t="array" ref="A64:J64">[1]!'8027.TW-ID,Name,MarketValue,Capital,NetIncomeGrowthRate,OperIncomeGrowthRate,FinancialStatementsTime,TFXRatio,MonthlyNetSalesYoY,RevenueMonth'</f>
        <v>8027</v>
      </c>
      <c r="B64" t="str">
        <v>鈦昇</v>
      </c>
      <c r="C64" t="str">
        <v>67.4</v>
      </c>
      <c r="D64" t="str">
        <v>10.01</v>
      </c>
      <c r="E64" t="str">
        <v>35.85</v>
      </c>
      <c r="F64" t="str">
        <v>20.08</v>
      </c>
      <c r="G64" t="str">
        <v>2022/03</v>
      </c>
      <c r="H64" t="str">
        <v>-4.49</v>
      </c>
      <c r="I64" t="str">
        <v>17.62</v>
      </c>
      <c r="J64" t="str">
        <v>2022/06</v>
      </c>
      <c r="K64" t="str">
        <f t="array" ref="K64:T64">[1]!'8027.TW-OperatingProfitRatio,Price,PriceChangeRatio,InOutRatioNumber,Value,YearReturn,MonthReturn,WeekReturn,FinanceBalanceDif,ChipsField2'</f>
        <v>13.89</v>
      </c>
      <c r="L64">
        <v>67.3</v>
      </c>
      <c r="M64">
        <v>0.15</v>
      </c>
      <c r="N64" t="str">
        <v>40.51%</v>
      </c>
      <c r="O64" t="str">
        <v>1464萬</v>
      </c>
      <c r="P64" t="str">
        <v>-0.23</v>
      </c>
      <c r="Q64" t="str">
        <v>+4.99</v>
      </c>
      <c r="R64" t="str">
        <v>+0.45</v>
      </c>
      <c r="S64">
        <v>4</v>
      </c>
      <c r="T64">
        <v>0</v>
      </c>
      <c r="U64">
        <f t="array" ref="U64:AD64">[1]!'8027.TW-ChipsField3,ChipsField1,ChipsField25,CashAndStockDividend,CashDividendYieldRate,ProfitFourSeason,ProfitSingle,CName,ExchangeIndustry,CompanyPos'</f>
        <v>7</v>
      </c>
      <c r="V64">
        <v>152</v>
      </c>
      <c r="W64" t="str">
        <v>2022/06/21</v>
      </c>
      <c r="X64" t="str">
        <v>1.59</v>
      </c>
      <c r="Y64">
        <v>2.36</v>
      </c>
      <c r="Z64" t="str">
        <v>2.90</v>
      </c>
      <c r="AA64" t="str">
        <v>1.18</v>
      </c>
      <c r="AB64" t="str">
        <v>鈦昇</v>
      </c>
      <c r="AC64" t="str">
        <v>上櫃電機機械</v>
      </c>
      <c r="AD64" t="str">
        <v>專業於半導體、主機板、高階基板材料等設備廠商</v>
      </c>
      <c r="AE64" t="str">
        <f t="array" ref="AE64:AH64">[1]!'8027.TW-CName,InvestorConferenceDate,DateofMeetingofShareHolders,TradingDate'</f>
        <v>鈦昇</v>
      </c>
      <c r="AF64" t="str">
        <v>2022/05/06</v>
      </c>
      <c r="AG64" t="str">
        <v>2022/06/16</v>
      </c>
      <c r="AH64" t="str">
        <v>2022/08/01</v>
      </c>
    </row>
    <row r="65" spans="1:34" x14ac:dyDescent="0.3">
      <c r="A65" t="str">
        <f t="array" ref="A65:J65">[1]!'8083.TW-ID,Name,MarketValue,Capital,NetIncomeGrowthRate,OperIncomeGrowthRate,FinancialStatementsTime,TFXRatio,MonthlyNetSalesYoY,RevenueMonth'</f>
        <v>8083</v>
      </c>
      <c r="B65" t="str">
        <v>瑞穎</v>
      </c>
      <c r="C65" t="str">
        <v>59.7</v>
      </c>
      <c r="D65" t="str">
        <v>3.51</v>
      </c>
      <c r="E65" t="str">
        <v>12.87</v>
      </c>
      <c r="F65" t="str">
        <v>-16.79</v>
      </c>
      <c r="G65" t="str">
        <v>2022/06</v>
      </c>
      <c r="H65" t="str">
        <v>11.89</v>
      </c>
      <c r="I65" t="str">
        <v>-20.27</v>
      </c>
      <c r="J65" t="str">
        <v>2022/06</v>
      </c>
      <c r="K65" t="str">
        <f t="array" ref="K65:T65">[1]!'8083.TW-OperatingProfitRatio,Price,PriceChangeRatio,InOutRatioNumber,Value,YearReturn,MonthReturn,WeekReturn,FinanceBalanceDif,ChipsField2'</f>
        <v>21.51</v>
      </c>
      <c r="L65">
        <v>170</v>
      </c>
      <c r="M65">
        <v>0.89</v>
      </c>
      <c r="N65" t="str">
        <v>57.14%</v>
      </c>
      <c r="O65" t="str">
        <v>2197萬</v>
      </c>
      <c r="P65" t="str">
        <v>-3.77</v>
      </c>
      <c r="Q65" t="str">
        <v>+4.29</v>
      </c>
      <c r="R65" t="str">
        <v>+1.49</v>
      </c>
      <c r="S65">
        <v>0</v>
      </c>
      <c r="T65">
        <v>0</v>
      </c>
      <c r="U65">
        <f t="array" ref="U65:AD65">[1]!'8083.TW-ChipsField3,ChipsField1,ChipsField25,CashAndStockDividend,CashDividendYieldRate,ProfitFourSeason,ProfitSingle,CName,ExchangeIndustry,CompanyPos'</f>
        <v>0</v>
      </c>
      <c r="V65">
        <v>3</v>
      </c>
      <c r="W65" t="str">
        <v>2022/07/05</v>
      </c>
      <c r="X65" t="str">
        <v>10.20</v>
      </c>
      <c r="Y65">
        <v>6</v>
      </c>
      <c r="Z65" t="str">
        <v>10.79</v>
      </c>
      <c r="AA65" t="str">
        <v>3.20</v>
      </c>
      <c r="AB65" t="str">
        <v>瑞穎</v>
      </c>
      <c r="AC65" t="str">
        <v>上櫃電機機械</v>
      </c>
      <c r="AD65" t="str">
        <v>台灣軸承製造商，主要應用於車庫門、手推車等</v>
      </c>
      <c r="AE65" t="str">
        <f t="array" ref="AE65:AH65">[1]!'8083.TW-CName,InvestorConferenceDate,DateofMeetingofShareHolders,TradingDate'</f>
        <v>瑞穎</v>
      </c>
      <c r="AF65" t="str">
        <v>--</v>
      </c>
      <c r="AG65" t="str">
        <v>2022/05/27</v>
      </c>
      <c r="AH65" t="str">
        <v>2022/08/01</v>
      </c>
    </row>
    <row r="66" spans="1:34" x14ac:dyDescent="0.3">
      <c r="A66" t="str">
        <f t="array" ref="A66:J66">[1]!'8107.TW-ID,Name,MarketValue,Capital,NetIncomeGrowthRate,OperIncomeGrowthRate,FinancialStatementsTime,TFXRatio,MonthlyNetSalesYoY,RevenueMonth'</f>
        <v>8107</v>
      </c>
      <c r="B66" t="str">
        <v>大億金茂</v>
      </c>
      <c r="C66" t="str">
        <v>14.8</v>
      </c>
      <c r="D66" t="str">
        <v>7.50</v>
      </c>
      <c r="E66" t="str">
        <v>-75.52</v>
      </c>
      <c r="F66" t="str">
        <v>-295.05</v>
      </c>
      <c r="G66" t="str">
        <v>2022/03</v>
      </c>
      <c r="H66" t="str">
        <v>32.25</v>
      </c>
      <c r="I66" t="str">
        <v>6.10</v>
      </c>
      <c r="J66" t="str">
        <v>2022/06</v>
      </c>
      <c r="K66" t="str">
        <f t="array" ref="K66:T66">[1]!'8107.TW-OperatingProfitRatio,Price,PriceChangeRatio,InOutRatioNumber,Value,YearReturn,MonthReturn,WeekReturn,FinanceBalanceDif,ChipsField2'</f>
        <v>-3.13</v>
      </c>
      <c r="L66">
        <v>19.7</v>
      </c>
      <c r="M66">
        <v>2.0699999999999998</v>
      </c>
      <c r="N66" t="str">
        <v>64.54%</v>
      </c>
      <c r="O66" t="str">
        <v>899萬</v>
      </c>
      <c r="P66" t="str">
        <v>-1.13</v>
      </c>
      <c r="Q66" t="str">
        <v>+10.06</v>
      </c>
      <c r="R66" t="str">
        <v>+2.34</v>
      </c>
      <c r="S66">
        <v>13</v>
      </c>
      <c r="T66">
        <v>0</v>
      </c>
      <c r="U66">
        <f t="array" ref="U66:AD66">[1]!'8107.TW-ChipsField3,ChipsField1,ChipsField25,CashAndStockDividend,CashDividendYieldRate,ProfitFourSeason,ProfitSingle,CName,ExchangeIndustry,CompanyPos'</f>
        <v>0</v>
      </c>
      <c r="V66">
        <v>31</v>
      </c>
      <c r="W66" t="str">
        <v>--</v>
      </c>
      <c r="X66" t="str">
        <v>0.15</v>
      </c>
      <c r="Y66">
        <v>0.76</v>
      </c>
      <c r="Z66" t="str">
        <v>0.10</v>
      </c>
      <c r="AA66" t="str">
        <v>0.06</v>
      </c>
      <c r="AB66" t="str">
        <v>大億金茂</v>
      </c>
      <c r="AC66" t="str">
        <v>上櫃電機機械</v>
      </c>
      <c r="AD66" t="str">
        <v>屬大億集團，轉型為汽車零組件供應商</v>
      </c>
      <c r="AE66" t="str">
        <f t="array" ref="AE66:AH66">[1]!'8107.TW-CName,InvestorConferenceDate,DateofMeetingofShareHolders,TradingDate'</f>
        <v>大億金茂</v>
      </c>
      <c r="AF66" t="str">
        <v>--</v>
      </c>
      <c r="AG66" t="str">
        <v>2022/06/22</v>
      </c>
      <c r="AH66" t="str">
        <v>2022/08/01</v>
      </c>
    </row>
    <row r="67" spans="1:34" x14ac:dyDescent="0.3">
      <c r="A67" t="str">
        <f t="array" ref="A67:J67">[1]!'8255.TW-ID,Name,MarketValue,Capital,NetIncomeGrowthRate,OperIncomeGrowthRate,FinancialStatementsTime,TFXRatio,MonthlyNetSalesYoY,RevenueMonth'</f>
        <v>8255</v>
      </c>
      <c r="B67" t="str">
        <v>朋程</v>
      </c>
      <c r="C67" t="str">
        <v>150.9</v>
      </c>
      <c r="D67" t="str">
        <v>9.15</v>
      </c>
      <c r="E67" t="str">
        <v>0.46</v>
      </c>
      <c r="F67" t="str">
        <v>-45.23</v>
      </c>
      <c r="G67" t="str">
        <v>2022/03</v>
      </c>
      <c r="H67" t="str">
        <v>10.44</v>
      </c>
      <c r="I67" t="str">
        <v>2.48</v>
      </c>
      <c r="J67" t="str">
        <v>2022/06</v>
      </c>
      <c r="K67" t="str">
        <f t="array" ref="K67:T67">[1]!'8255.TW-OperatingProfitRatio,Price,PriceChangeRatio,InOutRatioNumber,Value,YearReturn,MonthReturn,WeekReturn,FinanceBalanceDif,ChipsField2'</f>
        <v>7.79</v>
      </c>
      <c r="L67">
        <v>165</v>
      </c>
      <c r="M67">
        <v>-2.37</v>
      </c>
      <c r="N67" t="str">
        <v>32.67%</v>
      </c>
      <c r="O67" t="str">
        <v>1.90億</v>
      </c>
      <c r="P67" t="str">
        <v>-18.64</v>
      </c>
      <c r="Q67" t="str">
        <v>+19.61</v>
      </c>
      <c r="R67" t="str">
        <v>0.00</v>
      </c>
      <c r="S67">
        <v>48</v>
      </c>
      <c r="T67">
        <v>199</v>
      </c>
      <c r="U67">
        <f t="array" ref="U67:AD67">[1]!'8255.TW-ChipsField3,ChipsField1,ChipsField25,CashAndStockDividend,CashDividendYieldRate,ProfitFourSeason,ProfitSingle,CName,ExchangeIndustry,CompanyPos'</f>
        <v>99</v>
      </c>
      <c r="V67">
        <v>309</v>
      </c>
      <c r="W67" t="str">
        <v>2022/07/06</v>
      </c>
      <c r="X67" t="str">
        <v>4.00</v>
      </c>
      <c r="Y67">
        <v>2.42</v>
      </c>
      <c r="Z67" t="str">
        <v>5.20</v>
      </c>
      <c r="AA67" t="str">
        <v>1.64</v>
      </c>
      <c r="AB67" t="str">
        <v>朋程</v>
      </c>
      <c r="AC67" t="str">
        <v>上櫃電機機械</v>
      </c>
      <c r="AD67" t="str">
        <v>全球前三大車用二極體廠</v>
      </c>
      <c r="AE67" t="str">
        <f t="array" ref="AE67:AH67">[1]!'8255.TW-CName,InvestorConferenceDate,DateofMeetingofShareHolders,TradingDate'</f>
        <v>朋程</v>
      </c>
      <c r="AF67" t="str">
        <v>2022/06/10</v>
      </c>
      <c r="AG67" t="str">
        <v>2022/05/27</v>
      </c>
      <c r="AH67" t="str">
        <v>2022/08/01</v>
      </c>
    </row>
    <row r="68" spans="1:34" x14ac:dyDescent="0.3">
      <c r="A68" t="str">
        <f t="array" ref="A68:J68">[1]!'9951.TW-ID,Name,MarketValue,Capital,NetIncomeGrowthRate,OperIncomeGrowthRate,FinancialStatementsTime,TFXRatio,MonthlyNetSalesYoY,RevenueMonth'</f>
        <v>9951</v>
      </c>
      <c r="B68" t="str">
        <v>皇田</v>
      </c>
      <c r="C68" t="str">
        <v>47.6</v>
      </c>
      <c r="D68" t="str">
        <v>7.49</v>
      </c>
      <c r="E68" t="str">
        <v>-33.73</v>
      </c>
      <c r="F68" t="str">
        <v>-59.68</v>
      </c>
      <c r="G68" t="str">
        <v>2022/03</v>
      </c>
      <c r="H68" t="str">
        <v>14.95</v>
      </c>
      <c r="I68" t="str">
        <v>-13.57</v>
      </c>
      <c r="J68" t="str">
        <v>2022/06</v>
      </c>
      <c r="K68" t="str">
        <f t="array" ref="K68:T68">[1]!'9951.TW-OperatingProfitRatio,Price,PriceChangeRatio,InOutRatioNumber,Value,YearReturn,MonthReturn,WeekReturn,FinanceBalanceDif,ChipsField2'</f>
        <v>6.30</v>
      </c>
      <c r="L68">
        <v>63.6</v>
      </c>
      <c r="M68">
        <v>0.16</v>
      </c>
      <c r="N68" t="str">
        <v>63.64%</v>
      </c>
      <c r="O68" t="str">
        <v>70.0萬</v>
      </c>
      <c r="P68" t="str">
        <v>-30.95</v>
      </c>
      <c r="Q68" t="str">
        <v>+0.63</v>
      </c>
      <c r="R68" t="str">
        <v>+0.79</v>
      </c>
      <c r="S68">
        <v>4</v>
      </c>
      <c r="T68">
        <v>0</v>
      </c>
      <c r="U68">
        <f t="array" ref="U68:AD68">[1]!'9951.TW-ChipsField3,ChipsField1,ChipsField25,CashAndStockDividend,CashDividendYieldRate,ProfitFourSeason,ProfitSingle,CName,ExchangeIndustry,CompanyPos'</f>
        <v>0</v>
      </c>
      <c r="V68">
        <v>0</v>
      </c>
      <c r="W68" t="str">
        <v>--</v>
      </c>
      <c r="X68" t="str">
        <v>3.30</v>
      </c>
      <c r="Y68">
        <v>5.19</v>
      </c>
      <c r="Z68" t="str">
        <v>4.74</v>
      </c>
      <c r="AA68" t="str">
        <v>1.16</v>
      </c>
      <c r="AB68" t="str">
        <v>皇田</v>
      </c>
      <c r="AC68" t="str">
        <v>上櫃電機機械</v>
      </c>
      <c r="AD68" t="str">
        <v>全球第二大汽車窗簾ODM廠</v>
      </c>
      <c r="AE68" t="str">
        <f t="array" ref="AE68:AH68">[1]!'9951.TW-CName,InvestorConferenceDate,DateofMeetingofShareHolders,TradingDate'</f>
        <v>皇田</v>
      </c>
      <c r="AF68" t="str">
        <v>--</v>
      </c>
      <c r="AG68" t="str">
        <v>2022/06/16</v>
      </c>
      <c r="AH68" t="str">
        <v>2022/08/01</v>
      </c>
    </row>
    <row r="69" spans="1:34" x14ac:dyDescent="0.3">
      <c r="A69" t="str">
        <f t="array" ref="A69:J69">[1]!'2061.TW-ID,Name,MarketValue,Capital,NetIncomeGrowthRate,OperIncomeGrowthRate,FinancialStatementsTime,TFXRatio,MonthlyNetSalesYoY,RevenueMonth'</f>
        <v>2061</v>
      </c>
      <c r="B69" t="str">
        <v>風青</v>
      </c>
      <c r="C69" t="str">
        <v>8.5</v>
      </c>
      <c r="D69" t="str">
        <v>4.69</v>
      </c>
      <c r="E69" t="str">
        <v>-84.10</v>
      </c>
      <c r="F69" t="str">
        <v>-61.56</v>
      </c>
      <c r="G69" t="str">
        <v>2022/03</v>
      </c>
      <c r="H69" t="str">
        <v>14.58</v>
      </c>
      <c r="I69" t="str">
        <v>-2.30</v>
      </c>
      <c r="J69" t="str">
        <v>2022/06</v>
      </c>
      <c r="K69" t="str">
        <f t="array" ref="K69:T69">[1]!'2061.TW-OperatingProfitRatio,Price,PriceChangeRatio,InOutRatioNumber,Value,YearReturn,MonthReturn,WeekReturn,FinanceBalanceDif,ChipsField2'</f>
        <v>1.83</v>
      </c>
      <c r="L69">
        <v>18.149999999999999</v>
      </c>
      <c r="M69">
        <v>0.28000000000000003</v>
      </c>
      <c r="N69" t="str">
        <v>20.00%</v>
      </c>
      <c r="O69" t="str">
        <v>9.14萬</v>
      </c>
      <c r="P69" t="str">
        <v>-4.40</v>
      </c>
      <c r="Q69" t="str">
        <v>+5.31</v>
      </c>
      <c r="R69" t="str">
        <v>-3.97</v>
      </c>
      <c r="S69">
        <v>2</v>
      </c>
      <c r="T69">
        <v>0</v>
      </c>
      <c r="U69">
        <f t="array" ref="U69:AD69">[1]!'2061.TW-ChipsField3,ChipsField1,ChipsField25,CashAndStockDividend,CashDividendYieldRate,ProfitFourSeason,ProfitSingle,CName,ExchangeIndustry,CompanyPos'</f>
        <v>0</v>
      </c>
      <c r="V69">
        <v>2</v>
      </c>
      <c r="W69" t="str">
        <v>2022/07/12</v>
      </c>
      <c r="X69" t="str">
        <v>1.00</v>
      </c>
      <c r="Y69">
        <v>5.51</v>
      </c>
      <c r="Z69" t="str">
        <v>1.12</v>
      </c>
      <c r="AA69" t="str">
        <v>0.23</v>
      </c>
      <c r="AB69" t="str">
        <v>風青</v>
      </c>
      <c r="AC69" t="str">
        <v>上櫃電器電纜</v>
      </c>
      <c r="AD69" t="str">
        <v>台灣知名漆包線供應商</v>
      </c>
      <c r="AE69" t="str">
        <f t="array" ref="AE69:AH69">[1]!'2061.TW-CName,InvestorConferenceDate,DateofMeetingofShareHolders,TradingDate'</f>
        <v>風青</v>
      </c>
      <c r="AF69" t="str">
        <v>2021/12/27</v>
      </c>
      <c r="AG69" t="str">
        <v>2022/06/14</v>
      </c>
      <c r="AH69" t="str">
        <v>2022/08/01</v>
      </c>
    </row>
    <row r="70" spans="1:34" x14ac:dyDescent="0.3">
      <c r="A70" t="str">
        <f t="array" ref="A70:J70">[1]!'4609.TW-ID,Name,MarketValue,Capital,NetIncomeGrowthRate,OperIncomeGrowthRate,FinancialStatementsTime,TFXRatio,MonthlyNetSalesYoY,RevenueMonth'</f>
        <v>4609</v>
      </c>
      <c r="B70" t="str">
        <v>唐鋒</v>
      </c>
      <c r="C70" t="str">
        <v>4.1</v>
      </c>
      <c r="D70" t="str">
        <v>4.79</v>
      </c>
      <c r="E70" t="str">
        <v>113.98</v>
      </c>
      <c r="F70" t="str">
        <v>9.18</v>
      </c>
      <c r="G70" t="str">
        <v>2022/03</v>
      </c>
      <c r="H70" t="str">
        <v>76.86</v>
      </c>
      <c r="I70" t="str">
        <v>-50.64</v>
      </c>
      <c r="J70" t="str">
        <v>2022/06</v>
      </c>
      <c r="K70" t="str">
        <f t="array" ref="K70:T70">[1]!'4609.TW-OperatingProfitRatio,Price,PriceChangeRatio,InOutRatioNumber,Value,YearReturn,MonthReturn,WeekReturn,FinanceBalanceDif,ChipsField2'</f>
        <v>-103.38</v>
      </c>
      <c r="L70">
        <v>8.49</v>
      </c>
      <c r="M70">
        <v>-1.96</v>
      </c>
      <c r="N70" t="str">
        <v>25.93%</v>
      </c>
      <c r="O70" t="str">
        <v>22.6萬</v>
      </c>
      <c r="P70" t="str">
        <v>+6.13</v>
      </c>
      <c r="Q70" t="str">
        <v>-2.30</v>
      </c>
      <c r="R70" t="str">
        <v>-2.08</v>
      </c>
      <c r="S70">
        <v>0</v>
      </c>
      <c r="T70">
        <v>0</v>
      </c>
      <c r="U70">
        <f t="array" ref="U70:AD70">[1]!'4609.TW-ChipsField3,ChipsField1,ChipsField25,CashAndStockDividend,CashDividendYieldRate,ProfitFourSeason,ProfitSingle,CName,ExchangeIndustry,CompanyPos'</f>
        <v>0</v>
      </c>
      <c r="V70">
        <v>0</v>
      </c>
      <c r="W70" t="str">
        <v>--</v>
      </c>
      <c r="X70" t="str">
        <v>0.00</v>
      </c>
      <c r="Y70">
        <v>0</v>
      </c>
      <c r="Z70" t="str">
        <v>-0.11</v>
      </c>
      <c r="AA70" t="str">
        <v>0.03</v>
      </c>
      <c r="AB70" t="str">
        <v>唐鋒</v>
      </c>
      <c r="AC70" t="str">
        <v>上櫃電器電纜</v>
      </c>
      <c r="AD70" t="str">
        <v>以外銷小家電產品為主的廠商</v>
      </c>
      <c r="AE70" t="str">
        <f t="array" ref="AE70:AH70">[1]!'4609.TW-CName,InvestorConferenceDate,DateofMeetingofShareHolders,TradingDate'</f>
        <v>唐鋒</v>
      </c>
      <c r="AF70" t="str">
        <v>--</v>
      </c>
      <c r="AG70" t="str">
        <v>2022/06/24</v>
      </c>
      <c r="AH70" t="str">
        <v>2022/08/01</v>
      </c>
    </row>
    <row r="71" spans="1:34" x14ac:dyDescent="0.3">
      <c r="A71" t="str">
        <f t="array" ref="A71:J71">[1]!'1742.TW-ID,Name,MarketValue,Capital,NetIncomeGrowthRate,OperIncomeGrowthRate,FinancialStatementsTime,TFXRatio,MonthlyNetSalesYoY,RevenueMonth'</f>
        <v>1742</v>
      </c>
      <c r="B71" t="str">
        <v>台蠟</v>
      </c>
      <c r="C71" t="str">
        <v>16.7</v>
      </c>
      <c r="D71" t="str">
        <v>8.16</v>
      </c>
      <c r="E71" t="str">
        <v>354.00</v>
      </c>
      <c r="F71" t="str">
        <v>-159.51</v>
      </c>
      <c r="G71" t="str">
        <v>2022/03</v>
      </c>
      <c r="H71" t="str">
        <v>49.40</v>
      </c>
      <c r="I71" t="str">
        <v>-51.42</v>
      </c>
      <c r="J71" t="str">
        <v>2022/06</v>
      </c>
      <c r="K71" t="str">
        <f t="array" ref="K71:T71">[1]!'1742.TW-OperatingProfitRatio,Price,PriceChangeRatio,InOutRatioNumber,Value,YearReturn,MonthReturn,WeekReturn,FinanceBalanceDif,ChipsField2'</f>
        <v>-3.23</v>
      </c>
      <c r="L71">
        <v>20.45</v>
      </c>
      <c r="M71">
        <v>0.49</v>
      </c>
      <c r="N71" t="str">
        <v>20.83%</v>
      </c>
      <c r="O71" t="str">
        <v>49.0萬</v>
      </c>
      <c r="P71" t="str">
        <v>-2.62</v>
      </c>
      <c r="Q71" t="str">
        <v>-2.39</v>
      </c>
      <c r="R71" t="str">
        <v>-1.21</v>
      </c>
      <c r="S71">
        <v>-133</v>
      </c>
      <c r="T71">
        <v>0</v>
      </c>
      <c r="U71">
        <f t="array" ref="U71:AD71">[1]!'1742.TW-ChipsField3,ChipsField1,ChipsField25,CashAndStockDividend,CashDividendYieldRate,ProfitFourSeason,ProfitSingle,CName,ExchangeIndustry,CompanyPos'</f>
        <v>0</v>
      </c>
      <c r="V71">
        <v>0</v>
      </c>
      <c r="W71" t="str">
        <v>--</v>
      </c>
      <c r="X71" t="str">
        <v>1.70</v>
      </c>
      <c r="Y71">
        <v>8.31</v>
      </c>
      <c r="Z71" t="str">
        <v>5.22</v>
      </c>
      <c r="AA71" t="str">
        <v>0.14</v>
      </c>
      <c r="AB71" t="str">
        <v>台蠟</v>
      </c>
      <c r="AC71" t="str">
        <v>上櫃化工</v>
      </c>
      <c r="AD71" t="str">
        <v>台灣唯一蠟品專業製造商</v>
      </c>
      <c r="AE71" t="str">
        <f t="array" ref="AE71:AH71">[1]!'1742.TW-CName,InvestorConferenceDate,DateofMeetingofShareHolders,TradingDate'</f>
        <v>台蠟</v>
      </c>
      <c r="AF71" t="str">
        <v>--</v>
      </c>
      <c r="AG71" t="str">
        <v>2022/06/21</v>
      </c>
      <c r="AH71" t="str">
        <v>2022/08/01</v>
      </c>
    </row>
    <row r="72" spans="1:34" x14ac:dyDescent="0.3">
      <c r="A72" t="str">
        <f t="array" ref="A72:J72">[1]!'4702.TW-ID,Name,MarketValue,Capital,NetIncomeGrowthRate,OperIncomeGrowthRate,FinancialStatementsTime,TFXRatio,MonthlyNetSalesYoY,RevenueMonth'</f>
        <v>4702</v>
      </c>
      <c r="B72" t="str">
        <v>中美實</v>
      </c>
      <c r="C72" t="str">
        <v>9.9</v>
      </c>
      <c r="D72" t="str">
        <v>7.23</v>
      </c>
      <c r="E72" t="str">
        <v>19.86</v>
      </c>
      <c r="F72" t="str">
        <v>-19.07</v>
      </c>
      <c r="G72" t="str">
        <v>2022/03</v>
      </c>
      <c r="H72" t="str">
        <v>-30.83</v>
      </c>
      <c r="I72" t="str">
        <v>-23.90</v>
      </c>
      <c r="J72" t="str">
        <v>2022/06</v>
      </c>
      <c r="K72" t="str">
        <f t="array" ref="K72:T72">[1]!'4702.TW-OperatingProfitRatio,Price,PriceChangeRatio,InOutRatioNumber,Value,YearReturn,MonthReturn,WeekReturn,FinanceBalanceDif,ChipsField2'</f>
        <v>1.47</v>
      </c>
      <c r="L72">
        <v>13.65</v>
      </c>
      <c r="M72">
        <v>0.37</v>
      </c>
      <c r="N72" t="str">
        <v>53.65%</v>
      </c>
      <c r="O72" t="str">
        <v>320萬</v>
      </c>
      <c r="P72" t="str">
        <v>-4.21</v>
      </c>
      <c r="Q72" t="str">
        <v>+9.20</v>
      </c>
      <c r="R72" t="str">
        <v>+0.74</v>
      </c>
      <c r="S72">
        <v>-1</v>
      </c>
      <c r="T72">
        <v>0</v>
      </c>
      <c r="U72">
        <f t="array" ref="U72:AD72">[1]!'4702.TW-ChipsField3,ChipsField1,ChipsField25,CashAndStockDividend,CashDividendYieldRate,ProfitFourSeason,ProfitSingle,CName,ExchangeIndustry,CompanyPos'</f>
        <v>0</v>
      </c>
      <c r="V72">
        <v>50</v>
      </c>
      <c r="W72" t="str">
        <v>--</v>
      </c>
      <c r="X72" t="str">
        <v>0.00</v>
      </c>
      <c r="Y72">
        <v>0</v>
      </c>
      <c r="Z72" t="str">
        <v>1.23</v>
      </c>
      <c r="AA72" t="str">
        <v>0.47</v>
      </c>
      <c r="AB72" t="str">
        <v>中美實</v>
      </c>
      <c r="AC72" t="str">
        <v>上櫃化工</v>
      </c>
      <c r="AD72" t="str">
        <v>台灣最大分散性化學染料商並跨足汽車貿易業</v>
      </c>
      <c r="AE72" t="str">
        <f t="array" ref="AE72:AH72">[1]!'4702.TW-CName,InvestorConferenceDate,DateofMeetingofShareHolders,TradingDate'</f>
        <v>中美實</v>
      </c>
      <c r="AF72" t="str">
        <v>--</v>
      </c>
      <c r="AG72" t="str">
        <v>2022/06/27</v>
      </c>
      <c r="AH72" t="str">
        <v>2022/08/01</v>
      </c>
    </row>
    <row r="73" spans="1:34" x14ac:dyDescent="0.3">
      <c r="A73" t="str">
        <f t="array" ref="A73:J73">[1]!'4706.TW-ID,Name,MarketValue,Capital,NetIncomeGrowthRate,OperIncomeGrowthRate,FinancialStatementsTime,TFXRatio,MonthlyNetSalesYoY,RevenueMonth'</f>
        <v>4706</v>
      </c>
      <c r="B73" t="str">
        <v>大恭</v>
      </c>
      <c r="C73" t="str">
        <v>13.9</v>
      </c>
      <c r="D73" t="str">
        <v>7.90</v>
      </c>
      <c r="E73" t="str">
        <v>-36.31</v>
      </c>
      <c r="F73" t="str">
        <v>-52.35</v>
      </c>
      <c r="G73" t="str">
        <v>2022/03</v>
      </c>
      <c r="H73" t="str">
        <v>-26.41</v>
      </c>
      <c r="I73" t="str">
        <v>-2.51</v>
      </c>
      <c r="J73" t="str">
        <v>2022/06</v>
      </c>
      <c r="K73" t="str">
        <f t="array" ref="K73:T73">[1]!'4706.TW-OperatingProfitRatio,Price,PriceChangeRatio,InOutRatioNumber,Value,YearReturn,MonthReturn,WeekReturn,FinanceBalanceDif,ChipsField2'</f>
        <v>6.05</v>
      </c>
      <c r="L73">
        <v>17.600000000000001</v>
      </c>
      <c r="M73">
        <v>1.44</v>
      </c>
      <c r="N73" t="str">
        <v>100.00%</v>
      </c>
      <c r="O73" t="str">
        <v>1.76萬</v>
      </c>
      <c r="P73" t="str">
        <v>+3.40</v>
      </c>
      <c r="Q73" t="str">
        <v>+5.29</v>
      </c>
      <c r="R73" t="str">
        <v>+1.73</v>
      </c>
      <c r="S73">
        <v>0</v>
      </c>
      <c r="T73">
        <v>0</v>
      </c>
      <c r="U73">
        <f t="array" ref="U73:AD73">[1]!'4706.TW-ChipsField3,ChipsField1,ChipsField25,CashAndStockDividend,CashDividendYieldRate,ProfitFourSeason,ProfitSingle,CName,ExchangeIndustry,CompanyPos'</f>
        <v>0</v>
      </c>
      <c r="V73">
        <v>1</v>
      </c>
      <c r="W73" t="str">
        <v>2022/07/18</v>
      </c>
      <c r="X73" t="str">
        <v>0.90</v>
      </c>
      <c r="Y73">
        <v>5.1100000000000003</v>
      </c>
      <c r="Z73" t="str">
        <v>0.96</v>
      </c>
      <c r="AA73" t="str">
        <v>0.30</v>
      </c>
      <c r="AB73" t="str">
        <v>大恭</v>
      </c>
      <c r="AC73" t="str">
        <v>上櫃化工</v>
      </c>
      <c r="AD73" t="str">
        <v>台灣最大合成顏料製造商</v>
      </c>
      <c r="AE73" t="str">
        <f t="array" ref="AE73:AH73">[1]!'4706.TW-CName,InvestorConferenceDate,DateofMeetingofShareHolders,TradingDate'</f>
        <v>大恭</v>
      </c>
      <c r="AF73" t="str">
        <v>2022/03/23</v>
      </c>
      <c r="AG73" t="str">
        <v>2022/06/29</v>
      </c>
      <c r="AH73" t="str">
        <v>2022/08/01</v>
      </c>
    </row>
    <row r="74" spans="1:34" x14ac:dyDescent="0.3">
      <c r="A74" t="str">
        <f t="array" ref="A74:J74">[1]!'4707.TW-ID,Name,MarketValue,Capital,NetIncomeGrowthRate,OperIncomeGrowthRate,FinancialStatementsTime,TFXRatio,MonthlyNetSalesYoY,RevenueMonth'</f>
        <v>4707</v>
      </c>
      <c r="B74" t="str">
        <v>磐亞</v>
      </c>
      <c r="C74" t="str">
        <v>42.8</v>
      </c>
      <c r="D74" t="str">
        <v>32.80</v>
      </c>
      <c r="E74" t="str">
        <v>-5.66</v>
      </c>
      <c r="F74" t="str">
        <v>-49.56</v>
      </c>
      <c r="G74" t="str">
        <v>2022/03</v>
      </c>
      <c r="H74" t="str">
        <v>35.61</v>
      </c>
      <c r="I74" t="str">
        <v>33.84</v>
      </c>
      <c r="J74" t="str">
        <v>2022/06</v>
      </c>
      <c r="K74" t="str">
        <f t="array" ref="K74:T74">[1]!'4707.TW-OperatingProfitRatio,Price,PriceChangeRatio,InOutRatioNumber,Value,YearReturn,MonthReturn,WeekReturn,FinanceBalanceDif,ChipsField2'</f>
        <v>2.47</v>
      </c>
      <c r="L74">
        <v>13.05</v>
      </c>
      <c r="M74">
        <v>0.38</v>
      </c>
      <c r="N74" t="str">
        <v>60.70%</v>
      </c>
      <c r="O74" t="str">
        <v>550萬</v>
      </c>
      <c r="P74" t="str">
        <v>+6.44</v>
      </c>
      <c r="Q74" t="str">
        <v>+3.57</v>
      </c>
      <c r="R74" t="str">
        <v>+0.38</v>
      </c>
      <c r="S74">
        <v>0</v>
      </c>
      <c r="T74">
        <v>0</v>
      </c>
      <c r="U74">
        <f t="array" ref="U74:AD74">[1]!'4707.TW-ChipsField3,ChipsField1,ChipsField25,CashAndStockDividend,CashDividendYieldRate,ProfitFourSeason,ProfitSingle,CName,ExchangeIndustry,CompanyPos'</f>
        <v>0</v>
      </c>
      <c r="V74">
        <v>69</v>
      </c>
      <c r="W74" t="str">
        <v>--</v>
      </c>
      <c r="X74" t="str">
        <v>0.90</v>
      </c>
      <c r="Y74">
        <v>6.9</v>
      </c>
      <c r="Z74" t="str">
        <v>1.05</v>
      </c>
      <c r="AA74" t="str">
        <v>0.24</v>
      </c>
      <c r="AB74" t="str">
        <v>磐亞</v>
      </c>
      <c r="AC74" t="str">
        <v>上櫃化工</v>
      </c>
      <c r="AD74" t="str">
        <v>台灣主要從事生產界面活性劑廠商</v>
      </c>
      <c r="AE74" t="str">
        <f t="array" ref="AE74:AH74">[1]!'4707.TW-CName,InvestorConferenceDate,DateofMeetingofShareHolders,TradingDate'</f>
        <v>磐亞</v>
      </c>
      <c r="AF74" t="str">
        <v>2022/06/16</v>
      </c>
      <c r="AG74" t="str">
        <v>2022/06/16</v>
      </c>
      <c r="AH74" t="str">
        <v>2022/08/01</v>
      </c>
    </row>
    <row r="75" spans="1:34" x14ac:dyDescent="0.3">
      <c r="A75" t="str">
        <f t="array" ref="A75:J75">[1]!'4711.TW-ID,Name,MarketValue,Capital,NetIncomeGrowthRate,OperIncomeGrowthRate,FinancialStatementsTime,TFXRatio,MonthlyNetSalesYoY,RevenueMonth'</f>
        <v>4711</v>
      </c>
      <c r="B75" t="str">
        <v>永純</v>
      </c>
      <c r="C75" t="str">
        <v>9.2</v>
      </c>
      <c r="D75" t="str">
        <v>6.11</v>
      </c>
      <c r="E75" t="str">
        <v>-96.02</v>
      </c>
      <c r="F75" t="str">
        <v>-93.64</v>
      </c>
      <c r="G75" t="str">
        <v>2022/03</v>
      </c>
      <c r="H75" t="str">
        <v>-5.23</v>
      </c>
      <c r="I75" t="str">
        <v>36.73</v>
      </c>
      <c r="J75" t="str">
        <v>2022/06</v>
      </c>
      <c r="K75" t="str">
        <f t="array" ref="K75:T75">[1]!'4711.TW-OperatingProfitRatio,Price,PriceChangeRatio,InOutRatioNumber,Value,YearReturn,MonthReturn,WeekReturn,FinanceBalanceDif,ChipsField2'</f>
        <v>0.67</v>
      </c>
      <c r="L75">
        <v>15</v>
      </c>
      <c r="M75">
        <v>-0.33</v>
      </c>
      <c r="N75" t="str">
        <v>68.42%</v>
      </c>
      <c r="O75" t="str">
        <v>28.6萬</v>
      </c>
      <c r="P75" t="str">
        <v>-7.93</v>
      </c>
      <c r="Q75" t="str">
        <v>+3.36</v>
      </c>
      <c r="R75" t="str">
        <v>0.00</v>
      </c>
      <c r="S75">
        <v>0</v>
      </c>
      <c r="T75">
        <v>0</v>
      </c>
      <c r="U75">
        <f t="array" ref="U75:AD75">[1]!'4711.TW-ChipsField3,ChipsField1,ChipsField25,CashAndStockDividend,CashDividendYieldRate,ProfitFourSeason,ProfitSingle,CName,ExchangeIndustry,CompanyPos'</f>
        <v>0</v>
      </c>
      <c r="V75">
        <v>2</v>
      </c>
      <c r="W75" t="str">
        <v>2022/07/07</v>
      </c>
      <c r="X75" t="str">
        <v>1.00</v>
      </c>
      <c r="Y75">
        <v>6.67</v>
      </c>
      <c r="Z75" t="str">
        <v>0.80</v>
      </c>
      <c r="AA75" t="str">
        <v>0.02</v>
      </c>
      <c r="AB75" t="str">
        <v>永純</v>
      </c>
      <c r="AC75" t="str">
        <v>上櫃化工</v>
      </c>
      <c r="AD75" t="str">
        <v>台灣生產酸醇樹脂製造廠商</v>
      </c>
      <c r="AE75" t="str">
        <f t="array" ref="AE75:AH75">[1]!'4711.TW-CName,InvestorConferenceDate,DateofMeetingofShareHolders,TradingDate'</f>
        <v>永純</v>
      </c>
      <c r="AF75" t="str">
        <v>--</v>
      </c>
      <c r="AG75" t="str">
        <v>2022/06/09</v>
      </c>
      <c r="AH75" t="str">
        <v>2022/08/01</v>
      </c>
    </row>
    <row r="76" spans="1:34" x14ac:dyDescent="0.3">
      <c r="A76" t="str">
        <f t="array" ref="A76:J76">[1]!'4714.TW-ID,Name,MarketValue,Capital,NetIncomeGrowthRate,OperIncomeGrowthRate,FinancialStatementsTime,TFXRatio,MonthlyNetSalesYoY,RevenueMonth'</f>
        <v>4714</v>
      </c>
      <c r="B76" t="str">
        <v>永捷</v>
      </c>
      <c r="C76" t="str">
        <v>17.4</v>
      </c>
      <c r="D76" t="str">
        <v>13.95</v>
      </c>
      <c r="E76" t="str">
        <v>2532.53</v>
      </c>
      <c r="F76" t="str">
        <v>-296.84</v>
      </c>
      <c r="G76" t="str">
        <v>2022/03</v>
      </c>
      <c r="H76" t="str">
        <v>-8.87</v>
      </c>
      <c r="I76" t="str">
        <v>148.45</v>
      </c>
      <c r="J76" t="str">
        <v>2022/06</v>
      </c>
      <c r="K76" t="str">
        <f t="array" ref="K76:T76">[1]!'4714.TW-OperatingProfitRatio,Price,PriceChangeRatio,InOutRatioNumber,Value,YearReturn,MonthReturn,WeekReturn,FinanceBalanceDif,ChipsField2'</f>
        <v>-3.15</v>
      </c>
      <c r="L76">
        <v>12.45</v>
      </c>
      <c r="M76">
        <v>0.4</v>
      </c>
      <c r="N76" t="str">
        <v>53.49%</v>
      </c>
      <c r="O76" t="str">
        <v>160萬</v>
      </c>
      <c r="P76" t="str">
        <v>-0.98</v>
      </c>
      <c r="Q76" t="str">
        <v>+3.32</v>
      </c>
      <c r="R76" t="str">
        <v>+0.81</v>
      </c>
      <c r="S76">
        <v>1</v>
      </c>
      <c r="T76">
        <v>0</v>
      </c>
      <c r="U76">
        <f t="array" ref="U76:AD76">[1]!'4714.TW-ChipsField3,ChipsField1,ChipsField25,CashAndStockDividend,CashDividendYieldRate,ProfitFourSeason,ProfitSingle,CName,ExchangeIndustry,CompanyPos'</f>
        <v>0</v>
      </c>
      <c r="V76">
        <v>16</v>
      </c>
      <c r="W76" t="str">
        <v>2022/07/01</v>
      </c>
      <c r="X76" t="str">
        <v>0.40</v>
      </c>
      <c r="Y76">
        <v>3.21</v>
      </c>
      <c r="Z76" t="str">
        <v>0.33</v>
      </c>
      <c r="AA76" t="str">
        <v>0.03</v>
      </c>
      <c r="AB76" t="str">
        <v>永捷</v>
      </c>
      <c r="AC76" t="str">
        <v>上櫃化工</v>
      </c>
      <c r="AD76" t="str">
        <v>台灣PU樹脂大廠</v>
      </c>
      <c r="AE76" t="str">
        <f t="array" ref="AE76:AH76">[1]!'4714.TW-CName,InvestorConferenceDate,DateofMeetingofShareHolders,TradingDate'</f>
        <v>永捷</v>
      </c>
      <c r="AF76" t="str">
        <v>2021/06/16</v>
      </c>
      <c r="AG76" t="str">
        <v>2022/05/26</v>
      </c>
      <c r="AH76" t="str">
        <v>2022/08/01</v>
      </c>
    </row>
    <row r="77" spans="1:34" x14ac:dyDescent="0.3">
      <c r="A77" t="str">
        <f t="array" ref="A77:J77">[1]!'4716.TW-ID,Name,MarketValue,Capital,NetIncomeGrowthRate,OperIncomeGrowthRate,FinancialStatementsTime,TFXRatio,MonthlyNetSalesYoY,RevenueMonth'</f>
        <v>4716</v>
      </c>
      <c r="B77" t="str">
        <v>大立</v>
      </c>
      <c r="C77" t="str">
        <v>11.3</v>
      </c>
      <c r="D77" t="str">
        <v>7.43</v>
      </c>
      <c r="E77" t="str">
        <v>-103.90</v>
      </c>
      <c r="F77" t="str">
        <v>35.94</v>
      </c>
      <c r="G77" t="str">
        <v>2022/03</v>
      </c>
      <c r="H77" t="str">
        <v>13.95</v>
      </c>
      <c r="I77" t="str">
        <v>53.92</v>
      </c>
      <c r="J77" t="str">
        <v>2022/06</v>
      </c>
      <c r="K77" t="str">
        <f t="array" ref="K77:T77">[1]!'4716.TW-OperatingProfitRatio,Price,PriceChangeRatio,InOutRatioNumber,Value,YearReturn,MonthReturn,WeekReturn,FinanceBalanceDif,ChipsField2'</f>
        <v>-10.63</v>
      </c>
      <c r="L77">
        <v>15.15</v>
      </c>
      <c r="M77">
        <v>-1.3</v>
      </c>
      <c r="N77" t="str">
        <v>17.69%</v>
      </c>
      <c r="O77" t="str">
        <v>425萬</v>
      </c>
      <c r="P77" t="str">
        <v>+1.65</v>
      </c>
      <c r="Q77" t="str">
        <v>+5.94</v>
      </c>
      <c r="R77" t="str">
        <v>-0.66</v>
      </c>
      <c r="S77">
        <v>-7</v>
      </c>
      <c r="T77">
        <v>0</v>
      </c>
      <c r="U77">
        <f t="array" ref="U77:AD77">[1]!'4716.TW-ChipsField3,ChipsField1,ChipsField25,CashAndStockDividend,CashDividendYieldRate,ProfitFourSeason,ProfitSingle,CName,ExchangeIndustry,CompanyPos'</f>
        <v>0</v>
      </c>
      <c r="V77">
        <v>0</v>
      </c>
      <c r="W77" t="str">
        <v>--</v>
      </c>
      <c r="X77" t="str">
        <v>2.00</v>
      </c>
      <c r="Y77">
        <v>13.2</v>
      </c>
      <c r="Z77" t="str">
        <v>0.31</v>
      </c>
      <c r="AA77" t="str">
        <v>-0.13</v>
      </c>
      <c r="AB77" t="str">
        <v>大立</v>
      </c>
      <c r="AC77" t="str">
        <v>上櫃化工</v>
      </c>
      <c r="AD77" t="str">
        <v>台灣主要從事生產合成樹脂廠商</v>
      </c>
      <c r="AE77" t="str">
        <f t="array" ref="AE77:AH77">[1]!'4716.TW-CName,InvestorConferenceDate,DateofMeetingofShareHolders,TradingDate'</f>
        <v>大立</v>
      </c>
      <c r="AF77" t="str">
        <v>2021/10/18</v>
      </c>
      <c r="AG77" t="str">
        <v>2022/06/28</v>
      </c>
      <c r="AH77" t="str">
        <v>2022/08/01</v>
      </c>
    </row>
    <row r="78" spans="1:34" x14ac:dyDescent="0.3">
      <c r="A78" t="str">
        <f t="array" ref="A78:J78">[1]!'4721.TW-ID,Name,MarketValue,Capital,NetIncomeGrowthRate,OperIncomeGrowthRate,FinancialStatementsTime,TFXRatio,MonthlyNetSalesYoY,RevenueMonth'</f>
        <v>4721</v>
      </c>
      <c r="B78" t="str">
        <v>美琪瑪</v>
      </c>
      <c r="C78" t="str">
        <v>92.2</v>
      </c>
      <c r="D78" t="str">
        <v>7.50</v>
      </c>
      <c r="E78" t="str">
        <v>219.11</v>
      </c>
      <c r="F78" t="str">
        <v>169.07</v>
      </c>
      <c r="G78" t="str">
        <v>2022/03</v>
      </c>
      <c r="H78" t="str">
        <v>-1.59</v>
      </c>
      <c r="I78" t="str">
        <v>120.12</v>
      </c>
      <c r="J78" t="str">
        <v>2022/06</v>
      </c>
      <c r="K78" t="str">
        <f t="array" ref="K78:T78">[1]!'4721.TW-OperatingProfitRatio,Price,PriceChangeRatio,InOutRatioNumber,Value,YearReturn,MonthReturn,WeekReturn,FinanceBalanceDif,ChipsField2'</f>
        <v>11.83</v>
      </c>
      <c r="L78">
        <v>123</v>
      </c>
      <c r="M78">
        <v>0</v>
      </c>
      <c r="N78" t="str">
        <v>47.56%</v>
      </c>
      <c r="O78" t="str">
        <v>1.13億</v>
      </c>
      <c r="P78" t="str">
        <v>+58.93</v>
      </c>
      <c r="Q78" t="str">
        <v>+7.30</v>
      </c>
      <c r="R78" t="str">
        <v>+1.23</v>
      </c>
      <c r="S78">
        <v>-48</v>
      </c>
      <c r="T78">
        <v>0</v>
      </c>
      <c r="U78">
        <f t="array" ref="U78:AD78">[1]!'4721.TW-ChipsField3,ChipsField1,ChipsField25,CashAndStockDividend,CashDividendYieldRate,ProfitFourSeason,ProfitSingle,CName,ExchangeIndustry,CompanyPos'</f>
        <v>24</v>
      </c>
      <c r="V78">
        <v>259</v>
      </c>
      <c r="W78" t="str">
        <v>2022/07/11</v>
      </c>
      <c r="X78" t="str">
        <v>3.80</v>
      </c>
      <c r="Y78">
        <v>3.09</v>
      </c>
      <c r="Z78" t="str">
        <v>6.35</v>
      </c>
      <c r="AA78" t="str">
        <v>2.24</v>
      </c>
      <c r="AB78" t="str">
        <v>美琪瑪</v>
      </c>
      <c r="AC78" t="str">
        <v>上櫃化工</v>
      </c>
      <c r="AD78" t="str">
        <v>全球最大PTA氧化觸媒供應商，也生產正極材料</v>
      </c>
      <c r="AE78" t="str">
        <f t="array" ref="AE78:AH78">[1]!'4721.TW-CName,InvestorConferenceDate,DateofMeetingofShareHolders,TradingDate'</f>
        <v>美琪瑪</v>
      </c>
      <c r="AF78" t="str">
        <v>--</v>
      </c>
      <c r="AG78" t="str">
        <v>2022/06/22</v>
      </c>
      <c r="AH78" t="str">
        <v>2022/08/01</v>
      </c>
    </row>
    <row r="79" spans="1:34" x14ac:dyDescent="0.3">
      <c r="A79" t="str">
        <f t="array" ref="A79:J79">[1]!'4741.TW-ID,Name,MarketValue,Capital,NetIncomeGrowthRate,OperIncomeGrowthRate,FinancialStatementsTime,TFXRatio,MonthlyNetSalesYoY,RevenueMonth'</f>
        <v>4741</v>
      </c>
      <c r="B79" t="str">
        <v>泓瀚</v>
      </c>
      <c r="C79" t="str">
        <v>8.2</v>
      </c>
      <c r="D79" t="str">
        <v>3.28</v>
      </c>
      <c r="E79" t="str">
        <v>265.51</v>
      </c>
      <c r="F79" t="str">
        <v>36.71</v>
      </c>
      <c r="G79" t="str">
        <v>2022/03</v>
      </c>
      <c r="H79" t="str">
        <v>55.14</v>
      </c>
      <c r="I79" t="str">
        <v>6.46</v>
      </c>
      <c r="J79" t="str">
        <v>2022/06</v>
      </c>
      <c r="K79" t="str">
        <f t="array" ref="K79:T79">[1]!'4741.TW-OperatingProfitRatio,Price,PriceChangeRatio,InOutRatioNumber,Value,YearReturn,MonthReturn,WeekReturn,FinanceBalanceDif,ChipsField2'</f>
        <v>4.39</v>
      </c>
      <c r="L79">
        <v>24.95</v>
      </c>
      <c r="M79">
        <v>0.2</v>
      </c>
      <c r="N79" t="str">
        <v>100.00%</v>
      </c>
      <c r="O79" t="str">
        <v>5.00萬</v>
      </c>
      <c r="P79" t="str">
        <v>+6.01</v>
      </c>
      <c r="Q79" t="str">
        <v>+9.15</v>
      </c>
      <c r="R79" t="str">
        <v>+1.22</v>
      </c>
      <c r="S79">
        <v>0</v>
      </c>
      <c r="T79">
        <v>0</v>
      </c>
      <c r="U79">
        <f t="array" ref="U79:AD79">[1]!'4741.TW-ChipsField3,ChipsField1,ChipsField25,CashAndStockDividend,CashDividendYieldRate,ProfitFourSeason,ProfitSingle,CName,ExchangeIndustry,CompanyPos'</f>
        <v>0</v>
      </c>
      <c r="V79">
        <v>0</v>
      </c>
      <c r="W79" t="str">
        <v>2022/07/08</v>
      </c>
      <c r="X79" t="str">
        <v>0.80</v>
      </c>
      <c r="Y79">
        <v>3.21</v>
      </c>
      <c r="Z79" t="str">
        <v>1.22</v>
      </c>
      <c r="AA79" t="str">
        <v>0.49</v>
      </c>
      <c r="AB79" t="str">
        <v>泓瀚</v>
      </c>
      <c r="AC79" t="str">
        <v>上櫃化工</v>
      </c>
      <c r="AD79" t="str">
        <v>台灣最大噴墨打印墨水研發與製造公司</v>
      </c>
      <c r="AE79" t="str">
        <f t="array" ref="AE79:AH79">[1]!'4741.TW-CName,InvestorConferenceDate,DateofMeetingofShareHolders,TradingDate'</f>
        <v>泓瀚</v>
      </c>
      <c r="AF79" t="str">
        <v>--</v>
      </c>
      <c r="AG79" t="str">
        <v>2022/06/16</v>
      </c>
      <c r="AH79" t="str">
        <v>2022/08/01</v>
      </c>
    </row>
    <row r="80" spans="1:34" x14ac:dyDescent="0.3">
      <c r="A80" t="str">
        <f t="array" ref="A80:J80">[1]!'4754.TW-ID,Name,MarketValue,Capital,NetIncomeGrowthRate,OperIncomeGrowthRate,FinancialStatementsTime,TFXRatio,MonthlyNetSalesYoY,RevenueMonth'</f>
        <v>4754</v>
      </c>
      <c r="B80" t="str">
        <v>國碳科</v>
      </c>
      <c r="C80" t="str">
        <v>9.6</v>
      </c>
      <c r="D80" t="str">
        <v>2.50</v>
      </c>
      <c r="E80" t="str">
        <v>205.78</v>
      </c>
      <c r="F80" t="str">
        <v>124.06</v>
      </c>
      <c r="G80" t="str">
        <v>2022/03</v>
      </c>
      <c r="H80" t="str">
        <v>73.54</v>
      </c>
      <c r="I80" t="str">
        <v>-21.39</v>
      </c>
      <c r="J80" t="str">
        <v>2022/06</v>
      </c>
      <c r="K80" t="str">
        <f t="array" ref="K80:T80">[1]!'4754.TW-OperatingProfitRatio,Price,PriceChangeRatio,InOutRatioNumber,Value,YearReturn,MonthReturn,WeekReturn,FinanceBalanceDif,ChipsField2'</f>
        <v>13.74</v>
      </c>
      <c r="L80">
        <v>38.200000000000003</v>
      </c>
      <c r="M80">
        <v>0</v>
      </c>
      <c r="N80" t="str">
        <v>48.15%</v>
      </c>
      <c r="O80" t="str">
        <v>104萬</v>
      </c>
      <c r="P80" t="str">
        <v>+10.33</v>
      </c>
      <c r="Q80" t="str">
        <v>+1.19</v>
      </c>
      <c r="R80" t="str">
        <v>+0.79</v>
      </c>
      <c r="S80">
        <v>0</v>
      </c>
      <c r="T80">
        <v>0</v>
      </c>
      <c r="U80">
        <f t="array" ref="U80:AD80">[1]!'4754.TW-ChipsField3,ChipsField1,ChipsField25,CashAndStockDividend,CashDividendYieldRate,ProfitFourSeason,ProfitSingle,CName,ExchangeIndustry,CompanyPos'</f>
        <v>0</v>
      </c>
      <c r="V80">
        <v>0</v>
      </c>
      <c r="W80" t="str">
        <v>--</v>
      </c>
      <c r="X80" t="str">
        <v>2.00</v>
      </c>
      <c r="Y80">
        <v>5.24</v>
      </c>
      <c r="Z80" t="str">
        <v>2.92</v>
      </c>
      <c r="AA80" t="str">
        <v>0.62</v>
      </c>
      <c r="AB80" t="str">
        <v>國碳科</v>
      </c>
      <c r="AC80" t="str">
        <v>上櫃化工</v>
      </c>
      <c r="AD80" t="str">
        <v>台灣防火材料研發及生產廠商</v>
      </c>
      <c r="AE80" t="str">
        <f t="array" ref="AE80:AH80">[1]!'4754.TW-CName,InvestorConferenceDate,DateofMeetingofShareHolders,TradingDate'</f>
        <v>國碳科</v>
      </c>
      <c r="AF80" t="str">
        <v>--</v>
      </c>
      <c r="AG80" t="str">
        <v>2022/05/31</v>
      </c>
      <c r="AH80" t="str">
        <v>2022/08/01</v>
      </c>
    </row>
    <row r="81" spans="1:34" x14ac:dyDescent="0.3">
      <c r="A81" t="str">
        <f t="array" ref="A81:J81">[1]!'4767.TW-ID,Name,MarketValue,Capital,NetIncomeGrowthRate,OperIncomeGrowthRate,FinancialStatementsTime,TFXRatio,MonthlyNetSalesYoY,RevenueMonth'</f>
        <v>4767</v>
      </c>
      <c r="B81" t="str">
        <v>誠泰科技</v>
      </c>
      <c r="C81" t="str">
        <v>8.5</v>
      </c>
      <c r="D81" t="str">
        <v>3.14</v>
      </c>
      <c r="E81" t="str">
        <v>-16.93</v>
      </c>
      <c r="F81" t="str">
        <v>-30.53</v>
      </c>
      <c r="G81" t="str">
        <v>2022/03</v>
      </c>
      <c r="H81" t="str">
        <v>-10.47</v>
      </c>
      <c r="I81" t="str">
        <v>0.43</v>
      </c>
      <c r="J81" t="str">
        <v>2022/06</v>
      </c>
      <c r="K81" t="str">
        <f t="array" ref="K81:T81">[1]!'4767.TW-OperatingProfitRatio,Price,PriceChangeRatio,InOutRatioNumber,Value,YearReturn,MonthReturn,WeekReturn,FinanceBalanceDif,ChipsField2'</f>
        <v>4.82</v>
      </c>
      <c r="L81">
        <v>27.2</v>
      </c>
      <c r="M81">
        <v>0</v>
      </c>
      <c r="N81" t="str">
        <v>0.00%</v>
      </c>
      <c r="O81" t="str">
        <v>2.72萬</v>
      </c>
      <c r="P81" t="str">
        <v>-1.56</v>
      </c>
      <c r="Q81" t="str">
        <v>+9.11</v>
      </c>
      <c r="R81" t="str">
        <v>-2.16</v>
      </c>
      <c r="S81">
        <v>0</v>
      </c>
      <c r="T81">
        <v>0</v>
      </c>
      <c r="U81">
        <f t="array" ref="U81:AD81">[1]!'4767.TW-ChipsField3,ChipsField1,ChipsField25,CashAndStockDividend,CashDividendYieldRate,ProfitFourSeason,ProfitSingle,CName,ExchangeIndustry,CompanyPos'</f>
        <v>0</v>
      </c>
      <c r="V81">
        <v>0</v>
      </c>
      <c r="W81" t="str">
        <v>2022/07/21</v>
      </c>
      <c r="X81" t="str">
        <v>1.50</v>
      </c>
      <c r="Y81">
        <v>5.51</v>
      </c>
      <c r="Z81" t="str">
        <v>2.73</v>
      </c>
      <c r="AA81" t="str">
        <v>0.54</v>
      </c>
      <c r="AB81" t="str">
        <v>誠泰科技</v>
      </c>
      <c r="AC81" t="str">
        <v>上櫃化工</v>
      </c>
      <c r="AD81" t="str">
        <v>自動化設備用熱熔膠製造商</v>
      </c>
      <c r="AE81" t="str">
        <f t="array" ref="AE81:AH81">[1]!'4767.TW-CName,InvestorConferenceDate,DateofMeetingofShareHolders,TradingDate'</f>
        <v>誠泰科技</v>
      </c>
      <c r="AF81" t="str">
        <v>2022/05/30</v>
      </c>
      <c r="AG81" t="str">
        <v>2022/06/14</v>
      </c>
      <c r="AH81" t="str">
        <v>2022/08/01</v>
      </c>
    </row>
    <row r="82" spans="1:34" x14ac:dyDescent="0.3">
      <c r="A82" t="str">
        <f t="array" ref="A82:J82">[1]!'4768.TW-ID,Name,MarketValue,Capital,NetIncomeGrowthRate,OperIncomeGrowthRate,FinancialStatementsTime,TFXRatio,MonthlyNetSalesYoY,RevenueMonth'</f>
        <v>4768</v>
      </c>
      <c r="B82" t="str">
        <v>晶呈科技</v>
      </c>
      <c r="C82" t="str">
        <v>45.0</v>
      </c>
      <c r="D82" t="str">
        <v>3.59</v>
      </c>
      <c r="E82" t="str">
        <v>11.93</v>
      </c>
      <c r="F82" t="str">
        <v>13.24</v>
      </c>
      <c r="G82" t="str">
        <v>2022/03</v>
      </c>
      <c r="H82" t="str">
        <v>-14.09</v>
      </c>
      <c r="I82" t="str">
        <v>34.70</v>
      </c>
      <c r="J82" t="str">
        <v>2022/06</v>
      </c>
      <c r="K82" t="str">
        <f t="array" ref="K82:T82">[1]!'4768.TW-OperatingProfitRatio,Price,PriceChangeRatio,InOutRatioNumber,Value,YearReturn,MonthReturn,WeekReturn,FinanceBalanceDif,ChipsField2'</f>
        <v>18.22</v>
      </c>
      <c r="L82">
        <v>125.5</v>
      </c>
      <c r="M82">
        <v>0.4</v>
      </c>
      <c r="N82" t="str">
        <v>56.07%</v>
      </c>
      <c r="O82" t="str">
        <v>2697萬</v>
      </c>
      <c r="P82" t="str">
        <v>--</v>
      </c>
      <c r="Q82" t="str">
        <v>+2.87</v>
      </c>
      <c r="R82" t="str">
        <v>-3.46</v>
      </c>
      <c r="S82">
        <v>0</v>
      </c>
      <c r="T82">
        <v>0</v>
      </c>
      <c r="U82">
        <f t="array" ref="U82:AD82">[1]!'4768.TW-ChipsField3,ChipsField1,ChipsField25,CashAndStockDividend,CashDividendYieldRate,ProfitFourSeason,ProfitSingle,CName,ExchangeIndustry,CompanyPos'</f>
        <v>1</v>
      </c>
      <c r="V82">
        <v>-6</v>
      </c>
      <c r="W82" t="str">
        <v>--</v>
      </c>
      <c r="X82" t="str">
        <v>2.00</v>
      </c>
      <c r="Y82">
        <v>1.59</v>
      </c>
      <c r="Z82" t="str">
        <v>2.17</v>
      </c>
      <c r="AA82" t="str">
        <v>0.41</v>
      </c>
      <c r="AB82" t="str">
        <v>晶呈科技</v>
      </c>
      <c r="AC82" t="str">
        <v>上櫃化工</v>
      </c>
      <c r="AD82" t="str">
        <v>半導體及光電特殊氣體供應商</v>
      </c>
      <c r="AE82" t="str">
        <f t="array" ref="AE82:AH82">[1]!'4768.TW-CName,InvestorConferenceDate,DateofMeetingofShareHolders,TradingDate'</f>
        <v>晶呈科技</v>
      </c>
      <c r="AF82" t="str">
        <v>2022/07/14</v>
      </c>
      <c r="AG82" t="str">
        <v>2022/06/29</v>
      </c>
      <c r="AH82" t="str">
        <v>2022/08/01</v>
      </c>
    </row>
    <row r="83" spans="1:34" x14ac:dyDescent="0.3">
      <c r="A83" t="str">
        <f t="array" ref="A83:J83">[1]!'6509.TW-ID,Name,MarketValue,Capital,NetIncomeGrowthRate,OperIncomeGrowthRate,FinancialStatementsTime,TFXRatio,MonthlyNetSalesYoY,RevenueMonth'</f>
        <v>6509</v>
      </c>
      <c r="B83" t="str">
        <v>聚和</v>
      </c>
      <c r="C83" t="str">
        <v>71.2</v>
      </c>
      <c r="D83" t="str">
        <v>17.35</v>
      </c>
      <c r="E83" t="str">
        <v>-7.42</v>
      </c>
      <c r="F83" t="str">
        <v>-14.47</v>
      </c>
      <c r="G83" t="str">
        <v>2022/03</v>
      </c>
      <c r="H83" t="str">
        <v>20.14</v>
      </c>
      <c r="I83" t="str">
        <v>24.48</v>
      </c>
      <c r="J83" t="str">
        <v>2022/06</v>
      </c>
      <c r="K83" t="str">
        <f t="array" ref="K83:T83">[1]!'6509.TW-OperatingProfitRatio,Price,PriceChangeRatio,InOutRatioNumber,Value,YearReturn,MonthReturn,WeekReturn,FinanceBalanceDif,ChipsField2'</f>
        <v>11.28</v>
      </c>
      <c r="L83">
        <v>41.05</v>
      </c>
      <c r="M83">
        <v>-0.24</v>
      </c>
      <c r="N83" t="str">
        <v>37.64%</v>
      </c>
      <c r="O83" t="str">
        <v>1832萬</v>
      </c>
      <c r="P83" t="str">
        <v>-21.24</v>
      </c>
      <c r="Q83" t="str">
        <v>+13.24</v>
      </c>
      <c r="R83" t="str">
        <v>+0.49</v>
      </c>
      <c r="S83">
        <v>-38</v>
      </c>
      <c r="T83">
        <v>0</v>
      </c>
      <c r="U83">
        <f t="array" ref="U83:AD83">[1]!'6509.TW-ChipsField3,ChipsField1,ChipsField25,CashAndStockDividend,CashDividendYieldRate,ProfitFourSeason,ProfitSingle,CName,ExchangeIndustry,CompanyPos'</f>
        <v>5</v>
      </c>
      <c r="V83">
        <v>203</v>
      </c>
      <c r="W83" t="str">
        <v>2022/08/26</v>
      </c>
      <c r="X83" t="str">
        <v>1.25</v>
      </c>
      <c r="Y83">
        <v>3.05</v>
      </c>
      <c r="Z83" t="str">
        <v>2.42</v>
      </c>
      <c r="AA83" t="str">
        <v>0.71</v>
      </c>
      <c r="AB83" t="str">
        <v>聚和</v>
      </c>
      <c r="AC83" t="str">
        <v>上櫃化工</v>
      </c>
      <c r="AD83" t="str">
        <v>全球第2大自黏便條紙商、知名造紙化學品廠</v>
      </c>
      <c r="AE83" t="str">
        <f t="array" ref="AE83:AH83">[1]!'6509.TW-CName,InvestorConferenceDate,DateofMeetingofShareHolders,TradingDate'</f>
        <v>聚和</v>
      </c>
      <c r="AF83" t="str">
        <v>--</v>
      </c>
      <c r="AG83" t="str">
        <v>2022/06/21</v>
      </c>
      <c r="AH83" t="str">
        <v>2022/08/01</v>
      </c>
    </row>
    <row r="84" spans="1:34" x14ac:dyDescent="0.3">
      <c r="A84" t="str">
        <f t="array" ref="A84:J84">[1]!'1565.TW-ID,Name,MarketValue,Capital,NetIncomeGrowthRate,OperIncomeGrowthRate,FinancialStatementsTime,TFXRatio,MonthlyNetSalesYoY,RevenueMonth'</f>
        <v>1565</v>
      </c>
      <c r="B84" t="str">
        <v>精華</v>
      </c>
      <c r="C84" t="str">
        <v>132.6</v>
      </c>
      <c r="D84" t="str">
        <v>5.04</v>
      </c>
      <c r="E84" t="str">
        <v>30.85</v>
      </c>
      <c r="F84" t="str">
        <v>2.17</v>
      </c>
      <c r="G84" t="str">
        <v>2022/03</v>
      </c>
      <c r="H84" t="str">
        <v>22.16</v>
      </c>
      <c r="I84" t="str">
        <v>-6.48</v>
      </c>
      <c r="J84" t="str">
        <v>2022/06</v>
      </c>
      <c r="K84" t="str">
        <f t="array" ref="K84:T84">[1]!'1565.TW-OperatingProfitRatio,Price,PriceChangeRatio,InOutRatioNumber,Value,YearReturn,MonthReturn,WeekReturn,FinanceBalanceDif,ChipsField2'</f>
        <v>22.23</v>
      </c>
      <c r="L84">
        <v>263</v>
      </c>
      <c r="M84">
        <v>0.38</v>
      </c>
      <c r="N84" t="str">
        <v>36.84%</v>
      </c>
      <c r="O84" t="str">
        <v>1526萬</v>
      </c>
      <c r="P84" t="str">
        <v>-29.08</v>
      </c>
      <c r="Q84" t="str">
        <v>+4.16</v>
      </c>
      <c r="R84" t="str">
        <v>0.00</v>
      </c>
      <c r="S84">
        <v>19</v>
      </c>
      <c r="T84">
        <v>0</v>
      </c>
      <c r="U84">
        <f t="array" ref="U84:AD84">[1]!'1565.TW-ChipsField3,ChipsField1,ChipsField25,CashAndStockDividend,CashDividendYieldRate,ProfitFourSeason,ProfitSingle,CName,ExchangeIndustry,CompanyPos'</f>
        <v>0</v>
      </c>
      <c r="V84">
        <v>-7</v>
      </c>
      <c r="W84" t="str">
        <v>--</v>
      </c>
      <c r="X84" t="str">
        <v>15.00</v>
      </c>
      <c r="Y84">
        <v>5.7</v>
      </c>
      <c r="Z84" t="str">
        <v>20.19</v>
      </c>
      <c r="AA84" t="str">
        <v>5.88</v>
      </c>
      <c r="AB84" t="str">
        <v>精華</v>
      </c>
      <c r="AC84" t="str">
        <v>上櫃生技醫療</v>
      </c>
      <c r="AD84" t="str">
        <v>亞洲第一大，全球第五大隱形眼鏡製造廠</v>
      </c>
      <c r="AE84" t="str">
        <f t="array" ref="AE84:AH84">[1]!'1565.TW-CName,InvestorConferenceDate,DateofMeetingofShareHolders,TradingDate'</f>
        <v>精華</v>
      </c>
      <c r="AF84" t="str">
        <v>--</v>
      </c>
      <c r="AG84" t="str">
        <v>2022/06/29</v>
      </c>
      <c r="AH84" t="str">
        <v>2022/08/01</v>
      </c>
    </row>
    <row r="85" spans="1:34" x14ac:dyDescent="0.3">
      <c r="A85" t="str">
        <f t="array" ref="A85:J85">[1]!'1593.TW-ID,Name,MarketValue,Capital,NetIncomeGrowthRate,OperIncomeGrowthRate,FinancialStatementsTime,TFXRatio,MonthlyNetSalesYoY,RevenueMonth'</f>
        <v>1593</v>
      </c>
      <c r="B85" t="str">
        <v>祺驊</v>
      </c>
      <c r="C85" t="str">
        <v>17.6</v>
      </c>
      <c r="D85" t="str">
        <v>3.52</v>
      </c>
      <c r="E85" t="str">
        <v>-62.43</v>
      </c>
      <c r="F85" t="str">
        <v>-82.60</v>
      </c>
      <c r="G85" t="str">
        <v>2022/03</v>
      </c>
      <c r="H85" t="str">
        <v>46.94</v>
      </c>
      <c r="I85" t="str">
        <v>-62.22</v>
      </c>
      <c r="J85" t="str">
        <v>2022/06</v>
      </c>
      <c r="K85" t="str">
        <f t="array" ref="K85:T85">[1]!'1593.TW-OperatingProfitRatio,Price,PriceChangeRatio,InOutRatioNumber,Value,YearReturn,MonthReturn,WeekReturn,FinanceBalanceDif,ChipsField2'</f>
        <v>3.31</v>
      </c>
      <c r="L85">
        <v>50</v>
      </c>
      <c r="M85">
        <v>0.3</v>
      </c>
      <c r="N85" t="str">
        <v>43.90%</v>
      </c>
      <c r="O85" t="str">
        <v>232萬</v>
      </c>
      <c r="P85" t="str">
        <v>-51.27</v>
      </c>
      <c r="Q85" t="str">
        <v>+1.11</v>
      </c>
      <c r="R85" t="str">
        <v>-2.91</v>
      </c>
      <c r="S85">
        <v>-3</v>
      </c>
      <c r="T85">
        <v>0</v>
      </c>
      <c r="U85">
        <f t="array" ref="U85:AD85">[1]!'1593.TW-ChipsField3,ChipsField1,ChipsField25,CashAndStockDividend,CashDividendYieldRate,ProfitFourSeason,ProfitSingle,CName,ExchangeIndustry,CompanyPos'</f>
        <v>0</v>
      </c>
      <c r="V85">
        <v>1</v>
      </c>
      <c r="W85" t="str">
        <v>--</v>
      </c>
      <c r="X85" t="str">
        <v>3.80</v>
      </c>
      <c r="Y85">
        <v>7.6</v>
      </c>
      <c r="Z85" t="str">
        <v>4.26</v>
      </c>
      <c r="AA85" t="str">
        <v>0.34</v>
      </c>
      <c r="AB85" t="str">
        <v>祺驊</v>
      </c>
      <c r="AC85" t="str">
        <v>上櫃生技醫療</v>
      </c>
      <c r="AD85" t="str">
        <v>台灣運動器材零件製造商</v>
      </c>
      <c r="AE85" t="str">
        <f t="array" ref="AE85:AH85">[1]!'1593.TW-CName,InvestorConferenceDate,DateofMeetingofShareHolders,TradingDate'</f>
        <v>祺驊</v>
      </c>
      <c r="AF85" t="str">
        <v>2021/12/29</v>
      </c>
      <c r="AG85" t="str">
        <v>2022/06/15</v>
      </c>
      <c r="AH85" t="str">
        <v>2022/08/01</v>
      </c>
    </row>
    <row r="86" spans="1:34" x14ac:dyDescent="0.3">
      <c r="A86" t="str">
        <f t="array" ref="A86:J86">[1]!'1777.TW-ID,Name,MarketValue,Capital,NetIncomeGrowthRate,OperIncomeGrowthRate,FinancialStatementsTime,TFXRatio,MonthlyNetSalesYoY,RevenueMonth'</f>
        <v>1777</v>
      </c>
      <c r="B86" t="str">
        <v>生泰</v>
      </c>
      <c r="C86" t="str">
        <v>29.7</v>
      </c>
      <c r="D86" t="str">
        <v>4.46</v>
      </c>
      <c r="E86" t="str">
        <v>-34.11</v>
      </c>
      <c r="F86" t="str">
        <v>-78.58</v>
      </c>
      <c r="G86" t="str">
        <v>2022/03</v>
      </c>
      <c r="H86" t="str">
        <v>7.88</v>
      </c>
      <c r="I86" t="str">
        <v>34.35</v>
      </c>
      <c r="J86" t="str">
        <v>2022/06</v>
      </c>
      <c r="K86" t="str">
        <f t="array" ref="K86:T86">[1]!'1777.TW-OperatingProfitRatio,Price,PriceChangeRatio,InOutRatioNumber,Value,YearReturn,MonthReturn,WeekReturn,FinanceBalanceDif,ChipsField2'</f>
        <v>8.55</v>
      </c>
      <c r="L86">
        <v>66.599999999999994</v>
      </c>
      <c r="M86">
        <v>0.15</v>
      </c>
      <c r="N86" t="str">
        <v>100.00%</v>
      </c>
      <c r="O86" t="str">
        <v>19.9萬</v>
      </c>
      <c r="P86" t="str">
        <v>-0.20</v>
      </c>
      <c r="Q86" t="str">
        <v>+6.34</v>
      </c>
      <c r="R86" t="str">
        <v>+2.46</v>
      </c>
      <c r="S86">
        <v>-2</v>
      </c>
      <c r="T86">
        <v>0</v>
      </c>
      <c r="U86">
        <f t="array" ref="U86:AD86">[1]!'1777.TW-ChipsField3,ChipsField1,ChipsField25,CashAndStockDividend,CashDividendYieldRate,ProfitFourSeason,ProfitSingle,CName,ExchangeIndustry,CompanyPos'</f>
        <v>0</v>
      </c>
      <c r="V86">
        <v>-3</v>
      </c>
      <c r="W86" t="str">
        <v>2022/07/21</v>
      </c>
      <c r="X86" t="str">
        <v>1.93</v>
      </c>
      <c r="Y86">
        <v>2.9</v>
      </c>
      <c r="Z86" t="str">
        <v>2.63</v>
      </c>
      <c r="AA86" t="str">
        <v>0.85</v>
      </c>
      <c r="AB86" t="str">
        <v>生泰</v>
      </c>
      <c r="AC86" t="str">
        <v>上櫃生技醫療</v>
      </c>
      <c r="AD86" t="str">
        <v>開發及產製原料藥廠商</v>
      </c>
      <c r="AE86" t="str">
        <f t="array" ref="AE86:AH86">[1]!'1777.TW-CName,InvestorConferenceDate,DateofMeetingofShareHolders,TradingDate'</f>
        <v>生泰</v>
      </c>
      <c r="AF86" t="str">
        <v>2021/12/16</v>
      </c>
      <c r="AG86" t="str">
        <v>2022/06/21</v>
      </c>
      <c r="AH86" t="str">
        <v>2022/08/01</v>
      </c>
    </row>
    <row r="87" spans="1:34" x14ac:dyDescent="0.3">
      <c r="A87" t="str">
        <f t="array" ref="A87:J87">[1]!'1781.TW-ID,Name,MarketValue,Capital,NetIncomeGrowthRate,OperIncomeGrowthRate,FinancialStatementsTime,TFXRatio,MonthlyNetSalesYoY,RevenueMonth'</f>
        <v>1781</v>
      </c>
      <c r="B87" t="str">
        <v>合世</v>
      </c>
      <c r="C87" t="str">
        <v>7.0</v>
      </c>
      <c r="D87" t="str">
        <v>4.74</v>
      </c>
      <c r="E87" t="str">
        <v>-152.98</v>
      </c>
      <c r="F87" t="str">
        <v>-40.26</v>
      </c>
      <c r="G87" t="str">
        <v>2022/03</v>
      </c>
      <c r="H87" t="str">
        <v>129.35</v>
      </c>
      <c r="I87" t="str">
        <v>106.94</v>
      </c>
      <c r="J87" t="str">
        <v>2022/06</v>
      </c>
      <c r="K87" t="str">
        <f t="array" ref="K87:T87">[1]!'1781.TW-OperatingProfitRatio,Price,PriceChangeRatio,InOutRatioNumber,Value,YearReturn,MonthReturn,WeekReturn,FinanceBalanceDif,ChipsField2'</f>
        <v>-16.67</v>
      </c>
      <c r="L87">
        <v>14.8</v>
      </c>
      <c r="M87">
        <v>-1.66</v>
      </c>
      <c r="N87" t="str">
        <v>22.43%</v>
      </c>
      <c r="O87" t="str">
        <v>388萬</v>
      </c>
      <c r="P87" t="str">
        <v>-17.78</v>
      </c>
      <c r="Q87" t="str">
        <v>+13.85</v>
      </c>
      <c r="R87" t="str">
        <v>+2.42</v>
      </c>
      <c r="S87">
        <v>0</v>
      </c>
      <c r="T87">
        <v>0</v>
      </c>
      <c r="U87">
        <f t="array" ref="U87:AD87">[1]!'1781.TW-ChipsField3,ChipsField1,ChipsField25,CashAndStockDividend,CashDividendYieldRate,ProfitFourSeason,ProfitSingle,CName,ExchangeIndustry,CompanyPos'</f>
        <v>0</v>
      </c>
      <c r="V87">
        <v>3</v>
      </c>
      <c r="W87" t="str">
        <v>--</v>
      </c>
      <c r="X87" t="str">
        <v>0.00</v>
      </c>
      <c r="Y87">
        <v>0</v>
      </c>
      <c r="Z87" t="str">
        <v>-2.01</v>
      </c>
      <c r="AA87" t="str">
        <v>-0.24</v>
      </c>
      <c r="AB87" t="str">
        <v>合世</v>
      </c>
      <c r="AC87" t="str">
        <v>上櫃生技醫療</v>
      </c>
      <c r="AD87" t="str">
        <v>全球前三大電子式血壓計廠</v>
      </c>
      <c r="AE87" t="str">
        <f t="array" ref="AE87:AH87">[1]!'1781.TW-CName,InvestorConferenceDate,DateofMeetingofShareHolders,TradingDate'</f>
        <v>合世</v>
      </c>
      <c r="AF87" t="str">
        <v>2021/11/29</v>
      </c>
      <c r="AG87" t="str">
        <v>2022/06/29</v>
      </c>
      <c r="AH87" t="str">
        <v>2022/08/01</v>
      </c>
    </row>
    <row r="88" spans="1:34" x14ac:dyDescent="0.3">
      <c r="A88" t="str">
        <f t="array" ref="A88:J88">[1]!'1784.TW-ID,Name,MarketValue,Capital,NetIncomeGrowthRate,OperIncomeGrowthRate,FinancialStatementsTime,TFXRatio,MonthlyNetSalesYoY,RevenueMonth'</f>
        <v>1784</v>
      </c>
      <c r="B88" t="str">
        <v>訊聯</v>
      </c>
      <c r="C88" t="str">
        <v>19.9</v>
      </c>
      <c r="D88" t="str">
        <v>4.96</v>
      </c>
      <c r="E88" t="str">
        <v>10.01</v>
      </c>
      <c r="F88" t="str">
        <v>-36.47</v>
      </c>
      <c r="G88" t="str">
        <v>2022/03</v>
      </c>
      <c r="H88" t="str">
        <v>-4.71</v>
      </c>
      <c r="I88" t="str">
        <v>-15.21</v>
      </c>
      <c r="J88" t="str">
        <v>2022/06</v>
      </c>
      <c r="K88" t="str">
        <f t="array" ref="K88:T88">[1]!'1784.TW-OperatingProfitRatio,Price,PriceChangeRatio,InOutRatioNumber,Value,YearReturn,MonthReturn,WeekReturn,FinanceBalanceDif,ChipsField2'</f>
        <v>4.50</v>
      </c>
      <c r="L88">
        <v>40.15</v>
      </c>
      <c r="M88">
        <v>-2.5499999999999998</v>
      </c>
      <c r="N88" t="str">
        <v>12.50%</v>
      </c>
      <c r="O88" t="str">
        <v>423萬</v>
      </c>
      <c r="P88" t="str">
        <v>-11.20</v>
      </c>
      <c r="Q88" t="str">
        <v>+3.48</v>
      </c>
      <c r="R88" t="str">
        <v>-4.18</v>
      </c>
      <c r="S88">
        <v>7</v>
      </c>
      <c r="T88">
        <v>0</v>
      </c>
      <c r="U88">
        <f t="array" ref="U88:AD88">[1]!'1784.TW-ChipsField3,ChipsField1,ChipsField25,CashAndStockDividend,CashDividendYieldRate,ProfitFourSeason,ProfitSingle,CName,ExchangeIndustry,CompanyPos'</f>
        <v>0</v>
      </c>
      <c r="V88">
        <v>-1</v>
      </c>
      <c r="W88" t="str">
        <v>2022/09/05</v>
      </c>
      <c r="X88" t="str">
        <v>0.48</v>
      </c>
      <c r="Y88">
        <v>1.2</v>
      </c>
      <c r="Z88" t="str">
        <v>0.41</v>
      </c>
      <c r="AA88" t="str">
        <v>0.10</v>
      </c>
      <c r="AB88" t="str">
        <v>訊聯</v>
      </c>
      <c r="AC88" t="str">
        <v>上櫃生技醫療</v>
      </c>
      <c r="AD88" t="str">
        <v>台灣第一大臍帶血銀行與幹細胞資料庫公司</v>
      </c>
      <c r="AE88" t="str">
        <f t="array" ref="AE88:AH88">[1]!'1784.TW-CName,InvestorConferenceDate,DateofMeetingofShareHolders,TradingDate'</f>
        <v>訊聯</v>
      </c>
      <c r="AF88" t="str">
        <v>--</v>
      </c>
      <c r="AG88" t="str">
        <v>2022/06/22</v>
      </c>
      <c r="AH88" t="str">
        <v>2022/08/01</v>
      </c>
    </row>
    <row r="89" spans="1:34" x14ac:dyDescent="0.3">
      <c r="A89" t="str">
        <f t="array" ref="A89:J89">[1]!'1788.TW-ID,Name,MarketValue,Capital,NetIncomeGrowthRate,OperIncomeGrowthRate,FinancialStatementsTime,TFXRatio,MonthlyNetSalesYoY,RevenueMonth'</f>
        <v>1788</v>
      </c>
      <c r="B89" t="str">
        <v>杏昌</v>
      </c>
      <c r="C89" t="str">
        <v>62.8</v>
      </c>
      <c r="D89" t="str">
        <v>4.05</v>
      </c>
      <c r="E89" t="str">
        <v>12.47</v>
      </c>
      <c r="F89" t="str">
        <v>22.62</v>
      </c>
      <c r="G89" t="str">
        <v>2022/03</v>
      </c>
      <c r="H89" t="str">
        <v>-52.87</v>
      </c>
      <c r="I89" t="str">
        <v>12.49</v>
      </c>
      <c r="J89" t="str">
        <v>2022/06</v>
      </c>
      <c r="K89" t="str">
        <f t="array" ref="K89:T89">[1]!'1788.TW-OperatingProfitRatio,Price,PriceChangeRatio,InOutRatioNumber,Value,YearReturn,MonthReturn,WeekReturn,FinanceBalanceDif,ChipsField2'</f>
        <v>11.29</v>
      </c>
      <c r="L89">
        <v>155</v>
      </c>
      <c r="M89">
        <v>0</v>
      </c>
      <c r="N89" t="str">
        <v>22.22%</v>
      </c>
      <c r="O89" t="str">
        <v>279萬</v>
      </c>
      <c r="P89" t="str">
        <v>+21.72</v>
      </c>
      <c r="Q89" t="str">
        <v>+8.11</v>
      </c>
      <c r="R89" t="str">
        <v>0.00</v>
      </c>
      <c r="S89">
        <v>0</v>
      </c>
      <c r="T89">
        <v>0</v>
      </c>
      <c r="U89">
        <f t="array" ref="U89:AD89">[1]!'1788.TW-ChipsField3,ChipsField1,ChipsField25,CashAndStockDividend,CashDividendYieldRate,ProfitFourSeason,ProfitSingle,CName,ExchangeIndustry,CompanyPos'</f>
        <v>0</v>
      </c>
      <c r="V89">
        <v>-1</v>
      </c>
      <c r="W89" t="str">
        <v>2022/07/19</v>
      </c>
      <c r="X89" t="str">
        <v>7.00</v>
      </c>
      <c r="Y89">
        <v>4.5199999999999996</v>
      </c>
      <c r="Z89" t="str">
        <v>9.17</v>
      </c>
      <c r="AA89" t="str">
        <v>2.29</v>
      </c>
      <c r="AB89" t="str">
        <v>杏昌</v>
      </c>
      <c r="AC89" t="str">
        <v>上櫃生技醫療</v>
      </c>
      <c r="AD89" t="str">
        <v>代理歐美日一線廠牌醫療器材為主</v>
      </c>
      <c r="AE89" t="str">
        <f t="array" ref="AE89:AH89">[1]!'1788.TW-CName,InvestorConferenceDate,DateofMeetingofShareHolders,TradingDate'</f>
        <v>杏昌</v>
      </c>
      <c r="AF89" t="str">
        <v>--</v>
      </c>
      <c r="AG89" t="str">
        <v>2022/06/22</v>
      </c>
      <c r="AH89" t="str">
        <v>2022/08/01</v>
      </c>
    </row>
    <row r="90" spans="1:34" x14ac:dyDescent="0.3">
      <c r="A90" t="str">
        <f t="array" ref="A90:J90">[1]!'1799.TW-ID,Name,MarketValue,Capital,NetIncomeGrowthRate,OperIncomeGrowthRate,FinancialStatementsTime,TFXRatio,MonthlyNetSalesYoY,RevenueMonth'</f>
        <v>1799</v>
      </c>
      <c r="B90" t="str">
        <v>易威</v>
      </c>
      <c r="C90" t="str">
        <v>21.2</v>
      </c>
      <c r="D90" t="str">
        <v>16.34</v>
      </c>
      <c r="E90" t="str">
        <v>-21749.21</v>
      </c>
      <c r="F90" t="str">
        <v>-0.73</v>
      </c>
      <c r="G90" t="str">
        <v>2022/03</v>
      </c>
      <c r="H90" t="str">
        <v>118.10</v>
      </c>
      <c r="I90" t="str">
        <v>167.60</v>
      </c>
      <c r="J90" t="str">
        <v>2022/06</v>
      </c>
      <c r="K90" t="str">
        <f t="array" ref="K90:T90">[1]!'1799.TW-OperatingProfitRatio,Price,PriceChangeRatio,InOutRatioNumber,Value,YearReturn,MonthReturn,WeekReturn,FinanceBalanceDif,ChipsField2'</f>
        <v>-154.17</v>
      </c>
      <c r="L90">
        <v>13</v>
      </c>
      <c r="M90">
        <v>-0.76</v>
      </c>
      <c r="N90" t="str">
        <v>16.22%</v>
      </c>
      <c r="O90" t="str">
        <v>147萬</v>
      </c>
      <c r="P90" t="str">
        <v>-16.93</v>
      </c>
      <c r="Q90" t="str">
        <v>+4.84</v>
      </c>
      <c r="R90" t="str">
        <v>-5.45</v>
      </c>
      <c r="S90">
        <v>0</v>
      </c>
      <c r="T90">
        <v>0</v>
      </c>
      <c r="U90">
        <f t="array" ref="U90:AD90">[1]!'1799.TW-ChipsField3,ChipsField1,ChipsField25,CashAndStockDividend,CashDividendYieldRate,ProfitFourSeason,ProfitSingle,CName,ExchangeIndustry,CompanyPos'</f>
        <v>0</v>
      </c>
      <c r="V90">
        <v>12</v>
      </c>
      <c r="W90" t="str">
        <v>--</v>
      </c>
      <c r="X90" t="str">
        <v>0.00</v>
      </c>
      <c r="Y90">
        <v>0</v>
      </c>
      <c r="Z90" t="str">
        <v>-1.34</v>
      </c>
      <c r="AA90" t="str">
        <v>-0.32</v>
      </c>
      <c r="AB90" t="str">
        <v>易威</v>
      </c>
      <c r="AC90" t="str">
        <v>上櫃生技醫療</v>
      </c>
      <c r="AD90" t="str">
        <v>轉型新劑型藥物及原料藥研發廠</v>
      </c>
      <c r="AE90" t="str">
        <f t="array" ref="AE90:AH90">[1]!'1799.TW-CName,InvestorConferenceDate,DateofMeetingofShareHolders,TradingDate'</f>
        <v>易威</v>
      </c>
      <c r="AF90" t="str">
        <v>2021/12/17</v>
      </c>
      <c r="AG90" t="str">
        <v>2022/06/27</v>
      </c>
      <c r="AH90" t="str">
        <v>2022/08/01</v>
      </c>
    </row>
    <row r="91" spans="1:34" x14ac:dyDescent="0.3">
      <c r="A91" t="str">
        <f t="array" ref="A91:J91">[1]!'1813.TW-ID,Name,MarketValue,Capital,NetIncomeGrowthRate,OperIncomeGrowthRate,FinancialStatementsTime,TFXRatio,MonthlyNetSalesYoY,RevenueMonth'</f>
        <v>1813</v>
      </c>
      <c r="B91" t="str">
        <v>寶利徠</v>
      </c>
      <c r="C91" t="str">
        <v>9.1</v>
      </c>
      <c r="D91" t="str">
        <v>4.66</v>
      </c>
      <c r="E91" t="str">
        <v>5.22</v>
      </c>
      <c r="F91" t="str">
        <v>-952.72</v>
      </c>
      <c r="G91" t="str">
        <v>2022/03</v>
      </c>
      <c r="H91" t="str">
        <v>7.99</v>
      </c>
      <c r="I91" t="str">
        <v>13.44</v>
      </c>
      <c r="J91" t="str">
        <v>2022/06</v>
      </c>
      <c r="K91" t="str">
        <f t="array" ref="K91:T91">[1]!'1813.TW-OperatingProfitRatio,Price,PriceChangeRatio,InOutRatioNumber,Value,YearReturn,MonthReturn,WeekReturn,FinanceBalanceDif,ChipsField2'</f>
        <v>-17.64</v>
      </c>
      <c r="L91">
        <v>19.55</v>
      </c>
      <c r="M91">
        <v>1.56</v>
      </c>
      <c r="N91" t="str">
        <v>52.17%</v>
      </c>
      <c r="O91" t="str">
        <v>89.6萬</v>
      </c>
      <c r="P91" t="str">
        <v>+1.82</v>
      </c>
      <c r="Q91" t="str">
        <v>+5.68</v>
      </c>
      <c r="R91" t="str">
        <v>+3.71</v>
      </c>
      <c r="S91">
        <v>-24</v>
      </c>
      <c r="T91">
        <v>0</v>
      </c>
      <c r="U91">
        <f t="array" ref="U91:AD91">[1]!'1813.TW-ChipsField3,ChipsField1,ChipsField25,CashAndStockDividend,CashDividendYieldRate,ProfitFourSeason,ProfitSingle,CName,ExchangeIndustry,CompanyPos'</f>
        <v>0</v>
      </c>
      <c r="V91">
        <v>1</v>
      </c>
      <c r="W91" t="str">
        <v>2022/08/03</v>
      </c>
      <c r="X91" t="str">
        <v>0.50</v>
      </c>
      <c r="Y91">
        <v>2.56</v>
      </c>
      <c r="Z91" t="str">
        <v>-0.20</v>
      </c>
      <c r="AA91" t="str">
        <v>0.32</v>
      </c>
      <c r="AB91" t="str">
        <v>寶利徠</v>
      </c>
      <c r="AC91" t="str">
        <v>上櫃生技醫療</v>
      </c>
      <c r="AD91" t="str">
        <v>全球第三大PC(聚碳酸酯樹脂)光學鏡片商</v>
      </c>
      <c r="AE91" t="str">
        <f t="array" ref="AE91:AH91">[1]!'1813.TW-CName,InvestorConferenceDate,DateofMeetingofShareHolders,TradingDate'</f>
        <v>寶利徠</v>
      </c>
      <c r="AF91" t="str">
        <v>--</v>
      </c>
      <c r="AG91" t="str">
        <v>2022/05/31</v>
      </c>
      <c r="AH91" t="str">
        <v>2022/08/01</v>
      </c>
    </row>
    <row r="92" spans="1:34" x14ac:dyDescent="0.3">
      <c r="A92" t="str">
        <f t="array" ref="A92:J92">[1]!'3118.TW-ID,Name,MarketValue,Capital,NetIncomeGrowthRate,OperIncomeGrowthRate,FinancialStatementsTime,TFXRatio,MonthlyNetSalesYoY,RevenueMonth'</f>
        <v>3118</v>
      </c>
      <c r="B92" t="str">
        <v>進階</v>
      </c>
      <c r="C92" t="str">
        <v>8.7</v>
      </c>
      <c r="D92" t="str">
        <v>3.25</v>
      </c>
      <c r="E92" t="str">
        <v>-40.31</v>
      </c>
      <c r="F92" t="str">
        <v>-42.42</v>
      </c>
      <c r="G92" t="str">
        <v>2022/03</v>
      </c>
      <c r="H92" t="str">
        <v>13.07</v>
      </c>
      <c r="I92" t="str">
        <v>-28.26</v>
      </c>
      <c r="J92" t="str">
        <v>2022/06</v>
      </c>
      <c r="K92" t="str">
        <f t="array" ref="K92:T92">[1]!'3118.TW-OperatingProfitRatio,Price,PriceChangeRatio,InOutRatioNumber,Value,YearReturn,MonthReturn,WeekReturn,FinanceBalanceDif,ChipsField2'</f>
        <v>10.25</v>
      </c>
      <c r="L92">
        <v>26.85</v>
      </c>
      <c r="M92">
        <v>-0.56000000000000005</v>
      </c>
      <c r="N92" t="str">
        <v>56.25%</v>
      </c>
      <c r="O92" t="str">
        <v>43.0萬</v>
      </c>
      <c r="P92" t="str">
        <v>-5.13</v>
      </c>
      <c r="Q92" t="str">
        <v>+0.94</v>
      </c>
      <c r="R92" t="str">
        <v>-0.92</v>
      </c>
      <c r="S92">
        <v>5</v>
      </c>
      <c r="T92">
        <v>0</v>
      </c>
      <c r="U92">
        <f t="array" ref="U92:AD92">[1]!'3118.TW-ChipsField3,ChipsField1,ChipsField25,CashAndStockDividend,CashDividendYieldRate,ProfitFourSeason,ProfitSingle,CName,ExchangeIndustry,CompanyPos'</f>
        <v>0</v>
      </c>
      <c r="V92">
        <v>-9</v>
      </c>
      <c r="W92" t="str">
        <v>2022/06/17</v>
      </c>
      <c r="X92" t="str">
        <v>1.90</v>
      </c>
      <c r="Y92">
        <v>7.08</v>
      </c>
      <c r="Z92" t="str">
        <v>1.87</v>
      </c>
      <c r="AA92" t="str">
        <v>0.34</v>
      </c>
      <c r="AB92" t="str">
        <v>進階</v>
      </c>
      <c r="AC92" t="str">
        <v>上櫃生技醫療</v>
      </c>
      <c r="AD92" t="str">
        <v>台灣具規模的生醫實驗室儀器耗材通路商</v>
      </c>
      <c r="AE92" t="str">
        <f t="array" ref="AE92:AH92">[1]!'3118.TW-CName,InvestorConferenceDate,DateofMeetingofShareHolders,TradingDate'</f>
        <v>進階</v>
      </c>
      <c r="AF92" t="str">
        <v>2021/12/22</v>
      </c>
      <c r="AG92" t="str">
        <v>2022/05/31</v>
      </c>
      <c r="AH92" t="str">
        <v>2022/08/01</v>
      </c>
    </row>
    <row r="93" spans="1:34" x14ac:dyDescent="0.3">
      <c r="A93" t="str">
        <f t="array" ref="A93:J93">[1]!'3176.TW-ID,Name,MarketValue,Capital,NetIncomeGrowthRate,OperIncomeGrowthRate,FinancialStatementsTime,TFXRatio,MonthlyNetSalesYoY,RevenueMonth'</f>
        <v>3176</v>
      </c>
      <c r="B93" t="str">
        <v>基亞</v>
      </c>
      <c r="C93" t="str">
        <v>57.3</v>
      </c>
      <c r="D93" t="str">
        <v>13.94</v>
      </c>
      <c r="E93" t="str">
        <v>-22.36</v>
      </c>
      <c r="F93" t="str">
        <v>32.12</v>
      </c>
      <c r="G93" t="str">
        <v>2022/03</v>
      </c>
      <c r="H93" t="str">
        <v>30.48</v>
      </c>
      <c r="I93" t="str">
        <v>48.86</v>
      </c>
      <c r="J93" t="str">
        <v>2022/06</v>
      </c>
      <c r="K93" t="str">
        <f t="array" ref="K93:T93">[1]!'3176.TW-OperatingProfitRatio,Price,PriceChangeRatio,InOutRatioNumber,Value,YearReturn,MonthReturn,WeekReturn,FinanceBalanceDif,ChipsField2'</f>
        <v>-37.61</v>
      </c>
      <c r="L93">
        <v>41.1</v>
      </c>
      <c r="M93">
        <v>-0.36</v>
      </c>
      <c r="N93" t="str">
        <v>37.88%</v>
      </c>
      <c r="O93" t="str">
        <v>541萬</v>
      </c>
      <c r="P93" t="str">
        <v>-35.98</v>
      </c>
      <c r="Q93" t="str">
        <v>+2.62</v>
      </c>
      <c r="R93" t="str">
        <v>-2.49</v>
      </c>
      <c r="S93">
        <v>0</v>
      </c>
      <c r="T93">
        <v>0</v>
      </c>
      <c r="U93">
        <f t="array" ref="U93:AD93">[1]!'3176.TW-ChipsField3,ChipsField1,ChipsField25,CashAndStockDividend,CashDividendYieldRate,ProfitFourSeason,ProfitSingle,CName,ExchangeIndustry,CompanyPos'</f>
        <v>0</v>
      </c>
      <c r="V93">
        <v>4</v>
      </c>
      <c r="W93" t="str">
        <v>--</v>
      </c>
      <c r="X93" t="str">
        <v>0.00</v>
      </c>
      <c r="Y93">
        <v>0</v>
      </c>
      <c r="Z93" t="str">
        <v>-0.51</v>
      </c>
      <c r="AA93" t="str">
        <v>-0.59</v>
      </c>
      <c r="AB93" t="str">
        <v>基亞</v>
      </c>
      <c r="AC93" t="str">
        <v>上櫃生技醫療</v>
      </c>
      <c r="AD93" t="str">
        <v>全球肝癌新藥領導廠，亦為亞洲唯一產銷HLA試劑的公司</v>
      </c>
      <c r="AE93" t="str">
        <f t="array" ref="AE93:AH93">[1]!'3176.TW-CName,InvestorConferenceDate,DateofMeetingofShareHolders,TradingDate'</f>
        <v>基亞</v>
      </c>
      <c r="AF93" t="str">
        <v>--</v>
      </c>
      <c r="AG93" t="str">
        <v>2022/06/06</v>
      </c>
      <c r="AH93" t="str">
        <v>2022/08/01</v>
      </c>
    </row>
    <row r="94" spans="1:34" x14ac:dyDescent="0.3">
      <c r="A94" t="str">
        <f t="array" ref="A94:J94">[1]!'3205.TW-ID,Name,MarketValue,Capital,NetIncomeGrowthRate,OperIncomeGrowthRate,FinancialStatementsTime,TFXRatio,MonthlyNetSalesYoY,RevenueMonth'</f>
        <v>3205</v>
      </c>
      <c r="B94" t="str">
        <v>佰研</v>
      </c>
      <c r="C94" t="str">
        <v>17.2</v>
      </c>
      <c r="D94" t="str">
        <v>3.28</v>
      </c>
      <c r="E94" t="str">
        <v>2.88</v>
      </c>
      <c r="F94" t="str">
        <v>-0.57</v>
      </c>
      <c r="G94" t="str">
        <v>2022/03</v>
      </c>
      <c r="H94" t="str">
        <v>-4.88</v>
      </c>
      <c r="I94" t="str">
        <v>-16.19</v>
      </c>
      <c r="J94" t="str">
        <v>2022/06</v>
      </c>
      <c r="K94" t="str">
        <f t="array" ref="K94:T94">[1]!'3205.TW-OperatingProfitRatio,Price,PriceChangeRatio,InOutRatioNumber,Value,YearReturn,MonthReturn,WeekReturn,FinanceBalanceDif,ChipsField2'</f>
        <v>-17.39</v>
      </c>
      <c r="L94">
        <v>52.5</v>
      </c>
      <c r="M94">
        <v>-4.72</v>
      </c>
      <c r="N94" t="str">
        <v>38.19%</v>
      </c>
      <c r="O94" t="str">
        <v>1.47億</v>
      </c>
      <c r="P94" t="str">
        <v>+93.37</v>
      </c>
      <c r="Q94" t="str">
        <v>+43.05</v>
      </c>
      <c r="R94" t="str">
        <v>+4.17</v>
      </c>
      <c r="S94">
        <v>-72</v>
      </c>
      <c r="T94">
        <v>0</v>
      </c>
      <c r="U94">
        <f t="array" ref="U94:AD94">[1]!'3205.TW-ChipsField3,ChipsField1,ChipsField25,CashAndStockDividend,CashDividendYieldRate,ProfitFourSeason,ProfitSingle,CName,ExchangeIndustry,CompanyPos'</f>
        <v>0</v>
      </c>
      <c r="V94">
        <v>-89</v>
      </c>
      <c r="W94" t="str">
        <v>--</v>
      </c>
      <c r="X94" t="str">
        <v>0.00</v>
      </c>
      <c r="Y94">
        <v>0</v>
      </c>
      <c r="Z94" t="str">
        <v>-2.63</v>
      </c>
      <c r="AA94" t="str">
        <v>-0.65</v>
      </c>
      <c r="AB94" t="str">
        <v>佰研</v>
      </c>
      <c r="AC94" t="str">
        <v>上櫃生技醫療</v>
      </c>
      <c r="AD94" t="str">
        <v>透過克緹直銷有機食品及保健食品</v>
      </c>
      <c r="AE94" t="str">
        <f t="array" ref="AE94:AH94">[1]!'3205.TW-CName,InvestorConferenceDate,DateofMeetingofShareHolders,TradingDate'</f>
        <v>佰研</v>
      </c>
      <c r="AF94" t="str">
        <v>2021/12/24</v>
      </c>
      <c r="AG94" t="str">
        <v>2022/06/24</v>
      </c>
      <c r="AH94" t="str">
        <v>2022/08/01</v>
      </c>
    </row>
    <row r="95" spans="1:34" x14ac:dyDescent="0.3">
      <c r="A95" t="str">
        <f t="array" ref="A95:J95">[1]!'3218.TW-ID,Name,MarketValue,Capital,NetIncomeGrowthRate,OperIncomeGrowthRate,FinancialStatementsTime,TFXRatio,MonthlyNetSalesYoY,RevenueMonth'</f>
        <v>3218</v>
      </c>
      <c r="B95" t="str">
        <v>大學光</v>
      </c>
      <c r="C95" t="str">
        <v>250.1</v>
      </c>
      <c r="D95" t="str">
        <v>7.61</v>
      </c>
      <c r="E95" t="str">
        <v>42.29</v>
      </c>
      <c r="F95" t="str">
        <v>42.54</v>
      </c>
      <c r="G95" t="str">
        <v>2022/03</v>
      </c>
      <c r="H95" t="str">
        <v>14.77</v>
      </c>
      <c r="I95" t="str">
        <v>53.37</v>
      </c>
      <c r="J95" t="str">
        <v>2022/06</v>
      </c>
      <c r="K95" t="str">
        <f t="array" ref="K95:T95">[1]!'3218.TW-OperatingProfitRatio,Price,PriceChangeRatio,InOutRatioNumber,Value,YearReturn,MonthReturn,WeekReturn,FinanceBalanceDif,ChipsField2'</f>
        <v>32.88</v>
      </c>
      <c r="L95">
        <v>328.5</v>
      </c>
      <c r="M95">
        <v>0.31</v>
      </c>
      <c r="N95" t="str">
        <v>63.10%</v>
      </c>
      <c r="O95" t="str">
        <v>1.19億</v>
      </c>
      <c r="P95" t="str">
        <v>-6.36</v>
      </c>
      <c r="Q95" t="str">
        <v>+22.12</v>
      </c>
      <c r="R95" t="str">
        <v>+3.96</v>
      </c>
      <c r="S95">
        <v>18</v>
      </c>
      <c r="T95">
        <v>50</v>
      </c>
      <c r="U95">
        <f t="array" ref="U95:AD95">[1]!'3218.TW-ChipsField3,ChipsField1,ChipsField25,CashAndStockDividend,CashDividendYieldRate,ProfitFourSeason,ProfitSingle,CName,ExchangeIndustry,CompanyPos'</f>
        <v>-6</v>
      </c>
      <c r="V95">
        <v>0</v>
      </c>
      <c r="W95" t="str">
        <v>2022/04/21</v>
      </c>
      <c r="X95" t="str">
        <v>5.50</v>
      </c>
      <c r="Y95">
        <v>1.67</v>
      </c>
      <c r="Z95" t="str">
        <v>8.66</v>
      </c>
      <c r="AA95" t="str">
        <v>2.80</v>
      </c>
      <c r="AB95" t="str">
        <v>大學光</v>
      </c>
      <c r="AC95" t="str">
        <v>上櫃生技醫療</v>
      </c>
      <c r="AD95" t="str">
        <v>台灣最大視力健康連鎖集團</v>
      </c>
      <c r="AE95" t="str">
        <f t="array" ref="AE95:AH95">[1]!'3218.TW-CName,InvestorConferenceDate,DateofMeetingofShareHolders,TradingDate'</f>
        <v>大學光</v>
      </c>
      <c r="AF95" t="str">
        <v>2022/05/25</v>
      </c>
      <c r="AG95" t="str">
        <v>2022/06/23</v>
      </c>
      <c r="AH95" t="str">
        <v>2022/08/01</v>
      </c>
    </row>
    <row r="96" spans="1:34" x14ac:dyDescent="0.3">
      <c r="A96" t="str">
        <f t="array" ref="A96:J96">[1]!'4102.TW-ID,Name,MarketValue,Capital,NetIncomeGrowthRate,OperIncomeGrowthRate,FinancialStatementsTime,TFXRatio,MonthlyNetSalesYoY,RevenueMonth'</f>
        <v>4102</v>
      </c>
      <c r="B96" t="str">
        <v>永日</v>
      </c>
      <c r="C96" t="str">
        <v>7.5</v>
      </c>
      <c r="D96" t="str">
        <v>4.24</v>
      </c>
      <c r="E96" t="str">
        <v>354.94</v>
      </c>
      <c r="F96" t="str">
        <v>119.26</v>
      </c>
      <c r="G96" t="str">
        <v>2022/03</v>
      </c>
      <c r="H96" t="str">
        <v>47.78</v>
      </c>
      <c r="I96" t="str">
        <v>52.38</v>
      </c>
      <c r="J96" t="str">
        <v>2022/06</v>
      </c>
      <c r="K96" t="str">
        <f t="array" ref="K96:T96">[1]!'4102.TW-OperatingProfitRatio,Price,PriceChangeRatio,InOutRatioNumber,Value,YearReturn,MonthReturn,WeekReturn,FinanceBalanceDif,ChipsField2'</f>
        <v>0.76</v>
      </c>
      <c r="L96">
        <v>17.649999999999999</v>
      </c>
      <c r="M96">
        <v>-1.1200000000000001</v>
      </c>
      <c r="N96" t="str">
        <v>41.96%</v>
      </c>
      <c r="O96" t="str">
        <v>197萬</v>
      </c>
      <c r="P96" t="str">
        <v>-11.86</v>
      </c>
      <c r="Q96" t="str">
        <v>+6.96</v>
      </c>
      <c r="R96" t="str">
        <v>-4.59</v>
      </c>
      <c r="S96">
        <v>-11</v>
      </c>
      <c r="T96">
        <v>0</v>
      </c>
      <c r="U96">
        <f t="array" ref="U96:AD96">[1]!'4102.TW-ChipsField3,ChipsField1,ChipsField25,CashAndStockDividend,CashDividendYieldRate,ProfitFourSeason,ProfitSingle,CName,ExchangeIndustry,CompanyPos'</f>
        <v>0</v>
      </c>
      <c r="V96">
        <v>7</v>
      </c>
      <c r="W96" t="str">
        <v>2022/07/05</v>
      </c>
      <c r="X96" t="str">
        <v>0.10</v>
      </c>
      <c r="Y96">
        <v>0.56999999999999995</v>
      </c>
      <c r="Z96" t="str">
        <v>0.34</v>
      </c>
      <c r="AA96" t="str">
        <v>0.12</v>
      </c>
      <c r="AB96" t="str">
        <v>永日</v>
      </c>
      <c r="AC96" t="str">
        <v>上櫃生技醫療</v>
      </c>
      <c r="AD96" t="str">
        <v>永信製藥旗下原料藥廠</v>
      </c>
      <c r="AE96" t="str">
        <f t="array" ref="AE96:AH96">[1]!'4102.TW-CName,InvestorConferenceDate,DateofMeetingofShareHolders,TradingDate'</f>
        <v>永日</v>
      </c>
      <c r="AF96" t="str">
        <v>2021/10/21</v>
      </c>
      <c r="AG96" t="str">
        <v>2022/05/27</v>
      </c>
      <c r="AH96" t="str">
        <v>2022/08/01</v>
      </c>
    </row>
    <row r="97" spans="1:34" x14ac:dyDescent="0.3">
      <c r="A97" t="str">
        <f t="array" ref="A97:J97">[1]!'4105.TW-ID,Name,MarketValue,Capital,NetIncomeGrowthRate,OperIncomeGrowthRate,FinancialStatementsTime,TFXRatio,MonthlyNetSalesYoY,RevenueMonth'</f>
        <v>4105</v>
      </c>
      <c r="B97" t="str">
        <v>東洋</v>
      </c>
      <c r="C97" t="str">
        <v>176.3</v>
      </c>
      <c r="D97" t="str">
        <v>24.87</v>
      </c>
      <c r="E97" t="str">
        <v>12.93</v>
      </c>
      <c r="F97" t="str">
        <v>12.50</v>
      </c>
      <c r="G97" t="str">
        <v>2022/03</v>
      </c>
      <c r="H97" t="str">
        <v>-10.49</v>
      </c>
      <c r="I97" t="str">
        <v>20.48</v>
      </c>
      <c r="J97" t="str">
        <v>2022/06</v>
      </c>
      <c r="K97" t="str">
        <f t="array" ref="K97:T97">[1]!'4105.TW-OperatingProfitRatio,Price,PriceChangeRatio,InOutRatioNumber,Value,YearReturn,MonthReturn,WeekReturn,FinanceBalanceDif,ChipsField2'</f>
        <v>23.77</v>
      </c>
      <c r="L97">
        <v>70.900000000000006</v>
      </c>
      <c r="M97">
        <v>0.14000000000000001</v>
      </c>
      <c r="N97" t="str">
        <v>37.05%</v>
      </c>
      <c r="O97" t="str">
        <v>2048萬</v>
      </c>
      <c r="P97" t="str">
        <v>-3.14</v>
      </c>
      <c r="Q97" t="str">
        <v>+4.02</v>
      </c>
      <c r="R97" t="str">
        <v>-0.14</v>
      </c>
      <c r="S97">
        <v>6</v>
      </c>
      <c r="T97">
        <v>0</v>
      </c>
      <c r="U97">
        <f t="array" ref="U97:AD97">[1]!'4105.TW-ChipsField3,ChipsField1,ChipsField25,CashAndStockDividend,CashDividendYieldRate,ProfitFourSeason,ProfitSingle,CName,ExchangeIndustry,CompanyPos'</f>
        <v>-1</v>
      </c>
      <c r="V97">
        <v>-104</v>
      </c>
      <c r="W97" t="str">
        <v>2022/07/19</v>
      </c>
      <c r="X97" t="str">
        <v>3.00</v>
      </c>
      <c r="Y97">
        <v>4.2300000000000004</v>
      </c>
      <c r="Z97" t="str">
        <v>3.44</v>
      </c>
      <c r="AA97" t="str">
        <v>0.91</v>
      </c>
      <c r="AB97" t="str">
        <v>東洋</v>
      </c>
      <c r="AC97" t="str">
        <v>上櫃生技醫療</v>
      </c>
      <c r="AD97" t="str">
        <v>台灣最大抗癌症藥廠</v>
      </c>
      <c r="AE97" t="str">
        <f t="array" ref="AE97:AH97">[1]!'4105.TW-CName,InvestorConferenceDate,DateofMeetingofShareHolders,TradingDate'</f>
        <v>東洋</v>
      </c>
      <c r="AF97" t="str">
        <v>2022/06/30</v>
      </c>
      <c r="AG97" t="str">
        <v>2022/05/26</v>
      </c>
      <c r="AH97" t="str">
        <v>2022/08/01</v>
      </c>
    </row>
    <row r="98" spans="1:34" x14ac:dyDescent="0.3">
      <c r="A98" t="str">
        <f t="array" ref="A98:J98">[1]!'4107.TW-ID,Name,MarketValue,Capital,NetIncomeGrowthRate,OperIncomeGrowthRate,FinancialStatementsTime,TFXRatio,MonthlyNetSalesYoY,RevenueMonth'</f>
        <v>4107</v>
      </c>
      <c r="B98" t="str">
        <v>邦特</v>
      </c>
      <c r="C98" t="str">
        <v>73.8</v>
      </c>
      <c r="D98" t="str">
        <v>6.93</v>
      </c>
      <c r="E98" t="str">
        <v>1.31</v>
      </c>
      <c r="F98" t="str">
        <v>-14.10</v>
      </c>
      <c r="G98" t="str">
        <v>2022/03</v>
      </c>
      <c r="H98" t="str">
        <v>3.99</v>
      </c>
      <c r="I98" t="str">
        <v>7.62</v>
      </c>
      <c r="J98" t="str">
        <v>2022/06</v>
      </c>
      <c r="K98" t="str">
        <f t="array" ref="K98:T98">[1]!'4107.TW-OperatingProfitRatio,Price,PriceChangeRatio,InOutRatioNumber,Value,YearReturn,MonthReturn,WeekReturn,FinanceBalanceDif,ChipsField2'</f>
        <v>28.04</v>
      </c>
      <c r="L98">
        <v>106.5</v>
      </c>
      <c r="M98">
        <v>0.95</v>
      </c>
      <c r="N98" t="str">
        <v>62.16%</v>
      </c>
      <c r="O98" t="str">
        <v>1183萬</v>
      </c>
      <c r="P98" t="str">
        <v>+1.54</v>
      </c>
      <c r="Q98" t="str">
        <v>0.00</v>
      </c>
      <c r="R98" t="str">
        <v>+0.47</v>
      </c>
      <c r="S98">
        <v>0</v>
      </c>
      <c r="T98">
        <v>0</v>
      </c>
      <c r="U98">
        <f t="array" ref="U98:AD98">[1]!'4107.TW-ChipsField3,ChipsField1,ChipsField25,CashAndStockDividend,CashDividendYieldRate,ProfitFourSeason,ProfitSingle,CName,ExchangeIndustry,CompanyPos'</f>
        <v>0</v>
      </c>
      <c r="V98">
        <v>-22</v>
      </c>
      <c r="W98" t="str">
        <v>2022/08/31</v>
      </c>
      <c r="X98" t="str">
        <v>4.50</v>
      </c>
      <c r="Y98">
        <v>4.2300000000000004</v>
      </c>
      <c r="Z98" t="str">
        <v>6.25</v>
      </c>
      <c r="AA98" t="str">
        <v>1.76</v>
      </c>
      <c r="AB98" t="str">
        <v>邦特</v>
      </c>
      <c r="AC98" t="str">
        <v>上櫃生技醫療</v>
      </c>
      <c r="AD98" t="str">
        <v>台灣血液迴路管、穿刺針龍頭</v>
      </c>
      <c r="AE98" t="str">
        <f t="array" ref="AE98:AH98">[1]!'4107.TW-CName,InvestorConferenceDate,DateofMeetingofShareHolders,TradingDate'</f>
        <v>邦特</v>
      </c>
      <c r="AF98" t="str">
        <v>2022/06/10</v>
      </c>
      <c r="AG98" t="str">
        <v>2022/06/15</v>
      </c>
      <c r="AH98" t="str">
        <v>2022/08/01</v>
      </c>
    </row>
    <row r="99" spans="1:34" x14ac:dyDescent="0.3">
      <c r="A99" t="str">
        <f t="array" ref="A99:J99">[1]!'4109.TW-ID,Name,MarketValue,Capital,NetIncomeGrowthRate,OperIncomeGrowthRate,FinancialStatementsTime,TFXRatio,MonthlyNetSalesYoY,RevenueMonth'</f>
        <v>4109</v>
      </c>
      <c r="B99" t="str">
        <v>加捷生醫</v>
      </c>
      <c r="C99" t="str">
        <v>12.7</v>
      </c>
      <c r="D99" t="str">
        <v>8.89</v>
      </c>
      <c r="E99" t="str">
        <v>37.52</v>
      </c>
      <c r="F99" t="str">
        <v>14.87</v>
      </c>
      <c r="G99" t="str">
        <v>2022/03</v>
      </c>
      <c r="H99" t="str">
        <v>-20.12</v>
      </c>
      <c r="I99" t="str">
        <v>29.87</v>
      </c>
      <c r="J99" t="str">
        <v>2022/06</v>
      </c>
      <c r="K99" t="str">
        <f t="array" ref="K99:T99">[1]!'4109.TW-OperatingProfitRatio,Price,PriceChangeRatio,InOutRatioNumber,Value,YearReturn,MonthReturn,WeekReturn,FinanceBalanceDif,ChipsField2'</f>
        <v>-3.58</v>
      </c>
      <c r="L99">
        <v>14.3</v>
      </c>
      <c r="M99">
        <v>0.35</v>
      </c>
      <c r="N99" t="str">
        <v>34.29%</v>
      </c>
      <c r="O99" t="str">
        <v>99.9萬</v>
      </c>
      <c r="P99" t="str">
        <v>+5.93</v>
      </c>
      <c r="Q99" t="str">
        <v>+1.06</v>
      </c>
      <c r="R99" t="str">
        <v>-0.35</v>
      </c>
      <c r="S99">
        <v>7</v>
      </c>
      <c r="T99">
        <v>0</v>
      </c>
      <c r="U99">
        <f t="array" ref="U99:AD99">[1]!'4109.TW-ChipsField3,ChipsField1,ChipsField25,CashAndStockDividend,CashDividendYieldRate,ProfitFourSeason,ProfitSingle,CName,ExchangeIndustry,CompanyPos'</f>
        <v>0</v>
      </c>
      <c r="V99">
        <v>7</v>
      </c>
      <c r="W99" t="str">
        <v>--</v>
      </c>
      <c r="X99" t="str">
        <v>0.00</v>
      </c>
      <c r="Y99">
        <v>0</v>
      </c>
      <c r="Z99" t="str">
        <v>0.07</v>
      </c>
      <c r="AA99" t="str">
        <v>-0.02</v>
      </c>
      <c r="AB99" t="str">
        <v>加捷生醫</v>
      </c>
      <c r="AC99" t="str">
        <v>上櫃生技醫療</v>
      </c>
      <c r="AD99" t="str">
        <v>台灣最大甲魚相關保健食品廠</v>
      </c>
      <c r="AE99" t="str">
        <f t="array" ref="AE99:AH99">[1]!'4109.TW-CName,InvestorConferenceDate,DateofMeetingofShareHolders,TradingDate'</f>
        <v>加捷生醫</v>
      </c>
      <c r="AF99" t="str">
        <v>2021/11/17</v>
      </c>
      <c r="AG99" t="str">
        <v>2022/06/07</v>
      </c>
      <c r="AH99" t="str">
        <v>2022/08/01</v>
      </c>
    </row>
    <row r="100" spans="1:34" x14ac:dyDescent="0.3">
      <c r="A100" t="str">
        <f t="array" ref="A100:J100">[1]!'4111.TW-ID,Name,MarketValue,Capital,NetIncomeGrowthRate,OperIncomeGrowthRate,FinancialStatementsTime,TFXRatio,MonthlyNetSalesYoY,RevenueMonth'</f>
        <v>4111</v>
      </c>
      <c r="B100" t="str">
        <v>濟生</v>
      </c>
      <c r="C100" t="str">
        <v>13.4</v>
      </c>
      <c r="D100" t="str">
        <v>5.70</v>
      </c>
      <c r="E100" t="str">
        <v>105.29</v>
      </c>
      <c r="F100" t="str">
        <v>182.52</v>
      </c>
      <c r="G100" t="str">
        <v>2022/03</v>
      </c>
      <c r="H100" t="str">
        <v>-4.85</v>
      </c>
      <c r="I100" t="str">
        <v>6.34</v>
      </c>
      <c r="J100" t="str">
        <v>2022/06</v>
      </c>
      <c r="K100" t="str">
        <f t="array" ref="K100:T100">[1]!'4111.TW-OperatingProfitRatio,Price,PriceChangeRatio,InOutRatioNumber,Value,YearReturn,MonthReturn,WeekReturn,FinanceBalanceDif,ChipsField2'</f>
        <v>11.03</v>
      </c>
      <c r="L100">
        <v>23.6</v>
      </c>
      <c r="M100">
        <v>0.21</v>
      </c>
      <c r="N100" t="str">
        <v>70.83%</v>
      </c>
      <c r="O100" t="str">
        <v>114萬</v>
      </c>
      <c r="P100" t="str">
        <v>+7.32</v>
      </c>
      <c r="Q100" t="str">
        <v>+1.07</v>
      </c>
      <c r="R100" t="str">
        <v>0.00</v>
      </c>
      <c r="S100">
        <v>-1</v>
      </c>
      <c r="T100">
        <v>0</v>
      </c>
      <c r="U100">
        <f t="array" ref="U100:AD100">[1]!'4111.TW-ChipsField3,ChipsField1,ChipsField25,CashAndStockDividend,CashDividendYieldRate,ProfitFourSeason,ProfitSingle,CName,ExchangeIndustry,CompanyPos'</f>
        <v>0</v>
      </c>
      <c r="V100">
        <v>1</v>
      </c>
      <c r="W100" t="str">
        <v>--</v>
      </c>
      <c r="X100" t="str">
        <v>1.00</v>
      </c>
      <c r="Y100">
        <v>4.24</v>
      </c>
      <c r="Z100" t="str">
        <v>1.65</v>
      </c>
      <c r="AA100" t="str">
        <v>0.46</v>
      </c>
      <c r="AB100" t="str">
        <v>濟生</v>
      </c>
      <c r="AC100" t="str">
        <v>上櫃生技醫療</v>
      </c>
      <c r="AD100" t="str">
        <v>主要從事血液透析濃縮液產品開發</v>
      </c>
      <c r="AE100" t="str">
        <f t="array" ref="AE100:AH100">[1]!'4111.TW-CName,InvestorConferenceDate,DateofMeetingofShareHolders,TradingDate'</f>
        <v>濟生</v>
      </c>
      <c r="AF100" t="str">
        <v>2021/12/21</v>
      </c>
      <c r="AG100" t="str">
        <v>2022/06/16</v>
      </c>
      <c r="AH100" t="str">
        <v>2022/08/01</v>
      </c>
    </row>
    <row r="101" spans="1:34" x14ac:dyDescent="0.3">
      <c r="A101" t="str">
        <f t="array" ref="A101:J101">[1]!'4114.TW-ID,Name,MarketValue,Capital,NetIncomeGrowthRate,OperIncomeGrowthRate,FinancialStatementsTime,TFXRatio,MonthlyNetSalesYoY,RevenueMonth'</f>
        <v>4114</v>
      </c>
      <c r="B101" t="str">
        <v>健喬</v>
      </c>
      <c r="C101" t="str">
        <v>109.3</v>
      </c>
      <c r="D101" t="str">
        <v>34.37</v>
      </c>
      <c r="E101" t="str">
        <v>356.92</v>
      </c>
      <c r="F101" t="str">
        <v>179.37</v>
      </c>
      <c r="G101" t="str">
        <v>2022/03</v>
      </c>
      <c r="H101" t="str">
        <v>-13.53</v>
      </c>
      <c r="I101" t="str">
        <v>29.34</v>
      </c>
      <c r="J101" t="str">
        <v>2022/06</v>
      </c>
      <c r="K101" t="str">
        <f t="array" ref="K101:T101">[1]!'4114.TW-OperatingProfitRatio,Price,PriceChangeRatio,InOutRatioNumber,Value,YearReturn,MonthReturn,WeekReturn,FinanceBalanceDif,ChipsField2'</f>
        <v>11.01</v>
      </c>
      <c r="L101">
        <v>31.8</v>
      </c>
      <c r="M101">
        <v>1.92</v>
      </c>
      <c r="N101" t="str">
        <v>49.88%</v>
      </c>
      <c r="O101" t="str">
        <v>1.97億</v>
      </c>
      <c r="P101" t="str">
        <v>+59.55</v>
      </c>
      <c r="Q101" t="str">
        <v>+12.97</v>
      </c>
      <c r="R101" t="str">
        <v>-2.45</v>
      </c>
      <c r="S101">
        <v>136</v>
      </c>
      <c r="T101">
        <v>0</v>
      </c>
      <c r="U101">
        <f t="array" ref="U101:AD101">[1]!'4114.TW-ChipsField3,ChipsField1,ChipsField25,CashAndStockDividend,CashDividendYieldRate,ProfitFourSeason,ProfitSingle,CName,ExchangeIndustry,CompanyPos'</f>
        <v>-133</v>
      </c>
      <c r="V101">
        <v>-1374</v>
      </c>
      <c r="W101" t="str">
        <v>2022/07/11</v>
      </c>
      <c r="X101" t="str">
        <v>1.52</v>
      </c>
      <c r="Y101">
        <v>4.78</v>
      </c>
      <c r="Z101" t="str">
        <v>1.27</v>
      </c>
      <c r="AA101" t="str">
        <v>0.42</v>
      </c>
      <c r="AB101" t="str">
        <v>健喬</v>
      </c>
      <c r="AC101" t="str">
        <v>上櫃生技醫療</v>
      </c>
      <c r="AD101" t="str">
        <v>台灣主要學名藥產銷及代理商</v>
      </c>
      <c r="AE101" t="str">
        <f t="array" ref="AE101:AH101">[1]!'4114.TW-CName,InvestorConferenceDate,DateofMeetingofShareHolders,TradingDate'</f>
        <v>健喬</v>
      </c>
      <c r="AF101" t="str">
        <v>2021/12/08</v>
      </c>
      <c r="AG101" t="str">
        <v>2022/05/25</v>
      </c>
      <c r="AH101" t="str">
        <v>2022/08/01</v>
      </c>
    </row>
    <row r="102" spans="1:34" x14ac:dyDescent="0.3">
      <c r="A102" t="str">
        <f t="array" ref="A102:J102">[1]!'4116.TW-ID,Name,MarketValue,Capital,NetIncomeGrowthRate,OperIncomeGrowthRate,FinancialStatementsTime,TFXRatio,MonthlyNetSalesYoY,RevenueMonth'</f>
        <v>4116</v>
      </c>
      <c r="B102" t="str">
        <v>明基醫</v>
      </c>
      <c r="C102" t="str">
        <v>35.0</v>
      </c>
      <c r="D102" t="str">
        <v>4.46</v>
      </c>
      <c r="E102" t="str">
        <v>1238.72</v>
      </c>
      <c r="F102" t="str">
        <v>158.94</v>
      </c>
      <c r="G102" t="str">
        <v>2022/03</v>
      </c>
      <c r="H102" t="str">
        <v>-2.89</v>
      </c>
      <c r="I102" t="str">
        <v>128.61</v>
      </c>
      <c r="J102" t="str">
        <v>2022/06</v>
      </c>
      <c r="K102" t="str">
        <f t="array" ref="K102:T102">[1]!'4116.TW-OperatingProfitRatio,Price,PriceChangeRatio,InOutRatioNumber,Value,YearReturn,MonthReturn,WeekReturn,FinanceBalanceDif,ChipsField2'</f>
        <v>3.18</v>
      </c>
      <c r="L102">
        <v>78.5</v>
      </c>
      <c r="M102">
        <v>0.64</v>
      </c>
      <c r="N102" t="str">
        <v>51.60%</v>
      </c>
      <c r="O102" t="str">
        <v>3.06億</v>
      </c>
      <c r="P102" t="str">
        <v>+159.28</v>
      </c>
      <c r="Q102" t="str">
        <v>+10.88</v>
      </c>
      <c r="R102" t="str">
        <v>-0.38</v>
      </c>
      <c r="S102">
        <v>187</v>
      </c>
      <c r="T102">
        <v>0</v>
      </c>
      <c r="U102">
        <f t="array" ref="U102:AD102">[1]!'4116.TW-ChipsField3,ChipsField1,ChipsField25,CashAndStockDividend,CashDividendYieldRate,ProfitFourSeason,ProfitSingle,CName,ExchangeIndustry,CompanyPos'</f>
        <v>0</v>
      </c>
      <c r="V102">
        <v>80</v>
      </c>
      <c r="W102" t="str">
        <v>2022/06/24</v>
      </c>
      <c r="X102" t="str">
        <v>0.50</v>
      </c>
      <c r="Y102">
        <v>0.64</v>
      </c>
      <c r="Z102" t="str">
        <v>2.51</v>
      </c>
      <c r="AA102" t="str">
        <v>1.97</v>
      </c>
      <c r="AB102" t="str">
        <v>明基醫</v>
      </c>
      <c r="AC102" t="str">
        <v>上櫃生技醫療</v>
      </c>
      <c r="AD102" t="str">
        <v>明基旗下醫療器材及手術設備供應商</v>
      </c>
      <c r="AE102" t="str">
        <f t="array" ref="AE102:AH102">[1]!'4116.TW-CName,InvestorConferenceDate,DateofMeetingofShareHolders,TradingDate'</f>
        <v>明基醫</v>
      </c>
      <c r="AF102" t="str">
        <v>2021/11/10</v>
      </c>
      <c r="AG102" t="str">
        <v>2022/06/08</v>
      </c>
      <c r="AH102" t="str">
        <v>2022/08/01</v>
      </c>
    </row>
    <row r="103" spans="1:34" x14ac:dyDescent="0.3">
      <c r="A103" t="str">
        <f t="array" ref="A103:J103">[1]!'4120.TW-ID,Name,MarketValue,Capital,NetIncomeGrowthRate,OperIncomeGrowthRate,FinancialStatementsTime,TFXRatio,MonthlyNetSalesYoY,RevenueMonth'</f>
        <v>4120</v>
      </c>
      <c r="B103" t="str">
        <v>友華</v>
      </c>
      <c r="C103" t="str">
        <v>29.6</v>
      </c>
      <c r="D103" t="str">
        <v>8.67</v>
      </c>
      <c r="E103" t="str">
        <v>348.01</v>
      </c>
      <c r="F103" t="str">
        <v>139.55</v>
      </c>
      <c r="G103" t="str">
        <v>2022/03</v>
      </c>
      <c r="H103" t="str">
        <v>17.52</v>
      </c>
      <c r="I103" t="str">
        <v>9.78</v>
      </c>
      <c r="J103" t="str">
        <v>2022/06</v>
      </c>
      <c r="K103" t="str">
        <f t="array" ref="K103:T103">[1]!'4120.TW-OperatingProfitRatio,Price,PriceChangeRatio,InOutRatioNumber,Value,YearReturn,MonthReturn,WeekReturn,FinanceBalanceDif,ChipsField2'</f>
        <v>4.25</v>
      </c>
      <c r="L103">
        <v>34.15</v>
      </c>
      <c r="M103">
        <v>-0.28999999999999998</v>
      </c>
      <c r="N103" t="str">
        <v>8.33%</v>
      </c>
      <c r="O103" t="str">
        <v>44.4萬</v>
      </c>
      <c r="P103" t="str">
        <v>-12.36</v>
      </c>
      <c r="Q103" t="str">
        <v>+5.17</v>
      </c>
      <c r="R103" t="str">
        <v>-1.30</v>
      </c>
      <c r="S103">
        <v>-2</v>
      </c>
      <c r="T103">
        <v>0</v>
      </c>
      <c r="U103">
        <f t="array" ref="U103:AD103">[1]!'4120.TW-ChipsField3,ChipsField1,ChipsField25,CashAndStockDividend,CashDividendYieldRate,ProfitFourSeason,ProfitSingle,CName,ExchangeIndustry,CompanyPos'</f>
        <v>0</v>
      </c>
      <c r="V103">
        <v>4</v>
      </c>
      <c r="W103" t="str">
        <v>2022/07/18</v>
      </c>
      <c r="X103" t="str">
        <v>0.85</v>
      </c>
      <c r="Y103">
        <v>2.4900000000000002</v>
      </c>
      <c r="Z103" t="str">
        <v>1.59</v>
      </c>
      <c r="AA103" t="str">
        <v>0.27</v>
      </c>
      <c r="AB103" t="str">
        <v>友華</v>
      </c>
      <c r="AC103" t="str">
        <v>上櫃生技醫療</v>
      </c>
      <c r="AD103" t="str">
        <v>台灣最大玻尿酸代理進口商</v>
      </c>
      <c r="AE103" t="str">
        <f t="array" ref="AE103:AH103">[1]!'4120.TW-CName,InvestorConferenceDate,DateofMeetingofShareHolders,TradingDate'</f>
        <v>友華</v>
      </c>
      <c r="AF103" t="str">
        <v>--</v>
      </c>
      <c r="AG103" t="str">
        <v>2022/06/30</v>
      </c>
      <c r="AH103" t="str">
        <v>2022/08/01</v>
      </c>
    </row>
    <row r="104" spans="1:34" x14ac:dyDescent="0.3">
      <c r="A104" t="str">
        <f t="array" ref="A104:J104">[1]!'4121.TW-ID,Name,MarketValue,Capital,NetIncomeGrowthRate,OperIncomeGrowthRate,FinancialStatementsTime,TFXRatio,MonthlyNetSalesYoY,RevenueMonth'</f>
        <v>4121</v>
      </c>
      <c r="B104" t="str">
        <v>優盛</v>
      </c>
      <c r="C104" t="str">
        <v>17.2</v>
      </c>
      <c r="D104" t="str">
        <v>8.49</v>
      </c>
      <c r="E104" t="str">
        <v>4.41</v>
      </c>
      <c r="F104" t="str">
        <v>-21.52</v>
      </c>
      <c r="G104" t="str">
        <v>2022/03</v>
      </c>
      <c r="H104" t="str">
        <v>1.10</v>
      </c>
      <c r="I104" t="str">
        <v>14.80</v>
      </c>
      <c r="J104" t="str">
        <v>2022/06</v>
      </c>
      <c r="K104" t="str">
        <f t="array" ref="K104:T104">[1]!'4121.TW-OperatingProfitRatio,Price,PriceChangeRatio,InOutRatioNumber,Value,YearReturn,MonthReturn,WeekReturn,FinanceBalanceDif,ChipsField2'</f>
        <v>2.95</v>
      </c>
      <c r="L104">
        <v>20.25</v>
      </c>
      <c r="M104">
        <v>0.25</v>
      </c>
      <c r="N104" t="str">
        <v>43.07%</v>
      </c>
      <c r="O104" t="str">
        <v>943萬</v>
      </c>
      <c r="P104" t="str">
        <v>-7.73</v>
      </c>
      <c r="Q104" t="str">
        <v>+12.44</v>
      </c>
      <c r="R104" t="str">
        <v>+3.05</v>
      </c>
      <c r="S104">
        <v>-31</v>
      </c>
      <c r="T104">
        <v>0</v>
      </c>
      <c r="U104">
        <f t="array" ref="U104:AD104">[1]!'4121.TW-ChipsField3,ChipsField1,ChipsField25,CashAndStockDividend,CashDividendYieldRate,ProfitFourSeason,ProfitSingle,CName,ExchangeIndustry,CompanyPos'</f>
        <v>0</v>
      </c>
      <c r="V104">
        <v>55</v>
      </c>
      <c r="W104" t="str">
        <v>2022/07/20</v>
      </c>
      <c r="X104" t="str">
        <v>1.09</v>
      </c>
      <c r="Y104">
        <v>5.38</v>
      </c>
      <c r="Z104" t="str">
        <v>1.24</v>
      </c>
      <c r="AA104" t="str">
        <v>0.22</v>
      </c>
      <c r="AB104" t="str">
        <v>優盛</v>
      </c>
      <c r="AC104" t="str">
        <v>上櫃生技醫療</v>
      </c>
      <c r="AD104" t="str">
        <v>全球前三大電子式血壓計製造商</v>
      </c>
      <c r="AE104" t="str">
        <f t="array" ref="AE104:AH104">[1]!'4121.TW-CName,InvestorConferenceDate,DateofMeetingofShareHolders,TradingDate'</f>
        <v>優盛</v>
      </c>
      <c r="AF104" t="str">
        <v>2021/11/24</v>
      </c>
      <c r="AG104" t="str">
        <v>2022/05/27</v>
      </c>
      <c r="AH104" t="str">
        <v>2022/08/01</v>
      </c>
    </row>
    <row r="105" spans="1:34" x14ac:dyDescent="0.3">
      <c r="A105" t="str">
        <f t="array" ref="A105:J105">[1]!'4123.TW-ID,Name,MarketValue,Capital,NetIncomeGrowthRate,OperIncomeGrowthRate,FinancialStatementsTime,TFXRatio,MonthlyNetSalesYoY,RevenueMonth'</f>
        <v>4123</v>
      </c>
      <c r="B105" t="str">
        <v>晟德</v>
      </c>
      <c r="C105" t="str">
        <v>304.7</v>
      </c>
      <c r="D105" t="str">
        <v>51.90</v>
      </c>
      <c r="E105" t="str">
        <v>-74.49</v>
      </c>
      <c r="F105" t="str">
        <v>152.86</v>
      </c>
      <c r="G105" t="str">
        <v>2022/03</v>
      </c>
      <c r="H105" t="str">
        <v>-26.28</v>
      </c>
      <c r="I105" t="str">
        <v>66.75</v>
      </c>
      <c r="J105" t="str">
        <v>2022/06</v>
      </c>
      <c r="K105" t="str">
        <f t="array" ref="K105:T105">[1]!'4123.TW-OperatingProfitRatio,Price,PriceChangeRatio,InOutRatioNumber,Value,YearReturn,MonthReturn,WeekReturn,FinanceBalanceDif,ChipsField2'</f>
        <v>111.08</v>
      </c>
      <c r="L105">
        <v>58.7</v>
      </c>
      <c r="M105">
        <v>0.17</v>
      </c>
      <c r="N105" t="str">
        <v>39.04%</v>
      </c>
      <c r="O105" t="str">
        <v>3236萬</v>
      </c>
      <c r="P105" t="str">
        <v>-6.08</v>
      </c>
      <c r="Q105" t="str">
        <v>+1.03</v>
      </c>
      <c r="R105" t="str">
        <v>-1.51</v>
      </c>
      <c r="S105">
        <v>-87</v>
      </c>
      <c r="T105">
        <v>0</v>
      </c>
      <c r="U105">
        <f t="array" ref="U105:AD105">[1]!'4123.TW-ChipsField3,ChipsField1,ChipsField25,CashAndStockDividend,CashDividendYieldRate,ProfitFourSeason,ProfitSingle,CName,ExchangeIndustry,CompanyPos'</f>
        <v>108</v>
      </c>
      <c r="V105">
        <v>83</v>
      </c>
      <c r="W105" t="str">
        <v>--</v>
      </c>
      <c r="X105" t="str">
        <v>4.00</v>
      </c>
      <c r="Y105">
        <v>6.81</v>
      </c>
      <c r="Z105" t="str">
        <v>2.14</v>
      </c>
      <c r="AA105" t="str">
        <v>2.69</v>
      </c>
      <c r="AB105" t="str">
        <v>晟德</v>
      </c>
      <c r="AC105" t="str">
        <v>上櫃生技醫療</v>
      </c>
      <c r="AD105" t="str">
        <v>台灣最大水劑製造商</v>
      </c>
      <c r="AE105" t="str">
        <f t="array" ref="AE105:AH105">[1]!'4123.TW-CName,InvestorConferenceDate,DateofMeetingofShareHolders,TradingDate'</f>
        <v>晟德</v>
      </c>
      <c r="AF105" t="str">
        <v>2021/04/13</v>
      </c>
      <c r="AG105" t="str">
        <v>2022/05/20</v>
      </c>
      <c r="AH105" t="str">
        <v>2022/08/01</v>
      </c>
    </row>
    <row r="106" spans="1:34" x14ac:dyDescent="0.3">
      <c r="A106" t="str">
        <f t="array" ref="A106:J106">[1]!'4126.TW-ID,Name,MarketValue,Capital,NetIncomeGrowthRate,OperIncomeGrowthRate,FinancialStatementsTime,TFXRatio,MonthlyNetSalesYoY,RevenueMonth'</f>
        <v>4126</v>
      </c>
      <c r="B106" t="str">
        <v>太醫</v>
      </c>
      <c r="C106" t="str">
        <v>48.8</v>
      </c>
      <c r="D106" t="str">
        <v>7.26</v>
      </c>
      <c r="E106" t="str">
        <v>-34.93</v>
      </c>
      <c r="F106" t="str">
        <v>-51.50</v>
      </c>
      <c r="G106" t="str">
        <v>2022/03</v>
      </c>
      <c r="H106" t="str">
        <v>-10.51</v>
      </c>
      <c r="I106" t="str">
        <v>-1.80</v>
      </c>
      <c r="J106" t="str">
        <v>2022/06</v>
      </c>
      <c r="K106" t="str">
        <f t="array" ref="K106:T106">[1]!'4126.TW-OperatingProfitRatio,Price,PriceChangeRatio,InOutRatioNumber,Value,YearReturn,MonthReturn,WeekReturn,FinanceBalanceDif,ChipsField2'</f>
        <v>11.21</v>
      </c>
      <c r="L106">
        <v>67.2</v>
      </c>
      <c r="M106">
        <v>1.2</v>
      </c>
      <c r="N106" t="str">
        <v>64.29%</v>
      </c>
      <c r="O106" t="str">
        <v>562萬</v>
      </c>
      <c r="P106" t="str">
        <v>+7.42</v>
      </c>
      <c r="Q106" t="str">
        <v>+2.74</v>
      </c>
      <c r="R106" t="str">
        <v>+3.07</v>
      </c>
      <c r="S106">
        <v>16</v>
      </c>
      <c r="T106">
        <v>0</v>
      </c>
      <c r="U106">
        <f t="array" ref="U106:AD106">[1]!'4126.TW-ChipsField3,ChipsField1,ChipsField25,CashAndStockDividend,CashDividendYieldRate,ProfitFourSeason,ProfitSingle,CName,ExchangeIndustry,CompanyPos'</f>
        <v>0</v>
      </c>
      <c r="V106">
        <v>-8</v>
      </c>
      <c r="W106" t="str">
        <v>2022/07/06</v>
      </c>
      <c r="X106" t="str">
        <v>4.50</v>
      </c>
      <c r="Y106">
        <v>6.7</v>
      </c>
      <c r="Z106" t="str">
        <v>4.91</v>
      </c>
      <c r="AA106" t="str">
        <v>0.77</v>
      </c>
      <c r="AB106" t="str">
        <v>太醫</v>
      </c>
      <c r="AC106" t="str">
        <v>上櫃生技醫療</v>
      </c>
      <c r="AD106" t="str">
        <v>醫療耗材、導管及醫院氣器及相關工程大廠</v>
      </c>
      <c r="AE106" t="str">
        <f t="array" ref="AE106:AH106">[1]!'4126.TW-CName,InvestorConferenceDate,DateofMeetingofShareHolders,TradingDate'</f>
        <v>太醫</v>
      </c>
      <c r="AF106" t="str">
        <v>--</v>
      </c>
      <c r="AG106" t="str">
        <v>2022/06/15</v>
      </c>
      <c r="AH106" t="str">
        <v>2022/08/01</v>
      </c>
    </row>
    <row r="107" spans="1:34" x14ac:dyDescent="0.3">
      <c r="A107" t="str">
        <f t="array" ref="A107:J107">[1]!'4127.TW-ID,Name,MarketValue,Capital,NetIncomeGrowthRate,OperIncomeGrowthRate,FinancialStatementsTime,TFXRatio,MonthlyNetSalesYoY,RevenueMonth'</f>
        <v>4127</v>
      </c>
      <c r="B107" t="str">
        <v>天良</v>
      </c>
      <c r="C107" t="str">
        <v>6.4</v>
      </c>
      <c r="D107" t="str">
        <v>4.58</v>
      </c>
      <c r="E107" t="str">
        <v>307.81</v>
      </c>
      <c r="F107" t="str">
        <v>302.17</v>
      </c>
      <c r="G107" t="str">
        <v>2022/03</v>
      </c>
      <c r="H107" t="str">
        <v>4.23</v>
      </c>
      <c r="I107" t="str">
        <v>-33.33</v>
      </c>
      <c r="J107" t="str">
        <v>2022/06</v>
      </c>
      <c r="K107" t="str">
        <f t="array" ref="K107:T107">[1]!'4127.TW-OperatingProfitRatio,Price,PriceChangeRatio,InOutRatioNumber,Value,YearReturn,MonthReturn,WeekReturn,FinanceBalanceDif,ChipsField2'</f>
        <v>16.49</v>
      </c>
      <c r="L107">
        <v>14</v>
      </c>
      <c r="M107">
        <v>-0.36</v>
      </c>
      <c r="N107" t="str">
        <v>34.36%</v>
      </c>
      <c r="O107" t="str">
        <v>287萬</v>
      </c>
      <c r="P107" t="str">
        <v>+31.46</v>
      </c>
      <c r="Q107" t="str">
        <v>-5.41</v>
      </c>
      <c r="R107" t="str">
        <v>-3.45</v>
      </c>
      <c r="S107">
        <v>0</v>
      </c>
      <c r="T107">
        <v>0</v>
      </c>
      <c r="U107">
        <f t="array" ref="U107:AD107">[1]!'4127.TW-ChipsField3,ChipsField1,ChipsField25,CashAndStockDividend,CashDividendYieldRate,ProfitFourSeason,ProfitSingle,CName,ExchangeIndustry,CompanyPos'</f>
        <v>0</v>
      </c>
      <c r="V107">
        <v>28</v>
      </c>
      <c r="W107" t="str">
        <v>--</v>
      </c>
      <c r="X107" t="str">
        <v>0.00</v>
      </c>
      <c r="Y107">
        <v>0</v>
      </c>
      <c r="Z107" t="str">
        <v>1.83</v>
      </c>
      <c r="AA107" t="str">
        <v>0.54</v>
      </c>
      <c r="AB107" t="str">
        <v>天良</v>
      </c>
      <c r="AC107" t="str">
        <v>上櫃生技醫療</v>
      </c>
      <c r="AD107" t="str">
        <v>以天良牌、鐵獅牌銷售保健品及代理諾得膠囊廠商</v>
      </c>
      <c r="AE107" t="str">
        <f t="array" ref="AE107:AH107">[1]!'4127.TW-CName,InvestorConferenceDate,DateofMeetingofShareHolders,TradingDate'</f>
        <v>天良</v>
      </c>
      <c r="AF107" t="str">
        <v>2021/11/25</v>
      </c>
      <c r="AG107" t="str">
        <v>2022/06/06</v>
      </c>
      <c r="AH107" t="str">
        <v>2022/08/01</v>
      </c>
    </row>
    <row r="108" spans="1:34" x14ac:dyDescent="0.3">
      <c r="A108" t="str">
        <f t="array" ref="A108:J108">[1]!'4128.TW-ID,Name,MarketValue,Capital,NetIncomeGrowthRate,OperIncomeGrowthRate,FinancialStatementsTime,TFXRatio,MonthlyNetSalesYoY,RevenueMonth'</f>
        <v>4128</v>
      </c>
      <c r="B108" t="str">
        <v>中天</v>
      </c>
      <c r="C108" t="str">
        <v>292.9</v>
      </c>
      <c r="D108" t="str">
        <v>51.11</v>
      </c>
      <c r="E108" t="str">
        <v>72.52</v>
      </c>
      <c r="F108" t="str">
        <v>-17.65</v>
      </c>
      <c r="G108" t="str">
        <v>2022/03</v>
      </c>
      <c r="H108" t="str">
        <v>-10.17</v>
      </c>
      <c r="I108" t="str">
        <v>-25.16</v>
      </c>
      <c r="J108" t="str">
        <v>2022/06</v>
      </c>
      <c r="K108" t="str">
        <f t="array" ref="K108:T108">[1]!'4128.TW-OperatingProfitRatio,Price,PriceChangeRatio,InOutRatioNumber,Value,YearReturn,MonthReturn,WeekReturn,FinanceBalanceDif,ChipsField2'</f>
        <v>-23.82</v>
      </c>
      <c r="L108">
        <v>57.3</v>
      </c>
      <c r="M108">
        <v>-1.88</v>
      </c>
      <c r="N108" t="str">
        <v>35.75%</v>
      </c>
      <c r="O108" t="str">
        <v>1.24億</v>
      </c>
      <c r="P108" t="str">
        <v>+20.45</v>
      </c>
      <c r="Q108" t="str">
        <v>+14.89</v>
      </c>
      <c r="R108" t="str">
        <v>-2.72</v>
      </c>
      <c r="S108">
        <v>-179</v>
      </c>
      <c r="T108">
        <v>0</v>
      </c>
      <c r="U108">
        <f t="array" ref="U108:AD108">[1]!'4128.TW-ChipsField3,ChipsField1,ChipsField25,CashAndStockDividend,CashDividendYieldRate,ProfitFourSeason,ProfitSingle,CName,ExchangeIndustry,CompanyPos'</f>
        <v>-37</v>
      </c>
      <c r="V108">
        <v>303</v>
      </c>
      <c r="W108" t="str">
        <v>2022/07/18</v>
      </c>
      <c r="X108" t="str">
        <v>1.00</v>
      </c>
      <c r="Y108">
        <v>1.75</v>
      </c>
      <c r="Z108" t="str">
        <v>0.88</v>
      </c>
      <c r="AA108" t="str">
        <v>1.74</v>
      </c>
      <c r="AB108" t="str">
        <v>中天</v>
      </c>
      <c r="AC108" t="str">
        <v>上櫃生技醫療</v>
      </c>
      <c r="AD108" t="str">
        <v>台灣首家符合GMP之發酵中藥廠，並經營棉花田有機食品通路</v>
      </c>
      <c r="AE108" t="str">
        <f t="array" ref="AE108:AH108">[1]!'4128.TW-CName,InvestorConferenceDate,DateofMeetingofShareHolders,TradingDate'</f>
        <v>中天</v>
      </c>
      <c r="AF108" t="str">
        <v>2021/12/30</v>
      </c>
      <c r="AG108" t="str">
        <v>2022/05/27</v>
      </c>
      <c r="AH108" t="str">
        <v>2022/08/01</v>
      </c>
    </row>
    <row r="109" spans="1:34" x14ac:dyDescent="0.3">
      <c r="A109" t="str">
        <f t="array" ref="A109:J109">[1]!'4129.TW-ID,Name,MarketValue,Capital,NetIncomeGrowthRate,OperIncomeGrowthRate,FinancialStatementsTime,TFXRatio,MonthlyNetSalesYoY,RevenueMonth'</f>
        <v>4129</v>
      </c>
      <c r="B109" t="str">
        <v>聯合</v>
      </c>
      <c r="C109" t="str">
        <v>23.9</v>
      </c>
      <c r="D109" t="str">
        <v>7.81</v>
      </c>
      <c r="E109" t="str">
        <v>615.97</v>
      </c>
      <c r="F109" t="str">
        <v>145.86</v>
      </c>
      <c r="G109" t="str">
        <v>2022/03</v>
      </c>
      <c r="H109" t="str">
        <v>22.39</v>
      </c>
      <c r="I109" t="str">
        <v>79.36</v>
      </c>
      <c r="J109" t="str">
        <v>2022/06</v>
      </c>
      <c r="K109" t="str">
        <f t="array" ref="K109:T109">[1]!'4129.TW-OperatingProfitRatio,Price,PriceChangeRatio,InOutRatioNumber,Value,YearReturn,MonthReturn,WeekReturn,FinanceBalanceDif,ChipsField2'</f>
        <v>8.24</v>
      </c>
      <c r="L109">
        <v>30.6</v>
      </c>
      <c r="M109">
        <v>2.34</v>
      </c>
      <c r="N109" t="str">
        <v>49.61%</v>
      </c>
      <c r="O109" t="str">
        <v>1577萬</v>
      </c>
      <c r="P109" t="str">
        <v>-7.88</v>
      </c>
      <c r="Q109" t="str">
        <v>+9.29</v>
      </c>
      <c r="R109" t="str">
        <v>+4.97</v>
      </c>
      <c r="S109">
        <v>85</v>
      </c>
      <c r="T109">
        <v>-36</v>
      </c>
      <c r="U109">
        <f t="array" ref="U109:AD109">[1]!'4129.TW-ChipsField3,ChipsField1,ChipsField25,CashAndStockDividend,CashDividendYieldRate,ProfitFourSeason,ProfitSingle,CName,ExchangeIndustry,CompanyPos'</f>
        <v>0</v>
      </c>
      <c r="V109">
        <v>-43</v>
      </c>
      <c r="W109" t="str">
        <v>--</v>
      </c>
      <c r="X109" t="str">
        <v>0.00</v>
      </c>
      <c r="Y109">
        <v>0</v>
      </c>
      <c r="Z109" t="str">
        <v>1.20</v>
      </c>
      <c r="AA109" t="str">
        <v>0.46</v>
      </c>
      <c r="AB109" t="str">
        <v>聯合</v>
      </c>
      <c r="AC109" t="str">
        <v>上櫃生技醫療</v>
      </c>
      <c r="AD109" t="str">
        <v>台灣主要骨科植入物及器材廠商</v>
      </c>
      <c r="AE109" t="str">
        <f t="array" ref="AE109:AH109">[1]!'4129.TW-CName,InvestorConferenceDate,DateofMeetingofShareHolders,TradingDate'</f>
        <v>聯合</v>
      </c>
      <c r="AF109" t="str">
        <v>2021/12/10</v>
      </c>
      <c r="AG109" t="str">
        <v>2022/06/21</v>
      </c>
      <c r="AH109" t="str">
        <v>2022/08/01</v>
      </c>
    </row>
    <row r="110" spans="1:34" x14ac:dyDescent="0.3">
      <c r="A110" t="str">
        <f t="array" ref="A110:J110">[1]!'4130.TW-ID,Name,MarketValue,Capital,NetIncomeGrowthRate,OperIncomeGrowthRate,FinancialStatementsTime,TFXRatio,MonthlyNetSalesYoY,RevenueMonth'</f>
        <v>4130</v>
      </c>
      <c r="B110" t="str">
        <v>健亞</v>
      </c>
      <c r="C110" t="str">
        <v>28.1</v>
      </c>
      <c r="D110" t="str">
        <v>10.94</v>
      </c>
      <c r="E110" t="str">
        <v>-208.53</v>
      </c>
      <c r="F110" t="str">
        <v>-193.65</v>
      </c>
      <c r="G110" t="str">
        <v>2022/03</v>
      </c>
      <c r="H110" t="str">
        <v>6.54</v>
      </c>
      <c r="I110" t="str">
        <v>18.41</v>
      </c>
      <c r="J110" t="str">
        <v>2022/06</v>
      </c>
      <c r="K110" t="str">
        <f t="array" ref="K110:T110">[1]!'4130.TW-OperatingProfitRatio,Price,PriceChangeRatio,InOutRatioNumber,Value,YearReturn,MonthReturn,WeekReturn,FinanceBalanceDif,ChipsField2'</f>
        <v>-6.28</v>
      </c>
      <c r="L110">
        <v>25.7</v>
      </c>
      <c r="M110">
        <v>-3.2</v>
      </c>
      <c r="N110" t="str">
        <v>20.63%</v>
      </c>
      <c r="O110" t="str">
        <v>1707萬</v>
      </c>
      <c r="P110" t="str">
        <v>+6.23</v>
      </c>
      <c r="Q110" t="str">
        <v>+3.41</v>
      </c>
      <c r="R110" t="str">
        <v>-0.39</v>
      </c>
      <c r="S110">
        <v>-11</v>
      </c>
      <c r="T110">
        <v>0</v>
      </c>
      <c r="U110">
        <f t="array" ref="U110:AD110">[1]!'4130.TW-ChipsField3,ChipsField1,ChipsField25,CashAndStockDividend,CashDividendYieldRate,ProfitFourSeason,ProfitSingle,CName,ExchangeIndustry,CompanyPos'</f>
        <v>0</v>
      </c>
      <c r="V110">
        <v>-1</v>
      </c>
      <c r="W110" t="str">
        <v>2022/07/20</v>
      </c>
      <c r="X110" t="str">
        <v>0.35</v>
      </c>
      <c r="Y110">
        <v>1.36</v>
      </c>
      <c r="Z110" t="str">
        <v>-0.17</v>
      </c>
      <c r="AA110" t="str">
        <v>-0.09</v>
      </c>
      <c r="AB110" t="str">
        <v>健亞</v>
      </c>
      <c r="AC110" t="str">
        <v>上櫃生技醫療</v>
      </c>
      <c r="AD110" t="str">
        <v>學名藥代工及新藥研發廠</v>
      </c>
      <c r="AE110" t="str">
        <f t="array" ref="AE110:AH110">[1]!'4130.TW-CName,InvestorConferenceDate,DateofMeetingofShareHolders,TradingDate'</f>
        <v>健亞</v>
      </c>
      <c r="AF110" t="str">
        <v>2021/11/19</v>
      </c>
      <c r="AG110" t="str">
        <v>2022/05/31</v>
      </c>
      <c r="AH110" t="str">
        <v>2022/08/01</v>
      </c>
    </row>
    <row r="111" spans="1:34" x14ac:dyDescent="0.3">
      <c r="A111" t="str">
        <f t="array" ref="A111:J111">[1]!'4131.TW-ID,Name,MarketValue,Capital,NetIncomeGrowthRate,OperIncomeGrowthRate,FinancialStatementsTime,TFXRatio,MonthlyNetSalesYoY,RevenueMonth'</f>
        <v>4131</v>
      </c>
      <c r="B111" t="str">
        <v>晶宇</v>
      </c>
      <c r="C111" t="str">
        <v>3.3</v>
      </c>
      <c r="D111" t="str">
        <v>1.90</v>
      </c>
      <c r="E111" t="str">
        <v>-68.11</v>
      </c>
      <c r="F111" t="str">
        <v>-46.13</v>
      </c>
      <c r="G111" t="str">
        <v>2022/03</v>
      </c>
      <c r="H111" t="str">
        <v>24.24</v>
      </c>
      <c r="I111" t="str">
        <v>9.57</v>
      </c>
      <c r="J111" t="str">
        <v>2022/06</v>
      </c>
      <c r="K111" t="str">
        <f t="array" ref="K111:T111">[1]!'4131.TW-OperatingProfitRatio,Price,PriceChangeRatio,InOutRatioNumber,Value,YearReturn,MonthReturn,WeekReturn,FinanceBalanceDif,ChipsField2'</f>
        <v>-20.56</v>
      </c>
      <c r="L111">
        <v>17.600000000000001</v>
      </c>
      <c r="M111">
        <v>-3.56</v>
      </c>
      <c r="N111" t="str">
        <v>44.12%</v>
      </c>
      <c r="O111" t="str">
        <v>65.4萬</v>
      </c>
      <c r="P111" t="str">
        <v>+7.36</v>
      </c>
      <c r="Q111" t="str">
        <v>-1.95</v>
      </c>
      <c r="R111" t="str">
        <v>+3.23</v>
      </c>
      <c r="S111">
        <v>0</v>
      </c>
      <c r="T111">
        <v>0</v>
      </c>
      <c r="U111">
        <f t="array" ref="U111:AD111">[1]!'4131.TW-ChipsField3,ChipsField1,ChipsField25,CashAndStockDividend,CashDividendYieldRate,ProfitFourSeason,ProfitSingle,CName,ExchangeIndustry,CompanyPos'</f>
        <v>0</v>
      </c>
      <c r="V111">
        <v>0</v>
      </c>
      <c r="W111" t="str">
        <v>--</v>
      </c>
      <c r="X111" t="str">
        <v>0.00</v>
      </c>
      <c r="Y111">
        <v>0</v>
      </c>
      <c r="Z111" t="str">
        <v>-0.55</v>
      </c>
      <c r="AA111" t="str">
        <v>-0.21</v>
      </c>
      <c r="AB111" t="str">
        <v>晶宇</v>
      </c>
      <c r="AC111" t="str">
        <v>上櫃生技醫療</v>
      </c>
      <c r="AD111" t="str">
        <v>高分子生物檢驗晶片廠</v>
      </c>
      <c r="AE111" t="str">
        <f t="array" ref="AE111:AH111">[1]!'4131.TW-CName,InvestorConferenceDate,DateofMeetingofShareHolders,TradingDate'</f>
        <v>晶宇</v>
      </c>
      <c r="AF111" t="str">
        <v>2021/12/16</v>
      </c>
      <c r="AG111" t="str">
        <v>2022/08/02</v>
      </c>
      <c r="AH111" t="str">
        <v>2022/08/01</v>
      </c>
    </row>
    <row r="112" spans="1:34" x14ac:dyDescent="0.3">
      <c r="A112" t="str">
        <f t="array" ref="A112:J112">[1]!'4138.TW-ID,Name,MarketValue,Capital,NetIncomeGrowthRate,OperIncomeGrowthRate,FinancialStatementsTime,TFXRatio,MonthlyNetSalesYoY,RevenueMonth'</f>
        <v>4138</v>
      </c>
      <c r="B112" t="str">
        <v>曜亞</v>
      </c>
      <c r="C112" t="str">
        <v>16.6</v>
      </c>
      <c r="D112" t="str">
        <v>3.00</v>
      </c>
      <c r="E112" t="str">
        <v>1.84</v>
      </c>
      <c r="F112" t="str">
        <v>4.37</v>
      </c>
      <c r="G112" t="str">
        <v>2022/03</v>
      </c>
      <c r="H112" t="str">
        <v>4.98</v>
      </c>
      <c r="I112" t="str">
        <v>88.47</v>
      </c>
      <c r="J112" t="str">
        <v>2022/06</v>
      </c>
      <c r="K112" t="str">
        <f t="array" ref="K112:T112">[1]!'4138.TW-OperatingProfitRatio,Price,PriceChangeRatio,InOutRatioNumber,Value,YearReturn,MonthReturn,WeekReturn,FinanceBalanceDif,ChipsField2'</f>
        <v>16.15</v>
      </c>
      <c r="L112">
        <v>55.3</v>
      </c>
      <c r="M112">
        <v>-1.6</v>
      </c>
      <c r="N112" t="str">
        <v>18.97%</v>
      </c>
      <c r="O112" t="str">
        <v>322萬</v>
      </c>
      <c r="P112" t="str">
        <v>+16.90</v>
      </c>
      <c r="Q112" t="str">
        <v>+4.51</v>
      </c>
      <c r="R112" t="str">
        <v>-2.47</v>
      </c>
      <c r="S112">
        <v>0</v>
      </c>
      <c r="T112">
        <v>0</v>
      </c>
      <c r="U112">
        <f t="array" ref="U112:AD112">[1]!'4138.TW-ChipsField3,ChipsField1,ChipsField25,CashAndStockDividend,CashDividendYieldRate,ProfitFourSeason,ProfitSingle,CName,ExchangeIndustry,CompanyPos'</f>
        <v>0</v>
      </c>
      <c r="V112">
        <v>1</v>
      </c>
      <c r="W112" t="str">
        <v>2022/07/13</v>
      </c>
      <c r="X112" t="str">
        <v>3.70</v>
      </c>
      <c r="Y112">
        <v>6.69</v>
      </c>
      <c r="Z112" t="str">
        <v>4.20</v>
      </c>
      <c r="AA112" t="str">
        <v>1.35</v>
      </c>
      <c r="AB112" t="str">
        <v>曜亞</v>
      </c>
      <c r="AC112" t="str">
        <v>上櫃生技醫療</v>
      </c>
      <c r="AD112" t="str">
        <v>佳醫旗下台灣最大醫學美容器材代理商</v>
      </c>
      <c r="AE112" t="str">
        <f t="array" ref="AE112:AH112">[1]!'4138.TW-CName,InvestorConferenceDate,DateofMeetingofShareHolders,TradingDate'</f>
        <v>曜亞</v>
      </c>
      <c r="AF112" t="str">
        <v>2021/09/24</v>
      </c>
      <c r="AG112" t="str">
        <v>2022/06/17</v>
      </c>
      <c r="AH112" t="str">
        <v>2022/08/01</v>
      </c>
    </row>
    <row r="113" spans="1:34" x14ac:dyDescent="0.3">
      <c r="A113" t="str">
        <f t="array" ref="A113:J113">[1]!'4139.TW-ID,Name,MarketValue,Capital,NetIncomeGrowthRate,OperIncomeGrowthRate,FinancialStatementsTime,TFXRatio,MonthlyNetSalesYoY,RevenueMonth'</f>
        <v>4139</v>
      </c>
      <c r="B113" t="str">
        <v>馬光-KY</v>
      </c>
      <c r="C113" t="str">
        <v>20.5</v>
      </c>
      <c r="D113" t="str">
        <v>4.25</v>
      </c>
      <c r="E113" t="str">
        <v>-98.24</v>
      </c>
      <c r="F113" t="str">
        <v>-25.79</v>
      </c>
      <c r="G113" t="str">
        <v>2022/03</v>
      </c>
      <c r="H113" t="str">
        <v>-1.69</v>
      </c>
      <c r="I113" t="str">
        <v>12.03</v>
      </c>
      <c r="J113" t="str">
        <v>2022/06</v>
      </c>
      <c r="K113" t="str">
        <f t="array" ref="K113:T113">[1]!'4139.TW-OperatingProfitRatio,Price,PriceChangeRatio,InOutRatioNumber,Value,YearReturn,MonthReturn,WeekReturn,FinanceBalanceDif,ChipsField2'</f>
        <v>2.48</v>
      </c>
      <c r="L113">
        <v>48.25</v>
      </c>
      <c r="M113">
        <v>-0.21</v>
      </c>
      <c r="N113" t="str">
        <v>76.79%</v>
      </c>
      <c r="O113" t="str">
        <v>552萬</v>
      </c>
      <c r="P113" t="str">
        <v>-5.90</v>
      </c>
      <c r="Q113" t="str">
        <v>+9.04</v>
      </c>
      <c r="R113" t="str">
        <v>+2.88</v>
      </c>
      <c r="S113">
        <v>-23</v>
      </c>
      <c r="T113">
        <v>0</v>
      </c>
      <c r="U113">
        <f t="array" ref="U113:AD113">[1]!'4139.TW-ChipsField3,ChipsField1,ChipsField25,CashAndStockDividend,CashDividendYieldRate,ProfitFourSeason,ProfitSingle,CName,ExchangeIndustry,CompanyPos'</f>
        <v>0</v>
      </c>
      <c r="V113">
        <v>29</v>
      </c>
      <c r="W113" t="str">
        <v>--</v>
      </c>
      <c r="X113" t="str">
        <v>0.00</v>
      </c>
      <c r="Y113">
        <v>0</v>
      </c>
      <c r="Z113" t="str">
        <v>0.77</v>
      </c>
      <c r="AA113" t="str">
        <v>0.02</v>
      </c>
      <c r="AB113" t="str">
        <v>馬光-KY</v>
      </c>
      <c r="AC113" t="str">
        <v>上櫃生技醫療</v>
      </c>
      <c r="AD113" t="str">
        <v>新加坡中醫醫療連鎖機構龍頭</v>
      </c>
      <c r="AE113" t="str">
        <f t="array" ref="AE113:AH113">[1]!'4139.TW-CName,InvestorConferenceDate,DateofMeetingofShareHolders,TradingDate'</f>
        <v>馬光-KY</v>
      </c>
      <c r="AF113" t="str">
        <v>2021/12/01</v>
      </c>
      <c r="AG113" t="str">
        <v>2022/06/22</v>
      </c>
      <c r="AH113" t="str">
        <v>2022/08/01</v>
      </c>
    </row>
    <row r="114" spans="1:34" x14ac:dyDescent="0.3">
      <c r="A114" t="str">
        <f t="array" ref="A114:J114">[1]!'4147.TW-ID,Name,MarketValue,Capital,NetIncomeGrowthRate,OperIncomeGrowthRate,FinancialStatementsTime,TFXRatio,MonthlyNetSalesYoY,RevenueMonth'</f>
        <v>4147</v>
      </c>
      <c r="B114" t="str">
        <v>中裕</v>
      </c>
      <c r="C114" t="str">
        <v>141.3</v>
      </c>
      <c r="D114" t="str">
        <v>25.24</v>
      </c>
      <c r="E114" t="str">
        <v>-2536.70</v>
      </c>
      <c r="F114" t="str">
        <v>-19.05</v>
      </c>
      <c r="G114" t="str">
        <v>2022/03</v>
      </c>
      <c r="H114" t="str">
        <v>-12.48</v>
      </c>
      <c r="I114" t="str">
        <v>-41.07</v>
      </c>
      <c r="J114" t="str">
        <v>2022/06</v>
      </c>
      <c r="K114" t="str">
        <f t="array" ref="K114:T114">[1]!'4147.TW-OperatingProfitRatio,Price,PriceChangeRatio,InOutRatioNumber,Value,YearReturn,MonthReturn,WeekReturn,FinanceBalanceDif,ChipsField2'</f>
        <v>-251.31</v>
      </c>
      <c r="L114">
        <v>56</v>
      </c>
      <c r="M114">
        <v>-2.27</v>
      </c>
      <c r="N114" t="str">
        <v>15.43%</v>
      </c>
      <c r="O114" t="str">
        <v>2900萬</v>
      </c>
      <c r="P114" t="str">
        <v>-10.97</v>
      </c>
      <c r="Q114" t="str">
        <v>-3.45</v>
      </c>
      <c r="R114" t="str">
        <v>-5.41</v>
      </c>
      <c r="S114">
        <v>14</v>
      </c>
      <c r="T114">
        <v>0</v>
      </c>
      <c r="U114">
        <f t="array" ref="U114:AD114">[1]!'4147.TW-ChipsField3,ChipsField1,ChipsField25,CashAndStockDividend,CashDividendYieldRate,ProfitFourSeason,ProfitSingle,CName,ExchangeIndustry,CompanyPos'</f>
        <v>0</v>
      </c>
      <c r="V114">
        <v>-28</v>
      </c>
      <c r="W114" t="str">
        <v>--</v>
      </c>
      <c r="X114" t="str">
        <v>0.00</v>
      </c>
      <c r="Y114">
        <v>0</v>
      </c>
      <c r="Z114" t="str">
        <v>-2.36</v>
      </c>
      <c r="AA114" t="str">
        <v>-0.47</v>
      </c>
      <c r="AB114" t="str">
        <v>中裕</v>
      </c>
      <c r="AC114" t="str">
        <v>上櫃生技醫療</v>
      </c>
      <c r="AD114" t="str">
        <v>專注於愛滋新藥研發</v>
      </c>
      <c r="AE114" t="str">
        <f t="array" ref="AE114:AH114">[1]!'4147.TW-CName,InvestorConferenceDate,DateofMeetingofShareHolders,TradingDate'</f>
        <v>中裕</v>
      </c>
      <c r="AF114" t="str">
        <v>2021/08/13</v>
      </c>
      <c r="AG114" t="str">
        <v>2022/05/30</v>
      </c>
      <c r="AH114" t="str">
        <v>2022/08/01</v>
      </c>
    </row>
    <row r="115" spans="1:34" x14ac:dyDescent="0.3">
      <c r="A115" t="str">
        <f t="array" ref="A115:J115">[1]!'4153.TW-ID,Name,MarketValue,Capital,NetIncomeGrowthRate,OperIncomeGrowthRate,FinancialStatementsTime,TFXRatio,MonthlyNetSalesYoY,RevenueMonth'</f>
        <v>4153</v>
      </c>
      <c r="B115" t="str">
        <v>鈺緯</v>
      </c>
      <c r="C115" t="str">
        <v>17.7</v>
      </c>
      <c r="D115" t="str">
        <v>6.18</v>
      </c>
      <c r="E115" t="str">
        <v>1410.57</v>
      </c>
      <c r="F115" t="str">
        <v>-147.12</v>
      </c>
      <c r="G115" t="str">
        <v>2022/03</v>
      </c>
      <c r="H115" t="str">
        <v>27.54</v>
      </c>
      <c r="I115" t="str">
        <v>73.01</v>
      </c>
      <c r="J115" t="str">
        <v>2022/06</v>
      </c>
      <c r="K115" t="str">
        <f t="array" ref="K115:T115">[1]!'4153.TW-OperatingProfitRatio,Price,PriceChangeRatio,InOutRatioNumber,Value,YearReturn,MonthReturn,WeekReturn,FinanceBalanceDif,ChipsField2'</f>
        <v>-0.53</v>
      </c>
      <c r="L115">
        <v>28.7</v>
      </c>
      <c r="M115">
        <v>1.77</v>
      </c>
      <c r="N115" t="str">
        <v>68.89%</v>
      </c>
      <c r="O115" t="str">
        <v>391萬</v>
      </c>
      <c r="P115" t="str">
        <v>+32.49</v>
      </c>
      <c r="Q115" t="str">
        <v>+13.75</v>
      </c>
      <c r="R115" t="str">
        <v>+0.88</v>
      </c>
      <c r="S115">
        <v>-8</v>
      </c>
      <c r="T115">
        <v>0</v>
      </c>
      <c r="U115">
        <f t="array" ref="U115:AD115">[1]!'4153.TW-ChipsField3,ChipsField1,ChipsField25,CashAndStockDividend,CashDividendYieldRate,ProfitFourSeason,ProfitSingle,CName,ExchangeIndustry,CompanyPos'</f>
        <v>0</v>
      </c>
      <c r="V115">
        <v>7</v>
      </c>
      <c r="W115" t="str">
        <v>2022/07/04</v>
      </c>
      <c r="X115" t="str">
        <v>0.37</v>
      </c>
      <c r="Y115">
        <v>1.29</v>
      </c>
      <c r="Z115" t="str">
        <v>0.40</v>
      </c>
      <c r="AA115" t="str">
        <v>0.03</v>
      </c>
      <c r="AB115" t="str">
        <v>鈺緯</v>
      </c>
      <c r="AC115" t="str">
        <v>上櫃生技醫療</v>
      </c>
      <c r="AD115" t="str">
        <v>主要從事醫療及工業顯示器生產</v>
      </c>
      <c r="AE115" t="str">
        <f t="array" ref="AE115:AH115">[1]!'4153.TW-CName,InvestorConferenceDate,DateofMeetingofShareHolders,TradingDate'</f>
        <v>鈺緯</v>
      </c>
      <c r="AF115" t="str">
        <v>2021/12/28</v>
      </c>
      <c r="AG115" t="str">
        <v>2022/06/13</v>
      </c>
      <c r="AH115" t="str">
        <v>2022/08/01</v>
      </c>
    </row>
    <row r="116" spans="1:34" x14ac:dyDescent="0.3">
      <c r="A116" t="str">
        <f t="array" ref="A116:J116">[1]!'4154.TW-ID,Name,MarketValue,Capital,NetIncomeGrowthRate,OperIncomeGrowthRate,FinancialStatementsTime,TFXRatio,MonthlyNetSalesYoY,RevenueMonth'</f>
        <v>4154</v>
      </c>
      <c r="B116" t="str">
        <v>樂威科-KY</v>
      </c>
      <c r="C116" t="str">
        <v>16.0</v>
      </c>
      <c r="D116" t="str">
        <v>3.57</v>
      </c>
      <c r="E116" t="str">
        <v>82.93</v>
      </c>
      <c r="F116" t="str">
        <v>91.86</v>
      </c>
      <c r="G116" t="str">
        <v>2022/03</v>
      </c>
      <c r="H116" t="str">
        <v>1.40</v>
      </c>
      <c r="I116" t="str">
        <v>19.71</v>
      </c>
      <c r="J116" t="str">
        <v>2022/06</v>
      </c>
      <c r="K116" t="str">
        <f t="array" ref="K116:T116">[1]!'4154.TW-OperatingProfitRatio,Price,PriceChangeRatio,InOutRatioNumber,Value,YearReturn,MonthReturn,WeekReturn,FinanceBalanceDif,ChipsField2'</f>
        <v>-2.62</v>
      </c>
      <c r="L116">
        <v>44.85</v>
      </c>
      <c r="M116">
        <v>1.24</v>
      </c>
      <c r="N116" t="str">
        <v>83.33%</v>
      </c>
      <c r="O116" t="str">
        <v>26.8萬</v>
      </c>
      <c r="P116" t="str">
        <v>+84.57</v>
      </c>
      <c r="Q116" t="str">
        <v>-1.10</v>
      </c>
      <c r="R116" t="str">
        <v>-3.96</v>
      </c>
      <c r="S116">
        <v>0</v>
      </c>
      <c r="T116">
        <v>0</v>
      </c>
      <c r="U116">
        <f t="array" ref="U116:AD116">[1]!'4154.TW-ChipsField3,ChipsField1,ChipsField25,CashAndStockDividend,CashDividendYieldRate,ProfitFourSeason,ProfitSingle,CName,ExchangeIndustry,CompanyPos'</f>
        <v>0</v>
      </c>
      <c r="V116">
        <v>-3</v>
      </c>
      <c r="W116" t="str">
        <v>--</v>
      </c>
      <c r="X116" t="str">
        <v>0.00</v>
      </c>
      <c r="Y116">
        <v>0</v>
      </c>
      <c r="Z116" t="str">
        <v>-1.55</v>
      </c>
      <c r="AA116" t="str">
        <v>-0.11</v>
      </c>
      <c r="AB116" t="str">
        <v>樂威科-KY</v>
      </c>
      <c r="AC116" t="str">
        <v>上櫃生技醫療</v>
      </c>
      <c r="AD116" t="str">
        <v>馬來西亞機能性飲品龍頭</v>
      </c>
      <c r="AE116" t="str">
        <f t="array" ref="AE116:AH116">[1]!'4154.TW-CName,InvestorConferenceDate,DateofMeetingofShareHolders,TradingDate'</f>
        <v>樂威科-KY</v>
      </c>
      <c r="AF116" t="str">
        <v>2021/12/01</v>
      </c>
      <c r="AG116" t="str">
        <v>2022/06/24</v>
      </c>
      <c r="AH116" t="str">
        <v>2022/08/01</v>
      </c>
    </row>
    <row r="117" spans="1:34" x14ac:dyDescent="0.3">
      <c r="A117" t="str">
        <f t="array" ref="A117:J117">[1]!'4157.TW-ID,Name,MarketValue,Capital,NetIncomeGrowthRate,OperIncomeGrowthRate,FinancialStatementsTime,TFXRatio,MonthlyNetSalesYoY,RevenueMonth'</f>
        <v>4157</v>
      </c>
      <c r="B117" t="str">
        <v>太景*-KY</v>
      </c>
      <c r="C117" t="str">
        <v>136.2</v>
      </c>
      <c r="D117" t="str">
        <v>0.01</v>
      </c>
      <c r="E117" t="str">
        <v>23.98</v>
      </c>
      <c r="F117" t="str">
        <v>-108.86</v>
      </c>
      <c r="G117" t="str">
        <v>2022/03</v>
      </c>
      <c r="H117" t="str">
        <v>15.52</v>
      </c>
      <c r="I117" t="str">
        <v>-99.89</v>
      </c>
      <c r="J117" t="str">
        <v>2022/06</v>
      </c>
      <c r="K117" t="str">
        <f t="array" ref="K117:T117">[1]!'4157.TW-OperatingProfitRatio,Price,PriceChangeRatio,InOutRatioNumber,Value,YearReturn,MonthReturn,WeekReturn,FinanceBalanceDif,ChipsField2'</f>
        <v>-726.89</v>
      </c>
      <c r="L117">
        <v>19</v>
      </c>
      <c r="M117">
        <v>-1.3</v>
      </c>
      <c r="N117" t="str">
        <v>37.52%</v>
      </c>
      <c r="O117" t="str">
        <v>8639萬</v>
      </c>
      <c r="P117" t="str">
        <v>+2.15</v>
      </c>
      <c r="Q117" t="str">
        <v>+20.63</v>
      </c>
      <c r="R117" t="str">
        <v>-0.78</v>
      </c>
      <c r="S117">
        <v>68</v>
      </c>
      <c r="T117">
        <v>0</v>
      </c>
      <c r="U117">
        <f t="array" ref="U117:AD117">[1]!'4157.TW-ChipsField3,ChipsField1,ChipsField25,CashAndStockDividend,CashDividendYieldRate,ProfitFourSeason,ProfitSingle,CName,ExchangeIndustry,CompanyPos'</f>
        <v>-132</v>
      </c>
      <c r="V117">
        <v>-524</v>
      </c>
      <c r="W117" t="str">
        <v>--</v>
      </c>
      <c r="X117" t="str">
        <v>0.00</v>
      </c>
      <c r="Y117">
        <v>0</v>
      </c>
      <c r="Z117" t="str">
        <v>1.10</v>
      </c>
      <c r="AA117" t="str">
        <v>-0.05</v>
      </c>
      <c r="AB117" t="str">
        <v>太景*-KY</v>
      </c>
      <c r="AC117" t="str">
        <v>上櫃生技醫療</v>
      </c>
      <c r="AD117" t="str">
        <v>小分子創新化合物新藥研發廠</v>
      </c>
      <c r="AE117" t="str">
        <f t="array" ref="AE117:AH117">[1]!'4157.TW-CName,InvestorConferenceDate,DateofMeetingofShareHolders,TradingDate'</f>
        <v>太景*-KY</v>
      </c>
      <c r="AF117" t="str">
        <v>2021/12/16</v>
      </c>
      <c r="AG117" t="str">
        <v>2022/05/30</v>
      </c>
      <c r="AH117" t="str">
        <v>2022/08/01</v>
      </c>
    </row>
    <row r="118" spans="1:34" x14ac:dyDescent="0.3">
      <c r="A118" t="str">
        <f t="array" ref="A118:J118">[1]!'4160.TW-ID,Name,MarketValue,Capital,NetIncomeGrowthRate,OperIncomeGrowthRate,FinancialStatementsTime,TFXRatio,MonthlyNetSalesYoY,RevenueMonth'</f>
        <v>4160</v>
      </c>
      <c r="B118" t="str">
        <v>創源</v>
      </c>
      <c r="C118" t="str">
        <v>5.8</v>
      </c>
      <c r="D118" t="str">
        <v>2.42</v>
      </c>
      <c r="E118" t="str">
        <v>3259.65</v>
      </c>
      <c r="F118" t="str">
        <v>345.36</v>
      </c>
      <c r="G118" t="str">
        <v>2022/03</v>
      </c>
      <c r="H118" t="str">
        <v>-10.46</v>
      </c>
      <c r="I118" t="str">
        <v>-31.77</v>
      </c>
      <c r="J118" t="str">
        <v>2022/06</v>
      </c>
      <c r="K118" t="str">
        <f t="array" ref="K118:T118">[1]!'4160.TW-OperatingProfitRatio,Price,PriceChangeRatio,InOutRatioNumber,Value,YearReturn,MonthReturn,WeekReturn,FinanceBalanceDif,ChipsField2'</f>
        <v>6.82</v>
      </c>
      <c r="L118">
        <v>23.95</v>
      </c>
      <c r="M118">
        <v>0</v>
      </c>
      <c r="N118" t="str">
        <v>0.00%</v>
      </c>
      <c r="O118" t="str">
        <v>4.79萬</v>
      </c>
      <c r="P118" t="str">
        <v>-1.44</v>
      </c>
      <c r="Q118" t="str">
        <v>-0.21</v>
      </c>
      <c r="R118" t="str">
        <v>+0.42</v>
      </c>
      <c r="S118">
        <v>0</v>
      </c>
      <c r="T118">
        <v>0</v>
      </c>
      <c r="U118">
        <f t="array" ref="U118:AD118">[1]!'4160.TW-ChipsField3,ChipsField1,ChipsField25,CashAndStockDividend,CashDividendYieldRate,ProfitFourSeason,ProfitSingle,CName,ExchangeIndustry,CompanyPos'</f>
        <v>0</v>
      </c>
      <c r="V118">
        <v>0</v>
      </c>
      <c r="W118" t="str">
        <v>--</v>
      </c>
      <c r="X118" t="str">
        <v>0.29</v>
      </c>
      <c r="Y118">
        <v>1.21</v>
      </c>
      <c r="Z118" t="str">
        <v>0.79</v>
      </c>
      <c r="AA118" t="str">
        <v>0.44</v>
      </c>
      <c r="AB118" t="str">
        <v>創源</v>
      </c>
      <c r="AC118" t="str">
        <v>上櫃生技醫療</v>
      </c>
      <c r="AD118" t="str">
        <v>訊聯旗下國內第一家基因檢測上櫃公司</v>
      </c>
      <c r="AE118" t="str">
        <f t="array" ref="AE118:AH118">[1]!'4160.TW-CName,InvestorConferenceDate,DateofMeetingofShareHolders,TradingDate'</f>
        <v>創源</v>
      </c>
      <c r="AF118" t="str">
        <v>--</v>
      </c>
      <c r="AG118" t="str">
        <v>2022/06/15</v>
      </c>
      <c r="AH118" t="str">
        <v>2022/08/01</v>
      </c>
    </row>
    <row r="119" spans="1:34" x14ac:dyDescent="0.3">
      <c r="A119" t="str">
        <f t="array" ref="A119:J119">[1]!'4161.TW-ID,Name,MarketValue,Capital,NetIncomeGrowthRate,OperIncomeGrowthRate,FinancialStatementsTime,TFXRatio,MonthlyNetSalesYoY,RevenueMonth'</f>
        <v>4161</v>
      </c>
      <c r="B119" t="str">
        <v>聿新科</v>
      </c>
      <c r="C119" t="str">
        <v>12.9</v>
      </c>
      <c r="D119" t="str">
        <v>5.27</v>
      </c>
      <c r="E119" t="str">
        <v>1.29</v>
      </c>
      <c r="F119" t="str">
        <v>-198.95</v>
      </c>
      <c r="G119" t="str">
        <v>2022/03</v>
      </c>
      <c r="H119" t="str">
        <v>0.66</v>
      </c>
      <c r="I119" t="str">
        <v>-9.63</v>
      </c>
      <c r="J119" t="str">
        <v>2022/06</v>
      </c>
      <c r="K119" t="str">
        <f t="array" ref="K119:T119">[1]!'4161.TW-OperatingProfitRatio,Price,PriceChangeRatio,InOutRatioNumber,Value,YearReturn,MonthReturn,WeekReturn,FinanceBalanceDif,ChipsField2'</f>
        <v>-2.98</v>
      </c>
      <c r="L119">
        <v>24.45</v>
      </c>
      <c r="M119">
        <v>-0.2</v>
      </c>
      <c r="N119" t="str">
        <v>30.00%</v>
      </c>
      <c r="O119" t="str">
        <v>24.6萬</v>
      </c>
      <c r="P119" t="str">
        <v>-5.09</v>
      </c>
      <c r="Q119" t="str">
        <v>+2.73</v>
      </c>
      <c r="R119" t="str">
        <v>+0.20</v>
      </c>
      <c r="S119">
        <v>-3</v>
      </c>
      <c r="T119">
        <v>0</v>
      </c>
      <c r="U119">
        <f t="array" ref="U119:AD119">[1]!'4161.TW-ChipsField3,ChipsField1,ChipsField25,CashAndStockDividend,CashDividendYieldRate,ProfitFourSeason,ProfitSingle,CName,ExchangeIndustry,CompanyPos'</f>
        <v>0</v>
      </c>
      <c r="V119">
        <v>0</v>
      </c>
      <c r="W119" t="str">
        <v>2022/08/11</v>
      </c>
      <c r="X119" t="str">
        <v>0.30</v>
      </c>
      <c r="Y119">
        <v>1.23</v>
      </c>
      <c r="Z119" t="str">
        <v>0.47</v>
      </c>
      <c r="AA119" t="str">
        <v>0.04</v>
      </c>
      <c r="AB119" t="str">
        <v>聿新科</v>
      </c>
      <c r="AC119" t="str">
        <v>上櫃生技醫療</v>
      </c>
      <c r="AD119" t="str">
        <v>血糖測試設備及保養品研發，並利用福壽螺萃取物開發天然蝦紅素</v>
      </c>
      <c r="AE119" t="str">
        <f t="array" ref="AE119:AH119">[1]!'4161.TW-CName,InvestorConferenceDate,DateofMeetingofShareHolders,TradingDate'</f>
        <v>聿新科</v>
      </c>
      <c r="AF119" t="str">
        <v>2021/12/29</v>
      </c>
      <c r="AG119" t="str">
        <v>2022/05/27</v>
      </c>
      <c r="AH119" t="str">
        <v>2022/08/01</v>
      </c>
    </row>
    <row r="120" spans="1:34" x14ac:dyDescent="0.3">
      <c r="A120" t="str">
        <f t="array" ref="A120:J120">[1]!'4162.TW-ID,Name,MarketValue,Capital,NetIncomeGrowthRate,OperIncomeGrowthRate,FinancialStatementsTime,TFXRatio,MonthlyNetSalesYoY,RevenueMonth'</f>
        <v>4162</v>
      </c>
      <c r="B120" t="str">
        <v>智擎</v>
      </c>
      <c r="C120" t="str">
        <v>150.0</v>
      </c>
      <c r="D120" t="str">
        <v>14.56</v>
      </c>
      <c r="E120" t="str">
        <v>28.21</v>
      </c>
      <c r="F120" t="str">
        <v>237.47</v>
      </c>
      <c r="G120" t="str">
        <v>2022/03</v>
      </c>
      <c r="H120" t="str">
        <v>444.96</v>
      </c>
      <c r="I120" t="str">
        <v>3.88</v>
      </c>
      <c r="J120" t="str">
        <v>2022/06</v>
      </c>
      <c r="K120" t="str">
        <f t="array" ref="K120:T120">[1]!'4162.TW-OperatingProfitRatio,Price,PriceChangeRatio,InOutRatioNumber,Value,YearReturn,MonthReturn,WeekReturn,FinanceBalanceDif,ChipsField2'</f>
        <v>66.98</v>
      </c>
      <c r="L120">
        <v>103</v>
      </c>
      <c r="M120">
        <v>3.52</v>
      </c>
      <c r="N120" t="str">
        <v>66.74%</v>
      </c>
      <c r="O120" t="str">
        <v>8.85億</v>
      </c>
      <c r="P120" t="str">
        <v>+68.05</v>
      </c>
      <c r="Q120" t="str">
        <v>+15.86</v>
      </c>
      <c r="R120" t="str">
        <v>+4.89</v>
      </c>
      <c r="S120">
        <v>-35</v>
      </c>
      <c r="T120">
        <v>0</v>
      </c>
      <c r="U120">
        <f t="array" ref="U120:AD120">[1]!'4162.TW-ChipsField3,ChipsField1,ChipsField25,CashAndStockDividend,CashDividendYieldRate,ProfitFourSeason,ProfitSingle,CName,ExchangeIndustry,CompanyPos'</f>
        <v>72</v>
      </c>
      <c r="V120">
        <v>148</v>
      </c>
      <c r="W120" t="str">
        <v>2022/08/15</v>
      </c>
      <c r="X120" t="str">
        <v>2.70</v>
      </c>
      <c r="Y120">
        <v>2.62</v>
      </c>
      <c r="Z120" t="str">
        <v>3.10</v>
      </c>
      <c r="AA120" t="str">
        <v>0.68</v>
      </c>
      <c r="AB120" t="str">
        <v>智擎</v>
      </c>
      <c r="AC120" t="str">
        <v>上櫃生技醫療</v>
      </c>
      <c r="AD120" t="str">
        <v>胰臟癌新藥MM-398已取得台灣及美國藥證</v>
      </c>
      <c r="AE120" t="str">
        <f t="array" ref="AE120:AH120">[1]!'4162.TW-CName,InvestorConferenceDate,DateofMeetingofShareHolders,TradingDate'</f>
        <v>智擎</v>
      </c>
      <c r="AF120" t="str">
        <v>2022/07/27</v>
      </c>
      <c r="AG120" t="str">
        <v>2022/05/27</v>
      </c>
      <c r="AH120" t="str">
        <v>2022/08/01</v>
      </c>
    </row>
    <row r="121" spans="1:34" x14ac:dyDescent="0.3">
      <c r="A121" t="str">
        <f t="array" ref="A121:J121">[1]!'4163.TW-ID,Name,MarketValue,Capital,NetIncomeGrowthRate,OperIncomeGrowthRate,FinancialStatementsTime,TFXRatio,MonthlyNetSalesYoY,RevenueMonth'</f>
        <v>4163</v>
      </c>
      <c r="B121" t="str">
        <v>鐿鈦</v>
      </c>
      <c r="C121" t="str">
        <v>41.9</v>
      </c>
      <c r="D121" t="str">
        <v>4.83</v>
      </c>
      <c r="E121" t="str">
        <v>95.98</v>
      </c>
      <c r="F121" t="str">
        <v>25.77</v>
      </c>
      <c r="G121" t="str">
        <v>2022/03</v>
      </c>
      <c r="H121" t="str">
        <v>-4.50</v>
      </c>
      <c r="I121" t="str">
        <v>15.97</v>
      </c>
      <c r="J121" t="str">
        <v>2022/06</v>
      </c>
      <c r="K121" t="str">
        <f t="array" ref="K121:T121">[1]!'4163.TW-OperatingProfitRatio,Price,PriceChangeRatio,InOutRatioNumber,Value,YearReturn,MonthReturn,WeekReturn,FinanceBalanceDif,ChipsField2'</f>
        <v>12.55</v>
      </c>
      <c r="L121">
        <v>86.8</v>
      </c>
      <c r="M121">
        <v>0.23</v>
      </c>
      <c r="N121" t="str">
        <v>83.33%</v>
      </c>
      <c r="O121" t="str">
        <v>52.3萬</v>
      </c>
      <c r="P121" t="str">
        <v>+4.14</v>
      </c>
      <c r="Q121" t="str">
        <v>+5.49</v>
      </c>
      <c r="R121" t="str">
        <v>-0.91</v>
      </c>
      <c r="S121">
        <v>1</v>
      </c>
      <c r="T121">
        <v>0</v>
      </c>
      <c r="U121">
        <f t="array" ref="U121:AD121">[1]!'4163.TW-ChipsField3,ChipsField1,ChipsField25,CashAndStockDividend,CashDividendYieldRate,ProfitFourSeason,ProfitSingle,CName,ExchangeIndustry,CompanyPos'</f>
        <v>0</v>
      </c>
      <c r="V121">
        <v>-4</v>
      </c>
      <c r="W121" t="str">
        <v>2022/07/11</v>
      </c>
      <c r="X121" t="str">
        <v>2.50</v>
      </c>
      <c r="Y121">
        <v>2.88</v>
      </c>
      <c r="Z121" t="str">
        <v>5.56</v>
      </c>
      <c r="AA121" t="str">
        <v>1.73</v>
      </c>
      <c r="AB121" t="str">
        <v>鐿鈦</v>
      </c>
      <c r="AC121" t="str">
        <v>上櫃生技醫療</v>
      </c>
      <c r="AD121" t="str">
        <v>醫療手術機械製造商</v>
      </c>
      <c r="AE121" t="str">
        <f t="array" ref="AE121:AH121">[1]!'4163.TW-CName,InvestorConferenceDate,DateofMeetingofShareHolders,TradingDate'</f>
        <v>鐿鈦</v>
      </c>
      <c r="AF121" t="str">
        <v>2021/12/16</v>
      </c>
      <c r="AG121" t="str">
        <v>2022/06/23</v>
      </c>
      <c r="AH121" t="str">
        <v>2022/08/01</v>
      </c>
    </row>
    <row r="122" spans="1:34" x14ac:dyDescent="0.3">
      <c r="A122" t="str">
        <f t="array" ref="A122:J122">[1]!'4167.TW-ID,Name,MarketValue,Capital,NetIncomeGrowthRate,OperIncomeGrowthRate,FinancialStatementsTime,TFXRatio,MonthlyNetSalesYoY,RevenueMonth'</f>
        <v>4167</v>
      </c>
      <c r="B122" t="str">
        <v>松瑞藥</v>
      </c>
      <c r="C122" t="str">
        <v>51.2</v>
      </c>
      <c r="D122" t="str">
        <v>31.70</v>
      </c>
      <c r="E122" t="str">
        <v>-167.54</v>
      </c>
      <c r="F122" t="str">
        <v>-168.73</v>
      </c>
      <c r="G122" t="str">
        <v>2022/03</v>
      </c>
      <c r="H122" t="str">
        <v>-3.66</v>
      </c>
      <c r="I122" t="str">
        <v>-45.20</v>
      </c>
      <c r="J122" t="str">
        <v>2022/06</v>
      </c>
      <c r="K122" t="str">
        <f t="array" ref="K122:T122">[1]!'4167.TW-OperatingProfitRatio,Price,PriceChangeRatio,InOutRatioNumber,Value,YearReturn,MonthReturn,WeekReturn,FinanceBalanceDif,ChipsField2'</f>
        <v>-19.06</v>
      </c>
      <c r="L122">
        <v>16.149999999999999</v>
      </c>
      <c r="M122">
        <v>-0.31</v>
      </c>
      <c r="N122" t="str">
        <v>21.87%</v>
      </c>
      <c r="O122" t="str">
        <v>311萬</v>
      </c>
      <c r="P122" t="str">
        <v>-32.12</v>
      </c>
      <c r="Q122" t="str">
        <v>-1.52</v>
      </c>
      <c r="R122" t="str">
        <v>-2.12</v>
      </c>
      <c r="S122">
        <v>-19</v>
      </c>
      <c r="T122">
        <v>0</v>
      </c>
      <c r="U122">
        <f t="array" ref="U122:AD122">[1]!'4167.TW-ChipsField3,ChipsField1,ChipsField25,CashAndStockDividend,CashDividendYieldRate,ProfitFourSeason,ProfitSingle,CName,ExchangeIndustry,CompanyPos'</f>
        <v>0</v>
      </c>
      <c r="V122">
        <v>-32</v>
      </c>
      <c r="W122" t="str">
        <v>--</v>
      </c>
      <c r="X122" t="str">
        <v>0.00</v>
      </c>
      <c r="Y122">
        <v>0</v>
      </c>
      <c r="Z122" t="str">
        <v>-0.40</v>
      </c>
      <c r="AA122" t="str">
        <v>-0.17</v>
      </c>
      <c r="AB122" t="str">
        <v>松瑞藥</v>
      </c>
      <c r="AC122" t="str">
        <v>上櫃生技醫療</v>
      </c>
      <c r="AD122" t="str">
        <v>全球前三大培南類抗生素原料藥供應商</v>
      </c>
      <c r="AE122" t="str">
        <f t="array" ref="AE122:AH122">[1]!'4167.TW-CName,InvestorConferenceDate,DateofMeetingofShareHolders,TradingDate'</f>
        <v>松瑞藥</v>
      </c>
      <c r="AF122" t="str">
        <v>2021/03/18</v>
      </c>
      <c r="AG122" t="str">
        <v>2022/06/01</v>
      </c>
      <c r="AH122" t="str">
        <v>2022/08/01</v>
      </c>
    </row>
    <row r="123" spans="1:34" x14ac:dyDescent="0.3">
      <c r="A123" t="str">
        <f t="array" ref="A123:J123">[1]!'4168.TW-ID,Name,MarketValue,Capital,NetIncomeGrowthRate,OperIncomeGrowthRate,FinancialStatementsTime,TFXRatio,MonthlyNetSalesYoY,RevenueMonth'</f>
        <v>4168</v>
      </c>
      <c r="B123" t="str">
        <v>醣聯</v>
      </c>
      <c r="C123" t="str">
        <v>29.7</v>
      </c>
      <c r="D123" t="str">
        <v>10.20</v>
      </c>
      <c r="E123" t="str">
        <v>27.87</v>
      </c>
      <c r="F123" t="str">
        <v>22.09</v>
      </c>
      <c r="G123" t="str">
        <v>2022/03</v>
      </c>
      <c r="H123" t="str">
        <v>727.09</v>
      </c>
      <c r="I123" t="str">
        <v>5773.42</v>
      </c>
      <c r="J123" t="str">
        <v>2022/06</v>
      </c>
      <c r="K123" t="str">
        <f t="array" ref="K123:T123">[1]!'4168.TW-OperatingProfitRatio,Price,PriceChangeRatio,InOutRatioNumber,Value,YearReturn,MonthReturn,WeekReturn,FinanceBalanceDif,ChipsField2'</f>
        <v>-283.48</v>
      </c>
      <c r="L123">
        <v>29.15</v>
      </c>
      <c r="M123">
        <v>-0.85</v>
      </c>
      <c r="N123" t="str">
        <v>31.58%</v>
      </c>
      <c r="O123" t="str">
        <v>1263萬</v>
      </c>
      <c r="P123" t="str">
        <v>-1.02</v>
      </c>
      <c r="Q123" t="str">
        <v>+16.60</v>
      </c>
      <c r="R123" t="str">
        <v>-0.17</v>
      </c>
      <c r="S123">
        <v>-112</v>
      </c>
      <c r="T123">
        <v>0</v>
      </c>
      <c r="U123">
        <f t="array" ref="U123:AD123">[1]!'4168.TW-ChipsField3,ChipsField1,ChipsField25,CashAndStockDividend,CashDividendYieldRate,ProfitFourSeason,ProfitSingle,CName,ExchangeIndustry,CompanyPos'</f>
        <v>0</v>
      </c>
      <c r="V123">
        <v>-10</v>
      </c>
      <c r="W123" t="str">
        <v>--</v>
      </c>
      <c r="X123" t="str">
        <v>0.00</v>
      </c>
      <c r="Y123">
        <v>0</v>
      </c>
      <c r="Z123" t="str">
        <v>-1.65</v>
      </c>
      <c r="AA123" t="str">
        <v>-0.33</v>
      </c>
      <c r="AB123" t="str">
        <v>醣聯</v>
      </c>
      <c r="AC123" t="str">
        <v>上櫃生技醫療</v>
      </c>
      <c r="AD123" t="str">
        <v>尖端醫轉投資醣質標靶藥物研發廠</v>
      </c>
      <c r="AE123" t="str">
        <f t="array" ref="AE123:AH123">[1]!'4168.TW-CName,InvestorConferenceDate,DateofMeetingofShareHolders,TradingDate'</f>
        <v>醣聯</v>
      </c>
      <c r="AF123" t="str">
        <v>2021/11/18</v>
      </c>
      <c r="AG123" t="str">
        <v>2022/06/23</v>
      </c>
      <c r="AH123" t="str">
        <v>2022/08/01</v>
      </c>
    </row>
    <row r="124" spans="1:34" x14ac:dyDescent="0.3">
      <c r="A124" t="str">
        <f t="array" ref="A124:J124">[1]!'4173.TW-ID,Name,MarketValue,Capital,NetIncomeGrowthRate,OperIncomeGrowthRate,FinancialStatementsTime,TFXRatio,MonthlyNetSalesYoY,RevenueMonth'</f>
        <v>4173</v>
      </c>
      <c r="B124" t="str">
        <v>久裕</v>
      </c>
      <c r="C124" t="str">
        <v>12.9</v>
      </c>
      <c r="D124" t="str">
        <v>7.46</v>
      </c>
      <c r="E124" t="str">
        <v>5.87</v>
      </c>
      <c r="F124" t="str">
        <v>18.51</v>
      </c>
      <c r="G124" t="str">
        <v>2022/03</v>
      </c>
      <c r="H124" t="str">
        <v>-6.98</v>
      </c>
      <c r="I124" t="str">
        <v>6.17</v>
      </c>
      <c r="J124" t="str">
        <v>2022/06</v>
      </c>
      <c r="K124" t="str">
        <f t="array" ref="K124:T124">[1]!'4173.TW-OperatingProfitRatio,Price,PriceChangeRatio,InOutRatioNumber,Value,YearReturn,MonthReturn,WeekReturn,FinanceBalanceDif,ChipsField2'</f>
        <v>5.78</v>
      </c>
      <c r="L124">
        <v>17.350000000000001</v>
      </c>
      <c r="M124">
        <v>0.28999999999999998</v>
      </c>
      <c r="N124" t="str">
        <v>23.44%</v>
      </c>
      <c r="O124" t="str">
        <v>111萬</v>
      </c>
      <c r="P124" t="str">
        <v>-15.01</v>
      </c>
      <c r="Q124" t="str">
        <v>+8.37</v>
      </c>
      <c r="R124" t="str">
        <v>-1.14</v>
      </c>
      <c r="S124">
        <v>7</v>
      </c>
      <c r="T124">
        <v>0</v>
      </c>
      <c r="U124">
        <f t="array" ref="U124:AD124">[1]!'4173.TW-ChipsField3,ChipsField1,ChipsField25,CashAndStockDividend,CashDividendYieldRate,ProfitFourSeason,ProfitSingle,CName,ExchangeIndustry,CompanyPos'</f>
        <v>0</v>
      </c>
      <c r="V124">
        <v>48</v>
      </c>
      <c r="W124" t="str">
        <v>2022/07/13</v>
      </c>
      <c r="X124" t="str">
        <v>0.50</v>
      </c>
      <c r="Y124">
        <v>2.88</v>
      </c>
      <c r="Z124" t="str">
        <v>0.75</v>
      </c>
      <c r="AA124" t="str">
        <v>0.16</v>
      </c>
      <c r="AB124" t="str">
        <v>久裕</v>
      </c>
      <c r="AC124" t="str">
        <v>上櫃生技醫療</v>
      </c>
      <c r="AD124" t="str">
        <v>佳醫旗下藥品經銷物流商</v>
      </c>
      <c r="AE124" t="str">
        <f t="array" ref="AE124:AH124">[1]!'4173.TW-CName,InvestorConferenceDate,DateofMeetingofShareHolders,TradingDate'</f>
        <v>久裕</v>
      </c>
      <c r="AF124" t="str">
        <v>2022/04/28</v>
      </c>
      <c r="AG124" t="str">
        <v>2022/06/14</v>
      </c>
      <c r="AH124" t="str">
        <v>2022/08/01</v>
      </c>
    </row>
    <row r="125" spans="1:34" x14ac:dyDescent="0.3">
      <c r="A125" t="str">
        <f t="array" ref="A125:J125">[1]!'4174.TW-ID,Name,MarketValue,Capital,NetIncomeGrowthRate,OperIncomeGrowthRate,FinancialStatementsTime,TFXRatio,MonthlyNetSalesYoY,RevenueMonth'</f>
        <v>4174</v>
      </c>
      <c r="B125" t="str">
        <v>浩鼎</v>
      </c>
      <c r="C125" t="str">
        <v>185.7</v>
      </c>
      <c r="D125" t="str">
        <v>22.93</v>
      </c>
      <c r="E125" t="str">
        <v>-44.33</v>
      </c>
      <c r="F125" t="str">
        <v>-43.74</v>
      </c>
      <c r="G125" t="str">
        <v>2022/03</v>
      </c>
      <c r="H125" t="str">
        <v>-60.63</v>
      </c>
      <c r="I125" t="str">
        <v>-38.08</v>
      </c>
      <c r="J125" t="str">
        <v>2022/06</v>
      </c>
      <c r="K125" t="str">
        <f t="array" ref="K125:T125">[1]!'4174.TW-OperatingProfitRatio,Price,PriceChangeRatio,InOutRatioNumber,Value,YearReturn,MonthReturn,WeekReturn,FinanceBalanceDif,ChipsField2'</f>
        <v>-32246.95</v>
      </c>
      <c r="L125">
        <v>81</v>
      </c>
      <c r="M125">
        <v>-2.06</v>
      </c>
      <c r="N125" t="str">
        <v>25.41%</v>
      </c>
      <c r="O125" t="str">
        <v>3270萬</v>
      </c>
      <c r="P125" t="str">
        <v>-25.35</v>
      </c>
      <c r="Q125" t="str">
        <v>-10.20</v>
      </c>
      <c r="R125" t="str">
        <v>-4.14</v>
      </c>
      <c r="S125">
        <v>14</v>
      </c>
      <c r="T125">
        <v>0</v>
      </c>
      <c r="U125">
        <f t="array" ref="U125:AD125">[1]!'4174.TW-ChipsField3,ChipsField1,ChipsField25,CashAndStockDividend,CashDividendYieldRate,ProfitFourSeason,ProfitSingle,CName,ExchangeIndustry,CompanyPos'</f>
        <v>0</v>
      </c>
      <c r="V125">
        <v>-125</v>
      </c>
      <c r="W125" t="str">
        <v>--</v>
      </c>
      <c r="X125" t="str">
        <v>0.00</v>
      </c>
      <c r="Y125">
        <v>0</v>
      </c>
      <c r="Z125" t="str">
        <v>-8.05</v>
      </c>
      <c r="AA125" t="str">
        <v>-1.52</v>
      </c>
      <c r="AB125" t="str">
        <v>浩鼎</v>
      </c>
      <c r="AC125" t="str">
        <v>上櫃生技醫療</v>
      </c>
      <c r="AD125" t="str">
        <v>潤泰集團旗下擁有OPopS技術平台的醣基新藥研發公司</v>
      </c>
      <c r="AE125" t="str">
        <f t="array" ref="AE125:AH125">[1]!'4174.TW-CName,InvestorConferenceDate,DateofMeetingofShareHolders,TradingDate'</f>
        <v>浩鼎</v>
      </c>
      <c r="AF125" t="str">
        <v>2021/11/11</v>
      </c>
      <c r="AG125" t="str">
        <v>2022/06/27</v>
      </c>
      <c r="AH125" t="str">
        <v>2022/08/01</v>
      </c>
    </row>
    <row r="126" spans="1:34" x14ac:dyDescent="0.3">
      <c r="A126" t="str">
        <f t="array" ref="A126:J126">[1]!'4175.TW-ID,Name,MarketValue,Capital,NetIncomeGrowthRate,OperIncomeGrowthRate,FinancialStatementsTime,TFXRatio,MonthlyNetSalesYoY,RevenueMonth'</f>
        <v>4175</v>
      </c>
      <c r="B126" t="str">
        <v>杏一</v>
      </c>
      <c r="C126" t="str">
        <v>24.2</v>
      </c>
      <c r="D126" t="str">
        <v>3.53</v>
      </c>
      <c r="E126" t="str">
        <v>19.16</v>
      </c>
      <c r="F126" t="str">
        <v>22.73</v>
      </c>
      <c r="G126" t="str">
        <v>2022/03</v>
      </c>
      <c r="H126" t="str">
        <v>-13.93</v>
      </c>
      <c r="I126" t="str">
        <v>7.26</v>
      </c>
      <c r="J126" t="str">
        <v>2022/06</v>
      </c>
      <c r="K126" t="str">
        <f t="array" ref="K126:T126">[1]!'4175.TW-OperatingProfitRatio,Price,PriceChangeRatio,InOutRatioNumber,Value,YearReturn,MonthReturn,WeekReturn,FinanceBalanceDif,ChipsField2'</f>
        <v>2.48</v>
      </c>
      <c r="L126">
        <v>68.7</v>
      </c>
      <c r="M126">
        <v>0.88</v>
      </c>
      <c r="N126" t="str">
        <v>27.50%</v>
      </c>
      <c r="O126" t="str">
        <v>272萬</v>
      </c>
      <c r="P126" t="str">
        <v>+3.50</v>
      </c>
      <c r="Q126" t="str">
        <v>+1.03</v>
      </c>
      <c r="R126" t="str">
        <v>-0.43</v>
      </c>
      <c r="S126">
        <v>1</v>
      </c>
      <c r="T126">
        <v>0</v>
      </c>
      <c r="U126">
        <f t="array" ref="U126:AD126">[1]!'4175.TW-ChipsField3,ChipsField1,ChipsField25,CashAndStockDividend,CashDividendYieldRate,ProfitFourSeason,ProfitSingle,CName,ExchangeIndustry,CompanyPos'</f>
        <v>0</v>
      </c>
      <c r="V126">
        <v>-24</v>
      </c>
      <c r="W126" t="str">
        <v>2022/06/24</v>
      </c>
      <c r="X126" t="str">
        <v>1.60</v>
      </c>
      <c r="Y126">
        <v>2.33</v>
      </c>
      <c r="Z126" t="str">
        <v>2.11</v>
      </c>
      <c r="AA126" t="str">
        <v>0.86</v>
      </c>
      <c r="AB126" t="str">
        <v>杏一</v>
      </c>
      <c r="AC126" t="str">
        <v>上櫃生技醫療</v>
      </c>
      <c r="AD126" t="str">
        <v>台灣醫療用品連鎖服務通路</v>
      </c>
      <c r="AE126" t="str">
        <f t="array" ref="AE126:AH126">[1]!'4175.TW-CName,InvestorConferenceDate,DateofMeetingofShareHolders,TradingDate'</f>
        <v>杏一</v>
      </c>
      <c r="AF126" t="str">
        <v>2021/12/24</v>
      </c>
      <c r="AG126" t="str">
        <v>2022/05/26</v>
      </c>
      <c r="AH126" t="str">
        <v>2022/08/01</v>
      </c>
    </row>
    <row r="127" spans="1:34" x14ac:dyDescent="0.3">
      <c r="A127" t="str">
        <f t="array" ref="A127:J127">[1]!'4183.TW-ID,Name,MarketValue,Capital,NetIncomeGrowthRate,OperIncomeGrowthRate,FinancialStatementsTime,TFXRatio,MonthlyNetSalesYoY,RevenueMonth'</f>
        <v>4183</v>
      </c>
      <c r="B127" t="str">
        <v>福永生技</v>
      </c>
      <c r="C127" t="str">
        <v>4.2</v>
      </c>
      <c r="D127" t="str">
        <v>2.38</v>
      </c>
      <c r="E127" t="str">
        <v>146.92</v>
      </c>
      <c r="F127" t="str">
        <v>45.81</v>
      </c>
      <c r="G127" t="str">
        <v>2022/03</v>
      </c>
      <c r="H127" t="str">
        <v>85.70</v>
      </c>
      <c r="I127" t="str">
        <v>-14.68</v>
      </c>
      <c r="J127" t="str">
        <v>2022/06</v>
      </c>
      <c r="K127" t="str">
        <f t="array" ref="K127:T127">[1]!'4183.TW-OperatingProfitRatio,Price,PriceChangeRatio,InOutRatioNumber,Value,YearReturn,MonthReturn,WeekReturn,FinanceBalanceDif,ChipsField2'</f>
        <v>-1.63</v>
      </c>
      <c r="L127" t="str">
        <v>--</v>
      </c>
      <c r="M127" t="str">
        <v>--</v>
      </c>
      <c r="N127" t="str">
        <v>--</v>
      </c>
      <c r="O127" t="str">
        <v>--</v>
      </c>
      <c r="P127" t="str">
        <v>-7.52</v>
      </c>
      <c r="Q127" t="str">
        <v>-0.19</v>
      </c>
      <c r="R127" t="str">
        <v>+0.86</v>
      </c>
      <c r="S127">
        <v>0</v>
      </c>
      <c r="T127">
        <v>0</v>
      </c>
      <c r="U127">
        <f t="array" ref="U127:AD127">[1]!'4183.TW-ChipsField3,ChipsField1,ChipsField25,CashAndStockDividend,CashDividendYieldRate,ProfitFourSeason,ProfitSingle,CName,ExchangeIndustry,CompanyPos'</f>
        <v>0</v>
      </c>
      <c r="V127">
        <v>0</v>
      </c>
      <c r="W127" t="str">
        <v>2022/07/12</v>
      </c>
      <c r="X127" t="str">
        <v>0.70</v>
      </c>
      <c r="Y127">
        <v>3.99</v>
      </c>
      <c r="Z127" t="str">
        <v>1.11</v>
      </c>
      <c r="AA127" t="str">
        <v>0.11</v>
      </c>
      <c r="AB127" t="str">
        <v>福永生技</v>
      </c>
      <c r="AC127" t="str">
        <v>上櫃生技醫療</v>
      </c>
      <c r="AD127" t="str">
        <v>台灣血糖測試設備商</v>
      </c>
      <c r="AE127" t="str">
        <f t="array" ref="AE127:AH127">[1]!'4183.TW-CName,InvestorConferenceDate,DateofMeetingofShareHolders,TradingDate'</f>
        <v>福永生技</v>
      </c>
      <c r="AF127" t="str">
        <v>2021/12/09</v>
      </c>
      <c r="AG127" t="str">
        <v>2022/06/24</v>
      </c>
      <c r="AH127" t="str">
        <v>2022/08/01</v>
      </c>
    </row>
    <row r="128" spans="1:34" x14ac:dyDescent="0.3">
      <c r="A128" t="str">
        <f t="array" ref="A128:J128">[1]!'4188.TW-ID,Name,MarketValue,Capital,NetIncomeGrowthRate,OperIncomeGrowthRate,FinancialStatementsTime,TFXRatio,MonthlyNetSalesYoY,RevenueMonth'</f>
        <v>4188</v>
      </c>
      <c r="B128" t="str">
        <v>安克</v>
      </c>
      <c r="C128" t="str">
        <v>8.9</v>
      </c>
      <c r="D128" t="str">
        <v>5.32</v>
      </c>
      <c r="E128" t="str">
        <v>37.94</v>
      </c>
      <c r="F128" t="str">
        <v>24.87</v>
      </c>
      <c r="G128" t="str">
        <v>2022/03</v>
      </c>
      <c r="H128" t="str">
        <v>27.67</v>
      </c>
      <c r="I128" t="str">
        <v>-28.35</v>
      </c>
      <c r="J128" t="str">
        <v>2022/06</v>
      </c>
      <c r="K128" t="str">
        <f t="array" ref="K128:T128">[1]!'4188.TW-OperatingProfitRatio,Price,PriceChangeRatio,InOutRatioNumber,Value,YearReturn,MonthReturn,WeekReturn,FinanceBalanceDif,ChipsField2'</f>
        <v>-62.79</v>
      </c>
      <c r="L128">
        <v>16.649999999999999</v>
      </c>
      <c r="M128">
        <v>-1.48</v>
      </c>
      <c r="N128" t="str">
        <v>31.03%</v>
      </c>
      <c r="O128" t="str">
        <v>48.4萬</v>
      </c>
      <c r="P128" t="str">
        <v>+2.15</v>
      </c>
      <c r="Q128" t="str">
        <v>+5.71</v>
      </c>
      <c r="R128" t="str">
        <v>-4.03</v>
      </c>
      <c r="S128">
        <v>0</v>
      </c>
      <c r="T128">
        <v>0</v>
      </c>
      <c r="U128">
        <f t="array" ref="U128:AD128">[1]!'4188.TW-ChipsField3,ChipsField1,ChipsField25,CashAndStockDividend,CashDividendYieldRate,ProfitFourSeason,ProfitSingle,CName,ExchangeIndustry,CompanyPos'</f>
        <v>0</v>
      </c>
      <c r="V128">
        <v>-1</v>
      </c>
      <c r="W128" t="str">
        <v>--</v>
      </c>
      <c r="X128" t="str">
        <v>0.00</v>
      </c>
      <c r="Y128">
        <v>0</v>
      </c>
      <c r="Z128" t="str">
        <v>-0.42</v>
      </c>
      <c r="AA128" t="str">
        <v>-0.15</v>
      </c>
      <c r="AB128" t="str">
        <v>安克</v>
      </c>
      <c r="AC128" t="str">
        <v>上櫃生技醫療</v>
      </c>
      <c r="AD128" t="str">
        <v>懷特旗下電腦輔助診斷軟體研發廠</v>
      </c>
      <c r="AE128" t="str">
        <f t="array" ref="AE128:AH128">[1]!'4188.TW-CName,InvestorConferenceDate,DateofMeetingofShareHolders,TradingDate'</f>
        <v>安克</v>
      </c>
      <c r="AF128" t="str">
        <v>2022/07/19</v>
      </c>
      <c r="AG128" t="str">
        <v>2022/05/20</v>
      </c>
      <c r="AH128" t="str">
        <v>2022/08/01</v>
      </c>
    </row>
    <row r="129" spans="1:34" x14ac:dyDescent="0.3">
      <c r="A129" t="str">
        <f t="array" ref="A129:J129">[1]!'4192.TW-ID,Name,MarketValue,Capital,NetIncomeGrowthRate,OperIncomeGrowthRate,FinancialStatementsTime,TFXRatio,MonthlyNetSalesYoY,RevenueMonth'</f>
        <v>4192</v>
      </c>
      <c r="B129" t="str">
        <v>杏國</v>
      </c>
      <c r="C129" t="str">
        <v>31.3</v>
      </c>
      <c r="D129" t="str">
        <v>11.51</v>
      </c>
      <c r="E129" t="str">
        <v>40.80</v>
      </c>
      <c r="F129" t="str">
        <v>41.14</v>
      </c>
      <c r="G129" t="str">
        <v>2022/03</v>
      </c>
      <c r="H129" t="str">
        <v>-22.67</v>
      </c>
      <c r="I129" t="str">
        <v>111.48</v>
      </c>
      <c r="J129" t="str">
        <v>2022/06</v>
      </c>
      <c r="K129" t="str">
        <f t="array" ref="K129:T129">[1]!'4192.TW-OperatingProfitRatio,Price,PriceChangeRatio,InOutRatioNumber,Value,YearReturn,MonthReturn,WeekReturn,FinanceBalanceDif,ChipsField2'</f>
        <v>-1290.96</v>
      </c>
      <c r="L129">
        <v>27.2</v>
      </c>
      <c r="M129">
        <v>-1.0900000000000001</v>
      </c>
      <c r="N129" t="str">
        <v>16.13%</v>
      </c>
      <c r="O129" t="str">
        <v>84.3萬</v>
      </c>
      <c r="P129" t="str">
        <v>-46.25</v>
      </c>
      <c r="Q129" t="str">
        <v>-1.27</v>
      </c>
      <c r="R129" t="str">
        <v>-2.51</v>
      </c>
      <c r="S129">
        <v>0</v>
      </c>
      <c r="T129">
        <v>0</v>
      </c>
      <c r="U129">
        <f t="array" ref="U129:AD129">[1]!'4192.TW-ChipsField3,ChipsField1,ChipsField25,CashAndStockDividend,CashDividendYieldRate,ProfitFourSeason,ProfitSingle,CName,ExchangeIndustry,CompanyPos'</f>
        <v>0</v>
      </c>
      <c r="V129">
        <v>0</v>
      </c>
      <c r="W129" t="str">
        <v>--</v>
      </c>
      <c r="X129" t="str">
        <v>0.00</v>
      </c>
      <c r="Y129">
        <v>0</v>
      </c>
      <c r="Z129" t="str">
        <v>-3.74</v>
      </c>
      <c r="AA129" t="str">
        <v>-0.37</v>
      </c>
      <c r="AB129" t="str">
        <v>杏國</v>
      </c>
      <c r="AC129" t="str">
        <v>上櫃生技醫療</v>
      </c>
      <c r="AD129" t="str">
        <v>杏輝旗下植物新藥研發廠</v>
      </c>
      <c r="AE129" t="str">
        <f t="array" ref="AE129:AH129">[1]!'4192.TW-CName,InvestorConferenceDate,DateofMeetingofShareHolders,TradingDate'</f>
        <v>杏國</v>
      </c>
      <c r="AF129" t="str">
        <v>2021/11/11</v>
      </c>
      <c r="AG129" t="str">
        <v>2022/05/26</v>
      </c>
      <c r="AH129" t="str">
        <v>2022/08/01</v>
      </c>
    </row>
    <row r="130" spans="1:34" x14ac:dyDescent="0.3">
      <c r="A130" t="str">
        <f t="array" ref="A130:J130">[1]!'4198.TW-ID,Name,MarketValue,Capital,NetIncomeGrowthRate,OperIncomeGrowthRate,FinancialStatementsTime,TFXRatio,MonthlyNetSalesYoY,RevenueMonth'</f>
        <v>4198</v>
      </c>
      <c r="B130" t="str">
        <v>欣大健康</v>
      </c>
      <c r="C130" t="str">
        <v>3.7</v>
      </c>
      <c r="D130" t="str">
        <v>8.05</v>
      </c>
      <c r="E130" t="str">
        <v>-20.03</v>
      </c>
      <c r="F130" t="str">
        <v>-17.79</v>
      </c>
      <c r="G130" t="str">
        <v>2022/03</v>
      </c>
      <c r="H130" t="str">
        <v>18.80</v>
      </c>
      <c r="I130" t="str">
        <v>79.01</v>
      </c>
      <c r="J130" t="str">
        <v>2022/06</v>
      </c>
      <c r="K130" t="str">
        <f t="array" ref="K130:T130">[1]!'4198.TW-OperatingProfitRatio,Price,PriceChangeRatio,InOutRatioNumber,Value,YearReturn,MonthReturn,WeekReturn,FinanceBalanceDif,ChipsField2'</f>
        <v>-62.21</v>
      </c>
      <c r="L130">
        <v>4.63</v>
      </c>
      <c r="M130">
        <v>-0.64</v>
      </c>
      <c r="N130" t="str">
        <v>21.62%</v>
      </c>
      <c r="O130" t="str">
        <v>26.8萬</v>
      </c>
      <c r="P130" t="str">
        <v>-22.83</v>
      </c>
      <c r="Q130" t="str">
        <v>-4.34</v>
      </c>
      <c r="R130" t="str">
        <v>-3.54</v>
      </c>
      <c r="S130">
        <v>0</v>
      </c>
      <c r="T130">
        <v>0</v>
      </c>
      <c r="U130">
        <f t="array" ref="U130:AD130">[1]!'4198.TW-ChipsField3,ChipsField1,ChipsField25,CashAndStockDividend,CashDividendYieldRate,ProfitFourSeason,ProfitSingle,CName,ExchangeIndustry,CompanyPos'</f>
        <v>0</v>
      </c>
      <c r="V130">
        <v>0</v>
      </c>
      <c r="W130" t="str">
        <v>--</v>
      </c>
      <c r="X130" t="str">
        <v>0.00</v>
      </c>
      <c r="Y130">
        <v>0</v>
      </c>
      <c r="Z130" t="str">
        <v>-1.35</v>
      </c>
      <c r="AA130" t="str">
        <v>-0.41</v>
      </c>
      <c r="AB130" t="str">
        <v>欣大健康</v>
      </c>
      <c r="AC130" t="str">
        <v>上櫃生技醫療</v>
      </c>
      <c r="AD130" t="str">
        <v>高階數位X光機及骨質密度檢測設備廠</v>
      </c>
      <c r="AE130" t="str">
        <f t="array" ref="AE130:AH130">[1]!'4198.TW-CName,InvestorConferenceDate,DateofMeetingofShareHolders,TradingDate'</f>
        <v>欣大健康</v>
      </c>
      <c r="AF130" t="str">
        <v>2021/12/22</v>
      </c>
      <c r="AG130" t="str">
        <v>2022/04/29</v>
      </c>
      <c r="AH130" t="str">
        <v>2022/08/01</v>
      </c>
    </row>
    <row r="131" spans="1:34" x14ac:dyDescent="0.3">
      <c r="A131" t="str">
        <f t="array" ref="A131:J131">[1]!'4726.TW-ID,Name,MarketValue,Capital,NetIncomeGrowthRate,OperIncomeGrowthRate,FinancialStatementsTime,TFXRatio,MonthlyNetSalesYoY,RevenueMonth'</f>
        <v>4726</v>
      </c>
      <c r="B131" t="str">
        <v>永昕</v>
      </c>
      <c r="C131" t="str">
        <v>61.4</v>
      </c>
      <c r="D131" t="str">
        <v>15.42</v>
      </c>
      <c r="E131" t="str">
        <v>-83.99</v>
      </c>
      <c r="F131" t="str">
        <v>-86.09</v>
      </c>
      <c r="G131" t="str">
        <v>2022/03</v>
      </c>
      <c r="H131" t="str">
        <v>-71.73</v>
      </c>
      <c r="I131" t="str">
        <v>-2.17</v>
      </c>
      <c r="J131" t="str">
        <v>2022/06</v>
      </c>
      <c r="K131" t="str">
        <f t="array" ref="K131:T131">[1]!'4726.TW-OperatingProfitRatio,Price,PriceChangeRatio,InOutRatioNumber,Value,YearReturn,MonthReturn,WeekReturn,FinanceBalanceDif,ChipsField2'</f>
        <v>7.07</v>
      </c>
      <c r="L131">
        <v>39.85</v>
      </c>
      <c r="M131">
        <v>0.63</v>
      </c>
      <c r="N131" t="str">
        <v>41.04%</v>
      </c>
      <c r="O131" t="str">
        <v>3786萬</v>
      </c>
      <c r="P131" t="str">
        <v>-10.45</v>
      </c>
      <c r="Q131" t="str">
        <v>+4.05</v>
      </c>
      <c r="R131" t="str">
        <v>-0.87</v>
      </c>
      <c r="S131">
        <v>-103</v>
      </c>
      <c r="T131">
        <v>0</v>
      </c>
      <c r="U131">
        <f t="array" ref="U131:AD131">[1]!'4726.TW-ChipsField3,ChipsField1,ChipsField25,CashAndStockDividend,CashDividendYieldRate,ProfitFourSeason,ProfitSingle,CName,ExchangeIndustry,CompanyPos'</f>
        <v>-6</v>
      </c>
      <c r="V131">
        <v>-51</v>
      </c>
      <c r="W131" t="str">
        <v>--</v>
      </c>
      <c r="X131" t="str">
        <v>0.00</v>
      </c>
      <c r="Y131">
        <v>0</v>
      </c>
      <c r="Z131" t="str">
        <v>-1.22</v>
      </c>
      <c r="AA131" t="str">
        <v>0.12</v>
      </c>
      <c r="AB131" t="str">
        <v>永昕</v>
      </c>
      <c r="AC131" t="str">
        <v>上櫃生技醫療</v>
      </c>
      <c r="AD131" t="str">
        <v>晟德旗下CDMO廠</v>
      </c>
      <c r="AE131" t="str">
        <f t="array" ref="AE131:AH131">[1]!'4726.TW-CName,InvestorConferenceDate,DateofMeetingofShareHolders,TradingDate'</f>
        <v>永昕</v>
      </c>
      <c r="AF131" t="str">
        <v>2021/12/23</v>
      </c>
      <c r="AG131" t="str">
        <v>2022/05/30</v>
      </c>
      <c r="AH131" t="str">
        <v>2022/08/01</v>
      </c>
    </row>
    <row r="132" spans="1:34" x14ac:dyDescent="0.3">
      <c r="A132" t="str">
        <f t="array" ref="A132:J132">[1]!'4728.TW-ID,Name,MarketValue,Capital,NetIncomeGrowthRate,OperIncomeGrowthRate,FinancialStatementsTime,TFXRatio,MonthlyNetSalesYoY,RevenueMonth'</f>
        <v>4728</v>
      </c>
      <c r="B132" t="str">
        <v>雙美</v>
      </c>
      <c r="C132" t="str">
        <v>83.9</v>
      </c>
      <c r="D132" t="str">
        <v>5.45</v>
      </c>
      <c r="E132" t="str">
        <v>111.26</v>
      </c>
      <c r="F132" t="str">
        <v>121.62</v>
      </c>
      <c r="G132" t="str">
        <v>2022/03</v>
      </c>
      <c r="H132" t="str">
        <v>-3.83</v>
      </c>
      <c r="I132" t="str">
        <v>41.22</v>
      </c>
      <c r="J132" t="str">
        <v>2022/06</v>
      </c>
      <c r="K132" t="str">
        <f t="array" ref="K132:T132">[1]!'4728.TW-OperatingProfitRatio,Price,PriceChangeRatio,InOutRatioNumber,Value,YearReturn,MonthReturn,WeekReturn,FinanceBalanceDif,ChipsField2'</f>
        <v>61.71</v>
      </c>
      <c r="L132">
        <v>154</v>
      </c>
      <c r="M132">
        <v>2.33</v>
      </c>
      <c r="N132" t="str">
        <v>40.95%</v>
      </c>
      <c r="O132" t="str">
        <v>1612萬</v>
      </c>
      <c r="P132" t="str">
        <v>+126.76</v>
      </c>
      <c r="Q132" t="str">
        <v>+34.08</v>
      </c>
      <c r="R132" t="str">
        <v>+12.82</v>
      </c>
      <c r="S132">
        <v>-5</v>
      </c>
      <c r="T132">
        <v>0</v>
      </c>
      <c r="U132">
        <f t="array" ref="U132:AD132">[1]!'4728.TW-ChipsField3,ChipsField1,ChipsField25,CashAndStockDividend,CashDividendYieldRate,ProfitFourSeason,ProfitSingle,CName,ExchangeIndustry,CompanyPos'</f>
        <v>0</v>
      </c>
      <c r="V132">
        <v>-12</v>
      </c>
      <c r="W132" t="str">
        <v>2022/07/13</v>
      </c>
      <c r="X132" t="str">
        <v>4.40</v>
      </c>
      <c r="Y132">
        <v>2.86</v>
      </c>
      <c r="Z132" t="str">
        <v>5.80</v>
      </c>
      <c r="AA132" t="str">
        <v>2.44</v>
      </c>
      <c r="AB132" t="str">
        <v>雙美</v>
      </c>
      <c r="AC132" t="str">
        <v>上櫃生技醫療</v>
      </c>
      <c r="AD132" t="str">
        <v>全球唯一以豬體皮為原料的膠原蛋白廠</v>
      </c>
      <c r="AE132" t="str">
        <f t="array" ref="AE132:AH132">[1]!'4728.TW-CName,InvestorConferenceDate,DateofMeetingofShareHolders,TradingDate'</f>
        <v>雙美</v>
      </c>
      <c r="AF132" t="str">
        <v>--</v>
      </c>
      <c r="AG132" t="str">
        <v>2022/06/20</v>
      </c>
      <c r="AH132" t="str">
        <v>2022/08/01</v>
      </c>
    </row>
    <row r="133" spans="1:34" x14ac:dyDescent="0.3">
      <c r="A133" t="str">
        <f t="array" ref="A133:J133">[1]!'4735.TW-ID,Name,MarketValue,Capital,NetIncomeGrowthRate,OperIncomeGrowthRate,FinancialStatementsTime,TFXRatio,MonthlyNetSalesYoY,RevenueMonth'</f>
        <v>4735</v>
      </c>
      <c r="B133" t="str">
        <v>豪展</v>
      </c>
      <c r="C133" t="str">
        <v>14.5</v>
      </c>
      <c r="D133" t="str">
        <v>3.68</v>
      </c>
      <c r="E133" t="str">
        <v>-86.55</v>
      </c>
      <c r="F133" t="str">
        <v>-94.06</v>
      </c>
      <c r="G133" t="str">
        <v>2022/03</v>
      </c>
      <c r="H133" t="str">
        <v>20.14</v>
      </c>
      <c r="I133" t="str">
        <v>-5.80</v>
      </c>
      <c r="J133" t="str">
        <v>2022/06</v>
      </c>
      <c r="K133" t="str">
        <f t="array" ref="K133:T133">[1]!'4735.TW-OperatingProfitRatio,Price,PriceChangeRatio,InOutRatioNumber,Value,YearReturn,MonthReturn,WeekReturn,FinanceBalanceDif,ChipsField2'</f>
        <v>4.28</v>
      </c>
      <c r="L133">
        <v>39.35</v>
      </c>
      <c r="M133">
        <v>-2.36</v>
      </c>
      <c r="N133" t="str">
        <v>21.74%</v>
      </c>
      <c r="O133" t="str">
        <v>769萬</v>
      </c>
      <c r="P133" t="str">
        <v>-33.75</v>
      </c>
      <c r="Q133" t="str">
        <v>+25.52</v>
      </c>
      <c r="R133" t="str">
        <v>+11.63</v>
      </c>
      <c r="S133">
        <v>29</v>
      </c>
      <c r="T133">
        <v>0</v>
      </c>
      <c r="U133">
        <f t="array" ref="U133:AD133">[1]!'4735.TW-ChipsField3,ChipsField1,ChipsField25,CashAndStockDividend,CashDividendYieldRate,ProfitFourSeason,ProfitSingle,CName,ExchangeIndustry,CompanyPos'</f>
        <v>0</v>
      </c>
      <c r="V133">
        <v>-32</v>
      </c>
      <c r="W133" t="str">
        <v>2022/06/16</v>
      </c>
      <c r="X133" t="str">
        <v>0.50</v>
      </c>
      <c r="Y133">
        <v>15.76</v>
      </c>
      <c r="Z133" t="str">
        <v>4.41</v>
      </c>
      <c r="AA133" t="str">
        <v>0.65</v>
      </c>
      <c r="AB133" t="str">
        <v>豪展</v>
      </c>
      <c r="AC133" t="str">
        <v>上櫃生技醫療</v>
      </c>
      <c r="AD133" t="str">
        <v>全球前三大紅外線額耳溫槍生產商</v>
      </c>
      <c r="AE133" t="str">
        <f t="array" ref="AE133:AH133">[1]!'4735.TW-CName,InvestorConferenceDate,DateofMeetingofShareHolders,TradingDate'</f>
        <v>豪展</v>
      </c>
      <c r="AF133" t="str">
        <v>--</v>
      </c>
      <c r="AG133" t="str">
        <v>2022/06/16</v>
      </c>
      <c r="AH133" t="str">
        <v>2022/08/01</v>
      </c>
    </row>
    <row r="134" spans="1:34" x14ac:dyDescent="0.3">
      <c r="A134" t="str">
        <f t="array" ref="A134:J134">[1]!'4736.TW-ID,Name,MarketValue,Capital,NetIncomeGrowthRate,OperIncomeGrowthRate,FinancialStatementsTime,TFXRatio,MonthlyNetSalesYoY,RevenueMonth'</f>
        <v>4736</v>
      </c>
      <c r="B134" t="str">
        <v>泰博</v>
      </c>
      <c r="C134" t="str">
        <v>179.8</v>
      </c>
      <c r="D134" t="str">
        <v>9.34</v>
      </c>
      <c r="E134" t="str">
        <v>29.59</v>
      </c>
      <c r="F134" t="str">
        <v>98.38</v>
      </c>
      <c r="G134" t="str">
        <v>2022/03</v>
      </c>
      <c r="H134" t="str">
        <v>-2.17</v>
      </c>
      <c r="I134" t="str">
        <v>30.83</v>
      </c>
      <c r="J134" t="str">
        <v>2022/06</v>
      </c>
      <c r="K134" t="str">
        <f t="array" ref="K134:T134">[1]!'4736.TW-OperatingProfitRatio,Price,PriceChangeRatio,InOutRatioNumber,Value,YearReturn,MonthReturn,WeekReturn,FinanceBalanceDif,ChipsField2'</f>
        <v>39.17</v>
      </c>
      <c r="L134">
        <v>192.5</v>
      </c>
      <c r="M134">
        <v>-1.28</v>
      </c>
      <c r="N134" t="str">
        <v>38.48%</v>
      </c>
      <c r="O134" t="str">
        <v>2.04億</v>
      </c>
      <c r="P134" t="str">
        <v>-4.75</v>
      </c>
      <c r="Q134" t="str">
        <v>+3.22</v>
      </c>
      <c r="R134" t="str">
        <v>-7.23</v>
      </c>
      <c r="S134">
        <v>96</v>
      </c>
      <c r="T134">
        <v>0</v>
      </c>
      <c r="U134">
        <f t="array" ref="U134:AD134">[1]!'4736.TW-ChipsField3,ChipsField1,ChipsField25,CashAndStockDividend,CashDividendYieldRate,ProfitFourSeason,ProfitSingle,CName,ExchangeIndustry,CompanyPos'</f>
        <v>11</v>
      </c>
      <c r="V134">
        <v>-378</v>
      </c>
      <c r="W134" t="str">
        <v>2022/08/04</v>
      </c>
      <c r="X134" t="str">
        <v>14.94</v>
      </c>
      <c r="Y134">
        <v>7.76</v>
      </c>
      <c r="Z134" t="str">
        <v>22.83</v>
      </c>
      <c r="AA134" t="str">
        <v>6.69</v>
      </c>
      <c r="AB134" t="str">
        <v>泰博</v>
      </c>
      <c r="AC134" t="str">
        <v>上櫃生技醫療</v>
      </c>
      <c r="AD134" t="str">
        <v>亞洲唯一擁有HCT(血球容積)變化檢測技術的廠商</v>
      </c>
      <c r="AE134" t="str">
        <f t="array" ref="AE134:AH134">[1]!'4736.TW-CName,InvestorConferenceDate,DateofMeetingofShareHolders,TradingDate'</f>
        <v>泰博</v>
      </c>
      <c r="AF134" t="str">
        <v>2021/07/26</v>
      </c>
      <c r="AG134" t="str">
        <v>2022/05/25</v>
      </c>
      <c r="AH134" t="str">
        <v>2022/08/01</v>
      </c>
    </row>
    <row r="135" spans="1:34" x14ac:dyDescent="0.3">
      <c r="A135" t="str">
        <f t="array" ref="A135:J135">[1]!'4743.TW-ID,Name,MarketValue,Capital,NetIncomeGrowthRate,OperIncomeGrowthRate,FinancialStatementsTime,TFXRatio,MonthlyNetSalesYoY,RevenueMonth'</f>
        <v>4743</v>
      </c>
      <c r="B135" t="str">
        <v>合一</v>
      </c>
      <c r="C135" t="str">
        <v>712.9</v>
      </c>
      <c r="D135" t="str">
        <v>38.85</v>
      </c>
      <c r="E135" t="str">
        <v>232.17</v>
      </c>
      <c r="F135" t="str">
        <v>18.70</v>
      </c>
      <c r="G135" t="str">
        <v>2022/03</v>
      </c>
      <c r="H135" t="str">
        <v>18100.40</v>
      </c>
      <c r="I135" t="str">
        <v>11407.90</v>
      </c>
      <c r="J135" t="str">
        <v>2022/06</v>
      </c>
      <c r="K135" t="str">
        <f t="array" ref="K135:T135">[1]!'4743.TW-OperatingProfitRatio,Price,PriceChangeRatio,InOutRatioNumber,Value,YearReturn,MonthReturn,WeekReturn,FinanceBalanceDif,ChipsField2'</f>
        <v>-1115.57</v>
      </c>
      <c r="L135">
        <v>183.5</v>
      </c>
      <c r="M135">
        <v>-2.65</v>
      </c>
      <c r="N135" t="str">
        <v>28.57%</v>
      </c>
      <c r="O135" t="str">
        <v>4.50億</v>
      </c>
      <c r="P135" t="str">
        <v>-4.92</v>
      </c>
      <c r="Q135" t="str">
        <v>+8.58</v>
      </c>
      <c r="R135" t="str">
        <v>-4.18</v>
      </c>
      <c r="S135">
        <v>16</v>
      </c>
      <c r="T135">
        <v>0</v>
      </c>
      <c r="U135">
        <f t="array" ref="U135:AD135">[1]!'4743.TW-ChipsField3,ChipsField1,ChipsField25,CashAndStockDividend,CashDividendYieldRate,ProfitFourSeason,ProfitSingle,CName,ExchangeIndustry,CompanyPos'</f>
        <v>-35</v>
      </c>
      <c r="V135">
        <v>-212</v>
      </c>
      <c r="W135" t="str">
        <v>--</v>
      </c>
      <c r="X135" t="str">
        <v>0.00</v>
      </c>
      <c r="Y135">
        <v>0</v>
      </c>
      <c r="Z135" t="str">
        <v>-0.35</v>
      </c>
      <c r="AA135" t="str">
        <v>1.01</v>
      </c>
      <c r="AB135" t="str">
        <v>合一</v>
      </c>
      <c r="AC135" t="str">
        <v>上櫃生技醫療</v>
      </c>
      <c r="AD135" t="str">
        <v>中天轉投資的植物新藥開發公司</v>
      </c>
      <c r="AE135" t="str">
        <f t="array" ref="AE135:AH135">[1]!'4743.TW-CName,InvestorConferenceDate,DateofMeetingofShareHolders,TradingDate'</f>
        <v>合一</v>
      </c>
      <c r="AF135" t="str">
        <v>2022/06/29</v>
      </c>
      <c r="AG135" t="str">
        <v>2022/05/24</v>
      </c>
      <c r="AH135" t="str">
        <v>2022/08/01</v>
      </c>
    </row>
    <row r="136" spans="1:34" x14ac:dyDescent="0.3">
      <c r="A136" t="str">
        <f t="array" ref="A136:J136">[1]!'4744.TW-ID,Name,MarketValue,Capital,NetIncomeGrowthRate,OperIncomeGrowthRate,FinancialStatementsTime,TFXRatio,MonthlyNetSalesYoY,RevenueMonth'</f>
        <v>4744</v>
      </c>
      <c r="B136" t="str">
        <v>皇將</v>
      </c>
      <c r="C136" t="str">
        <v>14.0</v>
      </c>
      <c r="D136" t="str">
        <v>4.60</v>
      </c>
      <c r="E136" t="str">
        <v>-89.14</v>
      </c>
      <c r="F136" t="str">
        <v>-890.65</v>
      </c>
      <c r="G136" t="str">
        <v>2022/03</v>
      </c>
      <c r="H136" t="str">
        <v>92.20</v>
      </c>
      <c r="I136" t="str">
        <v>54.62</v>
      </c>
      <c r="J136" t="str">
        <v>2022/06</v>
      </c>
      <c r="K136" t="str">
        <f t="array" ref="K136:T136">[1]!'4744.TW-OperatingProfitRatio,Price,PriceChangeRatio,InOutRatioNumber,Value,YearReturn,MonthReturn,WeekReturn,FinanceBalanceDif,ChipsField2'</f>
        <v>-17.35</v>
      </c>
      <c r="L136">
        <v>30.5</v>
      </c>
      <c r="M136">
        <v>1.5</v>
      </c>
      <c r="N136" t="str">
        <v>51.86%</v>
      </c>
      <c r="O136" t="str">
        <v>1112萬</v>
      </c>
      <c r="P136" t="str">
        <v>+13.62</v>
      </c>
      <c r="Q136" t="str">
        <v>+30.34</v>
      </c>
      <c r="R136" t="str">
        <v>+12.13</v>
      </c>
      <c r="S136">
        <v>27</v>
      </c>
      <c r="T136">
        <v>0</v>
      </c>
      <c r="U136">
        <f t="array" ref="U136:AD136">[1]!'4744.TW-ChipsField3,ChipsField1,ChipsField25,CashAndStockDividend,CashDividendYieldRate,ProfitFourSeason,ProfitSingle,CName,ExchangeIndustry,CompanyPos'</f>
        <v>0</v>
      </c>
      <c r="V136">
        <v>-1</v>
      </c>
      <c r="W136" t="str">
        <v>2022/08/15</v>
      </c>
      <c r="X136" t="str">
        <v>1.20</v>
      </c>
      <c r="Y136">
        <v>3.93</v>
      </c>
      <c r="Z136" t="str">
        <v>1.65</v>
      </c>
      <c r="AA136" t="str">
        <v>0.01</v>
      </c>
      <c r="AB136" t="str">
        <v>皇將</v>
      </c>
      <c r="AC136" t="str">
        <v>上櫃生技醫療</v>
      </c>
      <c r="AD136" t="str">
        <v>台灣製藥設備及檢驗儀器製造廠</v>
      </c>
      <c r="AE136" t="str">
        <f t="array" ref="AE136:AH136">[1]!'4744.TW-CName,InvestorConferenceDate,DateofMeetingofShareHolders,TradingDate'</f>
        <v>皇將</v>
      </c>
      <c r="AF136" t="str">
        <v>--</v>
      </c>
      <c r="AG136" t="str">
        <v>2022/06/16</v>
      </c>
      <c r="AH136" t="str">
        <v>2022/08/01</v>
      </c>
    </row>
    <row r="137" spans="1:34" x14ac:dyDescent="0.3">
      <c r="A137" t="str">
        <f t="array" ref="A137:J137">[1]!'4745.TW-ID,Name,MarketValue,Capital,NetIncomeGrowthRate,OperIncomeGrowthRate,FinancialStatementsTime,TFXRatio,MonthlyNetSalesYoY,RevenueMonth'</f>
        <v>4745</v>
      </c>
      <c r="B137" t="str">
        <v>合富-KY</v>
      </c>
      <c r="C137" t="str">
        <v>20.1</v>
      </c>
      <c r="D137" t="str">
        <v>7.74</v>
      </c>
      <c r="E137" t="str">
        <v>44.78</v>
      </c>
      <c r="F137" t="str">
        <v>36.66</v>
      </c>
      <c r="G137" t="str">
        <v>2022/03</v>
      </c>
      <c r="H137" t="str">
        <v>95.06</v>
      </c>
      <c r="I137" t="str">
        <v>-3.58</v>
      </c>
      <c r="J137" t="str">
        <v>2022/06</v>
      </c>
      <c r="K137" t="str">
        <f t="array" ref="K137:T137">[1]!'4745.TW-OperatingProfitRatio,Price,PriceChangeRatio,InOutRatioNumber,Value,YearReturn,MonthReturn,WeekReturn,FinanceBalanceDif,ChipsField2'</f>
        <v>5.76</v>
      </c>
      <c r="L137">
        <v>25.9</v>
      </c>
      <c r="M137">
        <v>0.57999999999999996</v>
      </c>
      <c r="N137" t="str">
        <v>50.00%</v>
      </c>
      <c r="O137" t="str">
        <v>59.7萬</v>
      </c>
      <c r="P137" t="str">
        <v>+1.65</v>
      </c>
      <c r="Q137" t="str">
        <v>+10.21</v>
      </c>
      <c r="R137" t="str">
        <v>-1.71</v>
      </c>
      <c r="S137">
        <v>-27</v>
      </c>
      <c r="T137">
        <v>0</v>
      </c>
      <c r="U137">
        <f t="array" ref="U137:AD137">[1]!'4745.TW-ChipsField3,ChipsField1,ChipsField25,CashAndStockDividend,CashDividendYieldRate,ProfitFourSeason,ProfitSingle,CName,ExchangeIndustry,CompanyPos'</f>
        <v>0</v>
      </c>
      <c r="V137">
        <v>1</v>
      </c>
      <c r="W137" t="str">
        <v>2022/06/23</v>
      </c>
      <c r="X137" t="str">
        <v>1.50</v>
      </c>
      <c r="Y137">
        <v>5.79</v>
      </c>
      <c r="Z137" t="str">
        <v>1.83</v>
      </c>
      <c r="AA137" t="str">
        <v>0.33</v>
      </c>
      <c r="AB137" t="str">
        <v>合富-KY</v>
      </c>
      <c r="AC137" t="str">
        <v>上櫃生技醫療</v>
      </c>
      <c r="AD137" t="str">
        <v>大陸最大台資醫療通路集團</v>
      </c>
      <c r="AE137" t="str">
        <f t="array" ref="AE137:AH137">[1]!'4745.TW-CName,InvestorConferenceDate,DateofMeetingofShareHolders,TradingDate'</f>
        <v>合富-KY</v>
      </c>
      <c r="AF137" t="str">
        <v>2021/12/24</v>
      </c>
      <c r="AG137" t="str">
        <v>2022/05/12</v>
      </c>
      <c r="AH137" t="str">
        <v>2022/08/01</v>
      </c>
    </row>
    <row r="138" spans="1:34" x14ac:dyDescent="0.3">
      <c r="A138" t="str">
        <f t="array" ref="A138:J138">[1]!'4747.TW-ID,Name,MarketValue,Capital,NetIncomeGrowthRate,OperIncomeGrowthRate,FinancialStatementsTime,TFXRatio,MonthlyNetSalesYoY,RevenueMonth'</f>
        <v>4747</v>
      </c>
      <c r="B138" t="str">
        <v>強生</v>
      </c>
      <c r="C138" t="str">
        <v>9.9</v>
      </c>
      <c r="D138" t="str">
        <v>3.00</v>
      </c>
      <c r="E138" t="str">
        <v>21.64</v>
      </c>
      <c r="F138" t="str">
        <v>24.77</v>
      </c>
      <c r="G138" t="str">
        <v>2022/03</v>
      </c>
      <c r="H138" t="str">
        <v>11.00</v>
      </c>
      <c r="I138" t="str">
        <v>31.33</v>
      </c>
      <c r="J138" t="str">
        <v>2022/06</v>
      </c>
      <c r="K138" t="str">
        <f t="array" ref="K138:T138">[1]!'4747.TW-OperatingProfitRatio,Price,PriceChangeRatio,InOutRatioNumber,Value,YearReturn,MonthReturn,WeekReturn,FinanceBalanceDif,ChipsField2'</f>
        <v>14.83</v>
      </c>
      <c r="L138">
        <v>33.049999999999997</v>
      </c>
      <c r="M138">
        <v>0</v>
      </c>
      <c r="N138" t="str">
        <v>58.54%</v>
      </c>
      <c r="O138" t="str">
        <v>136萬</v>
      </c>
      <c r="P138" t="str">
        <v>-4.37</v>
      </c>
      <c r="Q138" t="str">
        <v>+5.09</v>
      </c>
      <c r="R138" t="str">
        <v>+4.92</v>
      </c>
      <c r="S138">
        <v>-1</v>
      </c>
      <c r="T138">
        <v>0</v>
      </c>
      <c r="U138">
        <f t="array" ref="U138:AD138">[1]!'4747.TW-ChipsField3,ChipsField1,ChipsField25,CashAndStockDividend,CashDividendYieldRate,ProfitFourSeason,ProfitSingle,CName,ExchangeIndustry,CompanyPos'</f>
        <v>0</v>
      </c>
      <c r="V138">
        <v>-3</v>
      </c>
      <c r="W138" t="str">
        <v>2022/06/22</v>
      </c>
      <c r="X138" t="str">
        <v>1.45</v>
      </c>
      <c r="Y138">
        <v>4.3899999999999997</v>
      </c>
      <c r="Z138" t="str">
        <v>1.71</v>
      </c>
      <c r="AA138" t="str">
        <v>0.42</v>
      </c>
      <c r="AB138" t="str">
        <v>強生</v>
      </c>
      <c r="AC138" t="str">
        <v>上櫃生技醫療</v>
      </c>
      <c r="AD138" t="str">
        <v>台灣中小型利基型學名藥廠</v>
      </c>
      <c r="AE138" t="str">
        <f t="array" ref="AE138:AH138">[1]!'4747.TW-CName,InvestorConferenceDate,DateofMeetingofShareHolders,TradingDate'</f>
        <v>強生</v>
      </c>
      <c r="AF138" t="str">
        <v>--</v>
      </c>
      <c r="AG138" t="str">
        <v>2022/05/26</v>
      </c>
      <c r="AH138" t="str">
        <v>2022/08/01</v>
      </c>
    </row>
    <row r="139" spans="1:34" x14ac:dyDescent="0.3">
      <c r="A139" t="str">
        <f t="array" ref="A139:J139">[1]!'4911.TW-ID,Name,MarketValue,Capital,NetIncomeGrowthRate,OperIncomeGrowthRate,FinancialStatementsTime,TFXRatio,MonthlyNetSalesYoY,RevenueMonth'</f>
        <v>4911</v>
      </c>
      <c r="B139" t="str">
        <v>德英</v>
      </c>
      <c r="C139" t="str">
        <v>33.7</v>
      </c>
      <c r="D139" t="str">
        <v>5.57</v>
      </c>
      <c r="E139" t="str">
        <v>-50.36</v>
      </c>
      <c r="F139" t="str">
        <v>-34.73</v>
      </c>
      <c r="G139" t="str">
        <v>2022/03</v>
      </c>
      <c r="H139" t="str">
        <v>31.43</v>
      </c>
      <c r="I139" t="str">
        <v>275.50</v>
      </c>
      <c r="J139" t="str">
        <v>2022/06</v>
      </c>
      <c r="K139" t="str">
        <f t="array" ref="K139:T139">[1]!'4911.TW-OperatingProfitRatio,Price,PriceChangeRatio,InOutRatioNumber,Value,YearReturn,MonthReturn,WeekReturn,FinanceBalanceDif,ChipsField2'</f>
        <v>-69.62</v>
      </c>
      <c r="L139">
        <v>60.5</v>
      </c>
      <c r="M139">
        <v>10</v>
      </c>
      <c r="N139" t="str">
        <v>88.63%</v>
      </c>
      <c r="O139" t="str">
        <v>6364萬</v>
      </c>
      <c r="P139" t="str">
        <v>+145.44</v>
      </c>
      <c r="Q139" t="str">
        <v>+17.70</v>
      </c>
      <c r="R139" t="str">
        <v>+8.81</v>
      </c>
      <c r="S139">
        <v>0</v>
      </c>
      <c r="T139">
        <v>0</v>
      </c>
      <c r="U139">
        <f t="array" ref="U139:AD139">[1]!'4911.TW-ChipsField3,ChipsField1,ChipsField25,CashAndStockDividend,CashDividendYieldRate,ProfitFourSeason,ProfitSingle,CName,ExchangeIndustry,CompanyPos'</f>
        <v>0</v>
      </c>
      <c r="V139">
        <v>30</v>
      </c>
      <c r="W139" t="str">
        <v>--</v>
      </c>
      <c r="X139" t="str">
        <v>0.00</v>
      </c>
      <c r="Y139">
        <v>0</v>
      </c>
      <c r="Z139" t="str">
        <v>-0.39</v>
      </c>
      <c r="AA139" t="str">
        <v>-0.09</v>
      </c>
      <c r="AB139" t="str">
        <v>德英</v>
      </c>
      <c r="AC139" t="str">
        <v>上櫃生技醫療</v>
      </c>
      <c r="AD139" t="str">
        <v>抗癌植物新藥研發公司</v>
      </c>
      <c r="AE139" t="str">
        <f t="array" ref="AE139:AH139">[1]!'4911.TW-CName,InvestorConferenceDate,DateofMeetingofShareHolders,TradingDate'</f>
        <v>德英</v>
      </c>
      <c r="AF139" t="str">
        <v>2021/11/29</v>
      </c>
      <c r="AG139" t="str">
        <v>2022/06/10</v>
      </c>
      <c r="AH139" t="str">
        <v>2022/08/01</v>
      </c>
    </row>
    <row r="140" spans="1:34" x14ac:dyDescent="0.3">
      <c r="A140" t="str">
        <f t="array" ref="A140:J140">[1]!'5312.TW-ID,Name,MarketValue,Capital,NetIncomeGrowthRate,OperIncomeGrowthRate,FinancialStatementsTime,TFXRatio,MonthlyNetSalesYoY,RevenueMonth'</f>
        <v>5312</v>
      </c>
      <c r="B140" t="str">
        <v>寶島科</v>
      </c>
      <c r="C140" t="str">
        <v>38.1</v>
      </c>
      <c r="D140" t="str">
        <v>6.01</v>
      </c>
      <c r="E140" t="str">
        <v>-16.10</v>
      </c>
      <c r="F140" t="str">
        <v>18.19</v>
      </c>
      <c r="G140" t="str">
        <v>2022/03</v>
      </c>
      <c r="H140" t="str">
        <v>2.75</v>
      </c>
      <c r="I140" t="str">
        <v>90.68</v>
      </c>
      <c r="J140" t="str">
        <v>2022/06</v>
      </c>
      <c r="K140" t="str">
        <f t="array" ref="K140:T140">[1]!'5312.TW-OperatingProfitRatio,Price,PriceChangeRatio,InOutRatioNumber,Value,YearReturn,MonthReturn,WeekReturn,FinanceBalanceDif,ChipsField2'</f>
        <v>5.36</v>
      </c>
      <c r="L140">
        <v>63.5</v>
      </c>
      <c r="M140">
        <v>0.32</v>
      </c>
      <c r="N140" t="str">
        <v>29.27%</v>
      </c>
      <c r="O140" t="str">
        <v>1048萬</v>
      </c>
      <c r="P140" t="str">
        <v>+7.42</v>
      </c>
      <c r="Q140" t="str">
        <v>+1.93</v>
      </c>
      <c r="R140" t="str">
        <v>+0.63</v>
      </c>
      <c r="S140">
        <v>1</v>
      </c>
      <c r="T140">
        <v>0</v>
      </c>
      <c r="U140">
        <f t="array" ref="U140:AD140">[1]!'5312.TW-ChipsField3,ChipsField1,ChipsField25,CashAndStockDividend,CashDividendYieldRate,ProfitFourSeason,ProfitSingle,CName,ExchangeIndustry,CompanyPos'</f>
        <v>0</v>
      </c>
      <c r="V140">
        <v>-46</v>
      </c>
      <c r="W140" t="str">
        <v>2022/08/02</v>
      </c>
      <c r="X140" t="str">
        <v>4.30</v>
      </c>
      <c r="Y140">
        <v>6.77</v>
      </c>
      <c r="Z140" t="str">
        <v>4.61</v>
      </c>
      <c r="AA140" t="str">
        <v>1.06</v>
      </c>
      <c r="AB140" t="str">
        <v>寶島科</v>
      </c>
      <c r="AC140" t="str">
        <v>上櫃生技醫療</v>
      </c>
      <c r="AD140" t="str">
        <v>台灣最大眼鏡通路商</v>
      </c>
      <c r="AE140" t="str">
        <f t="array" ref="AE140:AH140">[1]!'5312.TW-CName,InvestorConferenceDate,DateofMeetingofShareHolders,TradingDate'</f>
        <v>寶島科</v>
      </c>
      <c r="AF140" t="str">
        <v>2021/12/16</v>
      </c>
      <c r="AG140" t="str">
        <v>2022/06/27</v>
      </c>
      <c r="AH140" t="str">
        <v>2022/08/01</v>
      </c>
    </row>
    <row r="141" spans="1:34" x14ac:dyDescent="0.3">
      <c r="A141" t="str">
        <f t="array" ref="A141:J141">[1]!'6130.TW-ID,Name,MarketValue,Capital,NetIncomeGrowthRate,OperIncomeGrowthRate,FinancialStatementsTime,TFXRatio,MonthlyNetSalesYoY,RevenueMonth'</f>
        <v>6130</v>
      </c>
      <c r="B141" t="str">
        <v>星寶國際</v>
      </c>
      <c r="C141" t="str">
        <v>13.5</v>
      </c>
      <c r="D141" t="str">
        <v>4.43</v>
      </c>
      <c r="E141" t="str">
        <v>-112.21</v>
      </c>
      <c r="F141" t="str">
        <v>-164.42</v>
      </c>
      <c r="G141" t="str">
        <v>2022/03</v>
      </c>
      <c r="H141" t="str">
        <v>9.13</v>
      </c>
      <c r="I141" t="str">
        <v>-38.36</v>
      </c>
      <c r="J141" t="str">
        <v>2022/06</v>
      </c>
      <c r="K141" t="str">
        <f t="array" ref="K141:T141">[1]!'6130.TW-OperatingProfitRatio,Price,PriceChangeRatio,InOutRatioNumber,Value,YearReturn,MonthReturn,WeekReturn,FinanceBalanceDif,ChipsField2'</f>
        <v>-24.45</v>
      </c>
      <c r="L141">
        <v>30.45</v>
      </c>
      <c r="M141">
        <v>-5.73</v>
      </c>
      <c r="N141" t="str">
        <v>19.19%</v>
      </c>
      <c r="O141" t="str">
        <v>306萬</v>
      </c>
      <c r="P141" t="str">
        <v>+5.91</v>
      </c>
      <c r="Q141" t="str">
        <v>-30.80</v>
      </c>
      <c r="R141" t="str">
        <v>-13.12</v>
      </c>
      <c r="S141">
        <v>0</v>
      </c>
      <c r="T141">
        <v>0</v>
      </c>
      <c r="U141">
        <f t="array" ref="U141:AD141">[1]!'6130.TW-ChipsField3,ChipsField1,ChipsField25,CashAndStockDividend,CashDividendYieldRate,ProfitFourSeason,ProfitSingle,CName,ExchangeIndustry,CompanyPos'</f>
        <v>0</v>
      </c>
      <c r="V141">
        <v>4</v>
      </c>
      <c r="W141" t="str">
        <v>--</v>
      </c>
      <c r="X141" t="str">
        <v>0.00</v>
      </c>
      <c r="Y141">
        <v>0</v>
      </c>
      <c r="Z141" t="str">
        <v>0.75</v>
      </c>
      <c r="AA141" t="str">
        <v>-0.33</v>
      </c>
      <c r="AB141" t="str">
        <v>星寶國際</v>
      </c>
      <c r="AC141" t="str">
        <v>上櫃生技醫療</v>
      </c>
      <c r="AD141" t="str">
        <v>從事醫美事業的醫藥採購及管理顧問</v>
      </c>
      <c r="AE141" t="str">
        <f t="array" ref="AE141:AH141">[1]!'6130.TW-CName,InvestorConferenceDate,DateofMeetingofShareHolders,TradingDate'</f>
        <v>星寶國際</v>
      </c>
      <c r="AF141" t="str">
        <v>--</v>
      </c>
      <c r="AG141" t="str">
        <v>2022/06/24</v>
      </c>
      <c r="AH141" t="str">
        <v>2022/08/01</v>
      </c>
    </row>
    <row r="142" spans="1:34" x14ac:dyDescent="0.3">
      <c r="A142" t="str">
        <f t="array" ref="A142:J142">[1]!'6242.TW-ID,Name,MarketValue,Capital,NetIncomeGrowthRate,OperIncomeGrowthRate,FinancialStatementsTime,TFXRatio,MonthlyNetSalesYoY,RevenueMonth'</f>
        <v>6242</v>
      </c>
      <c r="B142" t="str">
        <v>立康</v>
      </c>
      <c r="C142" t="str">
        <v>11.7</v>
      </c>
      <c r="D142" t="str">
        <v>2.33</v>
      </c>
      <c r="E142" t="str">
        <v>39.01</v>
      </c>
      <c r="F142" t="str">
        <v>24.47</v>
      </c>
      <c r="G142" t="str">
        <v>2022/03</v>
      </c>
      <c r="H142" t="str">
        <v>12.69</v>
      </c>
      <c r="I142" t="str">
        <v>282.79</v>
      </c>
      <c r="J142" t="str">
        <v>2022/06</v>
      </c>
      <c r="K142" t="str">
        <f t="array" ref="K142:T142">[1]!'6242.TW-OperatingProfitRatio,Price,PriceChangeRatio,InOutRatioNumber,Value,YearReturn,MonthReturn,WeekReturn,FinanceBalanceDif,ChipsField2'</f>
        <v>17.61</v>
      </c>
      <c r="L142">
        <v>50.1</v>
      </c>
      <c r="M142">
        <v>0.2</v>
      </c>
      <c r="N142" t="str">
        <v>54.55%</v>
      </c>
      <c r="O142" t="str">
        <v>165萬</v>
      </c>
      <c r="P142" t="str">
        <v>+27.22</v>
      </c>
      <c r="Q142" t="str">
        <v>+10.05</v>
      </c>
      <c r="R142" t="str">
        <v>+1.11</v>
      </c>
      <c r="S142">
        <v>0</v>
      </c>
      <c r="T142">
        <v>0</v>
      </c>
      <c r="U142">
        <f t="array" ref="U142:AD142">[1]!'6242.TW-ChipsField3,ChipsField1,ChipsField25,CashAndStockDividend,CashDividendYieldRate,ProfitFourSeason,ProfitSingle,CName,ExchangeIndustry,CompanyPos'</f>
        <v>0</v>
      </c>
      <c r="V142">
        <v>8</v>
      </c>
      <c r="W142" t="str">
        <v>2022/07/04</v>
      </c>
      <c r="X142" t="str">
        <v>2.00</v>
      </c>
      <c r="Y142">
        <v>3.99</v>
      </c>
      <c r="Z142" t="str">
        <v>2.49</v>
      </c>
      <c r="AA142" t="str">
        <v>0.63</v>
      </c>
      <c r="AB142" t="str">
        <v>立康</v>
      </c>
      <c r="AC142" t="str">
        <v>上櫃生技醫療</v>
      </c>
      <c r="AD142" t="str">
        <v>中草藥生產及經營觀光工廠之廠商</v>
      </c>
      <c r="AE142" t="str">
        <f t="array" ref="AE142:AH142">[1]!'6242.TW-CName,InvestorConferenceDate,DateofMeetingofShareHolders,TradingDate'</f>
        <v>立康</v>
      </c>
      <c r="AF142" t="str">
        <v>2021/12/27</v>
      </c>
      <c r="AG142" t="str">
        <v>2022/05/24</v>
      </c>
      <c r="AH142" t="str">
        <v>2022/08/01</v>
      </c>
    </row>
    <row r="143" spans="1:34" x14ac:dyDescent="0.3">
      <c r="A143" t="str">
        <f t="array" ref="A143:J143">[1]!'6446.TW-ID,Name,MarketValue,Capital,NetIncomeGrowthRate,OperIncomeGrowthRate,FinancialStatementsTime,TFXRatio,MonthlyNetSalesYoY,RevenueMonth'</f>
        <v>6446</v>
      </c>
      <c r="B143" t="str">
        <v>藥華藥</v>
      </c>
      <c r="C143" t="str">
        <v>1612.9</v>
      </c>
      <c r="D143" t="str">
        <v>28.51</v>
      </c>
      <c r="E143" t="str">
        <v>20.83</v>
      </c>
      <c r="F143" t="str">
        <v>10.71</v>
      </c>
      <c r="G143" t="str">
        <v>2022/03</v>
      </c>
      <c r="H143" t="str">
        <v>-20.43</v>
      </c>
      <c r="I143" t="str">
        <v>1023.76</v>
      </c>
      <c r="J143" t="str">
        <v>2022/06</v>
      </c>
      <c r="K143" t="str">
        <f t="array" ref="K143:T143">[1]!'6446.TW-OperatingProfitRatio,Price,PriceChangeRatio,InOutRatioNumber,Value,YearReturn,MonthReturn,WeekReturn,FinanceBalanceDif,ChipsField2'</f>
        <v>-221.24</v>
      </c>
      <c r="L143">
        <v>566</v>
      </c>
      <c r="M143">
        <v>-0.53</v>
      </c>
      <c r="N143" t="str">
        <v>44.36%</v>
      </c>
      <c r="O143" t="str">
        <v>9.45億</v>
      </c>
      <c r="P143" t="str">
        <v>+528.89</v>
      </c>
      <c r="Q143" t="str">
        <v>+13.54</v>
      </c>
      <c r="R143" t="str">
        <v>+7.81</v>
      </c>
      <c r="S143">
        <v>0</v>
      </c>
      <c r="T143">
        <v>203</v>
      </c>
      <c r="U143">
        <f t="array" ref="U143:AD143">[1]!'6446.TW-ChipsField3,ChipsField1,ChipsField25,CashAndStockDividend,CashDividendYieldRate,ProfitFourSeason,ProfitSingle,CName,ExchangeIndustry,CompanyPos'</f>
        <v>-6</v>
      </c>
      <c r="V143">
        <v>20</v>
      </c>
      <c r="W143" t="str">
        <v>--</v>
      </c>
      <c r="X143" t="str">
        <v>0.00</v>
      </c>
      <c r="Y143">
        <v>0</v>
      </c>
      <c r="Z143" t="str">
        <v>-10.11</v>
      </c>
      <c r="AA143" t="str">
        <v>-1.96</v>
      </c>
      <c r="AB143" t="str">
        <v>藥華藥</v>
      </c>
      <c r="AC143" t="str">
        <v>上櫃生技醫療</v>
      </c>
      <c r="AD143" t="str">
        <v>罕見真性紅血球增生症藥物研發廠商</v>
      </c>
      <c r="AE143" t="str">
        <f t="array" ref="AE143:AH143">[1]!'6446.TW-CName,InvestorConferenceDate,DateofMeetingofShareHolders,TradingDate'</f>
        <v>藥華藥</v>
      </c>
      <c r="AF143" t="str">
        <v>2022/05/16</v>
      </c>
      <c r="AG143" t="str">
        <v>2022/05/27</v>
      </c>
      <c r="AH143" t="str">
        <v>2022/08/01</v>
      </c>
    </row>
    <row r="144" spans="1:34" x14ac:dyDescent="0.3">
      <c r="A144" t="str">
        <f t="array" ref="A144:J144">[1]!'6461.TW-ID,Name,MarketValue,Capital,NetIncomeGrowthRate,OperIncomeGrowthRate,FinancialStatementsTime,TFXRatio,MonthlyNetSalesYoY,RevenueMonth'</f>
        <v>6461</v>
      </c>
      <c r="B144" t="str">
        <v>益得</v>
      </c>
      <c r="C144" t="str">
        <v>38.4</v>
      </c>
      <c r="D144" t="str">
        <v>11.63</v>
      </c>
      <c r="E144" t="str">
        <v>-1.94</v>
      </c>
      <c r="F144" t="str">
        <v>-2.10</v>
      </c>
      <c r="G144" t="str">
        <v>2022/03</v>
      </c>
      <c r="H144" t="str">
        <v>-57.60</v>
      </c>
      <c r="I144" t="str">
        <v>59.66</v>
      </c>
      <c r="J144" t="str">
        <v>2022/06</v>
      </c>
      <c r="K144" t="str">
        <f t="array" ref="K144:T144">[1]!'6461.TW-OperatingProfitRatio,Price,PriceChangeRatio,InOutRatioNumber,Value,YearReturn,MonthReturn,WeekReturn,FinanceBalanceDif,ChipsField2'</f>
        <v>-595.84</v>
      </c>
      <c r="L144">
        <v>33</v>
      </c>
      <c r="M144">
        <v>-0.75</v>
      </c>
      <c r="N144" t="str">
        <v>47.89%</v>
      </c>
      <c r="O144" t="str">
        <v>2.85億</v>
      </c>
      <c r="P144" t="str">
        <v>+59.81</v>
      </c>
      <c r="Q144" t="str">
        <v>+20.66</v>
      </c>
      <c r="R144" t="str">
        <v>+2.64</v>
      </c>
      <c r="S144">
        <v>-180</v>
      </c>
      <c r="T144">
        <v>0</v>
      </c>
      <c r="U144">
        <f t="array" ref="U144:AD144">[1]!'6461.TW-ChipsField3,ChipsField1,ChipsField25,CashAndStockDividend,CashDividendYieldRate,ProfitFourSeason,ProfitSingle,CName,ExchangeIndustry,CompanyPos'</f>
        <v>0</v>
      </c>
      <c r="V144">
        <v>215</v>
      </c>
      <c r="W144" t="str">
        <v>--</v>
      </c>
      <c r="X144" t="str">
        <v>0.00</v>
      </c>
      <c r="Y144">
        <v>0</v>
      </c>
      <c r="Z144" t="str">
        <v>-2.90</v>
      </c>
      <c r="AA144" t="str">
        <v>-0.60</v>
      </c>
      <c r="AB144" t="str">
        <v>益得</v>
      </c>
      <c r="AC144" t="str">
        <v>上櫃生技醫療</v>
      </c>
      <c r="AD144" t="str">
        <v>健喬旗下哮喘定量噴霧吸入劑研發廠商</v>
      </c>
      <c r="AE144" t="str">
        <f t="array" ref="AE144:AH144">[1]!'6461.TW-CName,InvestorConferenceDate,DateofMeetingofShareHolders,TradingDate'</f>
        <v>益得</v>
      </c>
      <c r="AF144" t="str">
        <v>2021/07/12</v>
      </c>
      <c r="AG144" t="str">
        <v>2022/05/24</v>
      </c>
      <c r="AH144" t="str">
        <v>2022/08/01</v>
      </c>
    </row>
    <row r="145" spans="1:34" x14ac:dyDescent="0.3">
      <c r="A145" t="str">
        <f t="array" ref="A145:J145">[1]!'6469.TW-ID,Name,MarketValue,Capital,NetIncomeGrowthRate,OperIncomeGrowthRate,FinancialStatementsTime,TFXRatio,MonthlyNetSalesYoY,RevenueMonth'</f>
        <v>6469</v>
      </c>
      <c r="B145" t="str">
        <v>大樹</v>
      </c>
      <c r="C145" t="str">
        <v>226.2</v>
      </c>
      <c r="D145" t="str">
        <v>7.09</v>
      </c>
      <c r="E145" t="str">
        <v>64.12</v>
      </c>
      <c r="F145" t="str">
        <v>78.15</v>
      </c>
      <c r="G145" t="str">
        <v>2022/03</v>
      </c>
      <c r="H145" t="str">
        <v>-18.05</v>
      </c>
      <c r="I145" t="str">
        <v>28.84</v>
      </c>
      <c r="J145" t="str">
        <v>2022/06</v>
      </c>
      <c r="K145" t="str">
        <f t="array" ref="K145:T145">[1]!'6469.TW-OperatingProfitRatio,Price,PriceChangeRatio,InOutRatioNumber,Value,YearReturn,MonthReturn,WeekReturn,FinanceBalanceDif,ChipsField2'</f>
        <v>4.36</v>
      </c>
      <c r="L145">
        <v>319</v>
      </c>
      <c r="M145">
        <v>0.63</v>
      </c>
      <c r="N145" t="str">
        <v>57.47%</v>
      </c>
      <c r="O145" t="str">
        <v>4.18億</v>
      </c>
      <c r="P145" t="str">
        <v>+74.61</v>
      </c>
      <c r="Q145" t="str">
        <v>+13.12</v>
      </c>
      <c r="R145" t="str">
        <v>+1.75</v>
      </c>
      <c r="S145">
        <v>-29</v>
      </c>
      <c r="T145">
        <v>0</v>
      </c>
      <c r="U145">
        <f t="array" ref="U145:AD145">[1]!'6469.TW-ChipsField3,ChipsField1,ChipsField25,CashAndStockDividend,CashDividendYieldRate,ProfitFourSeason,ProfitSingle,CName,ExchangeIndustry,CompanyPos'</f>
        <v>98</v>
      </c>
      <c r="V145">
        <v>242</v>
      </c>
      <c r="W145" t="str">
        <v>2022/06/29</v>
      </c>
      <c r="X145" t="str">
        <v>5.14</v>
      </c>
      <c r="Y145">
        <v>1.61</v>
      </c>
      <c r="Z145" t="str">
        <v>6.87</v>
      </c>
      <c r="AA145" t="str">
        <v>1.67</v>
      </c>
      <c r="AB145" t="str">
        <v>大樹</v>
      </c>
      <c r="AC145" t="str">
        <v>上櫃生技醫療</v>
      </c>
      <c r="AD145" t="str">
        <v>醫藥品連鎖通路商，為全台最大婦幼處方藥局</v>
      </c>
      <c r="AE145" t="str">
        <f t="array" ref="AE145:AH145">[1]!'6469.TW-CName,InvestorConferenceDate,DateofMeetingofShareHolders,TradingDate'</f>
        <v>大樹</v>
      </c>
      <c r="AF145" t="str">
        <v>--</v>
      </c>
      <c r="AG145" t="str">
        <v>2022/05/31</v>
      </c>
      <c r="AH145" t="str">
        <v>2022/08/01</v>
      </c>
    </row>
    <row r="146" spans="1:34" x14ac:dyDescent="0.3">
      <c r="A146" t="str">
        <f t="array" ref="A146:J146">[1]!'6472.TW-ID,Name,MarketValue,Capital,NetIncomeGrowthRate,OperIncomeGrowthRate,FinancialStatementsTime,TFXRatio,MonthlyNetSalesYoY,RevenueMonth'</f>
        <v>6472</v>
      </c>
      <c r="B146" t="str">
        <v>保瑞</v>
      </c>
      <c r="C146" t="str">
        <v>152.1</v>
      </c>
      <c r="D146" t="str">
        <v>6.85</v>
      </c>
      <c r="E146" t="str">
        <v>-46.42</v>
      </c>
      <c r="F146" t="str">
        <v>-44.07</v>
      </c>
      <c r="G146" t="str">
        <v>2022/03</v>
      </c>
      <c r="H146" t="str">
        <v>-20.11</v>
      </c>
      <c r="I146" t="str">
        <v>9.45</v>
      </c>
      <c r="J146" t="str">
        <v>2022/06</v>
      </c>
      <c r="K146" t="str">
        <f t="array" ref="K146:T146">[1]!'6472.TW-OperatingProfitRatio,Price,PriceChangeRatio,InOutRatioNumber,Value,YearReturn,MonthReturn,WeekReturn,FinanceBalanceDif,ChipsField2'</f>
        <v>22.52</v>
      </c>
      <c r="L146">
        <v>222</v>
      </c>
      <c r="M146">
        <v>-5.93</v>
      </c>
      <c r="N146" t="str">
        <v>31.41%</v>
      </c>
      <c r="O146" t="str">
        <v>5.01億</v>
      </c>
      <c r="P146" t="str">
        <v>+2.02</v>
      </c>
      <c r="Q146" t="str">
        <v>-8.08</v>
      </c>
      <c r="R146" t="str">
        <v>-7.88</v>
      </c>
      <c r="S146">
        <v>-7</v>
      </c>
      <c r="T146">
        <v>0</v>
      </c>
      <c r="U146">
        <f t="array" ref="U146:AD146">[1]!'6472.TW-ChipsField3,ChipsField1,ChipsField25,CashAndStockDividend,CashDividendYieldRate,ProfitFourSeason,ProfitSingle,CName,ExchangeIndustry,CompanyPos'</f>
        <v>8</v>
      </c>
      <c r="V146">
        <v>-293</v>
      </c>
      <c r="W146" t="str">
        <v>2022/07/07</v>
      </c>
      <c r="X146" t="str">
        <v>4.50</v>
      </c>
      <c r="Y146">
        <v>2.0299999999999998</v>
      </c>
      <c r="Z146" t="str">
        <v>9.19</v>
      </c>
      <c r="AA146" t="str">
        <v>2.62</v>
      </c>
      <c r="AB146" t="str">
        <v>保瑞</v>
      </c>
      <c r="AC146" t="str">
        <v>上櫃生技醫療</v>
      </c>
      <c r="AD146" t="str">
        <v>專注於改良劑型新藥研發公司</v>
      </c>
      <c r="AE146" t="str">
        <f t="array" ref="AE146:AH146">[1]!'6472.TW-CName,InvestorConferenceDate,DateofMeetingofShareHolders,TradingDate'</f>
        <v>保瑞</v>
      </c>
      <c r="AF146" t="str">
        <v>2021/05/13</v>
      </c>
      <c r="AG146" t="str">
        <v>2022/08/30</v>
      </c>
      <c r="AH146" t="str">
        <v>2022/08/01</v>
      </c>
    </row>
    <row r="147" spans="1:34" x14ac:dyDescent="0.3">
      <c r="A147" t="str">
        <f t="array" ref="A147:J147">[1]!'6492.TW-ID,Name,MarketValue,Capital,NetIncomeGrowthRate,OperIncomeGrowthRate,FinancialStatementsTime,TFXRatio,MonthlyNetSalesYoY,RevenueMonth'</f>
        <v>6492</v>
      </c>
      <c r="B147" t="str">
        <v>生華科</v>
      </c>
      <c r="C147" t="str">
        <v>54.7</v>
      </c>
      <c r="D147" t="str">
        <v>8.97</v>
      </c>
      <c r="E147" t="str">
        <v>15.02</v>
      </c>
      <c r="F147" t="str">
        <v>16.47</v>
      </c>
      <c r="G147" t="str">
        <v>2022/03</v>
      </c>
      <c r="H147" t="str">
        <v>0.00</v>
      </c>
      <c r="I147" t="str">
        <v>66.00</v>
      </c>
      <c r="J147" t="str">
        <v>2022/06</v>
      </c>
      <c r="K147" t="str">
        <f t="array" ref="K147:T147">[1]!'6492.TW-OperatingProfitRatio,Price,PriceChangeRatio,InOutRatioNumber,Value,YearReturn,MonthReturn,WeekReturn,FinanceBalanceDif,ChipsField2'</f>
        <v>-31438.40</v>
      </c>
      <c r="L147">
        <v>60.9</v>
      </c>
      <c r="M147">
        <v>-1.62</v>
      </c>
      <c r="N147" t="str">
        <v>17.83%</v>
      </c>
      <c r="O147" t="str">
        <v>1403萬</v>
      </c>
      <c r="P147" t="str">
        <v>-50.69</v>
      </c>
      <c r="Q147" t="str">
        <v>-4.99</v>
      </c>
      <c r="R147" t="str">
        <v>-6.60</v>
      </c>
      <c r="S147">
        <v>0</v>
      </c>
      <c r="T147">
        <v>0</v>
      </c>
      <c r="U147">
        <f t="array" ref="U147:AD147">[1]!'6492.TW-ChipsField3,ChipsField1,ChipsField25,CashAndStockDividend,CashDividendYieldRate,ProfitFourSeason,ProfitSingle,CName,ExchangeIndustry,CompanyPos'</f>
        <v>0</v>
      </c>
      <c r="V147">
        <v>-11</v>
      </c>
      <c r="W147" t="str">
        <v>--</v>
      </c>
      <c r="X147" t="str">
        <v>0.00</v>
      </c>
      <c r="Y147">
        <v>0</v>
      </c>
      <c r="Z147" t="str">
        <v>-3.52</v>
      </c>
      <c r="AA147" t="str">
        <v>-0.87</v>
      </c>
      <c r="AB147" t="str">
        <v>生華科</v>
      </c>
      <c r="AC147" t="str">
        <v>上櫃生技醫療</v>
      </c>
      <c r="AD147" t="str">
        <v>抗癌新藥及特殊原料藥研發廠商</v>
      </c>
      <c r="AE147" t="str">
        <f t="array" ref="AE147:AH147">[1]!'6492.TW-CName,InvestorConferenceDate,DateofMeetingofShareHolders,TradingDate'</f>
        <v>生華科</v>
      </c>
      <c r="AF147" t="str">
        <v>2021/10/20</v>
      </c>
      <c r="AG147" t="str">
        <v>2022/05/27</v>
      </c>
      <c r="AH147" t="str">
        <v>2022/08/01</v>
      </c>
    </row>
    <row r="148" spans="1:34" x14ac:dyDescent="0.3">
      <c r="A148" t="str">
        <f t="array" ref="A148:J148">[1]!'6496.TW-ID,Name,MarketValue,Capital,NetIncomeGrowthRate,OperIncomeGrowthRate,FinancialStatementsTime,TFXRatio,MonthlyNetSalesYoY,RevenueMonth'</f>
        <v>6496</v>
      </c>
      <c r="B148" t="str">
        <v>科懋</v>
      </c>
      <c r="C148" t="str">
        <v>12.7</v>
      </c>
      <c r="D148" t="str">
        <v>4.67</v>
      </c>
      <c r="E148" t="str">
        <v>-493.85</v>
      </c>
      <c r="F148" t="str">
        <v>-342.97</v>
      </c>
      <c r="G148" t="str">
        <v>2022/03</v>
      </c>
      <c r="H148" t="str">
        <v>0.45</v>
      </c>
      <c r="I148" t="str">
        <v>-45.44</v>
      </c>
      <c r="J148" t="str">
        <v>2022/06</v>
      </c>
      <c r="K148" t="str">
        <f t="array" ref="K148:T148">[1]!'6496.TW-OperatingProfitRatio,Price,PriceChangeRatio,InOutRatioNumber,Value,YearReturn,MonthReturn,WeekReturn,FinanceBalanceDif,ChipsField2'</f>
        <v>-5.92</v>
      </c>
      <c r="L148">
        <v>27.2</v>
      </c>
      <c r="M148">
        <v>0.74</v>
      </c>
      <c r="N148" t="str">
        <v>45.45%</v>
      </c>
      <c r="O148" t="str">
        <v>59.4萬</v>
      </c>
      <c r="P148" t="str">
        <v>-3.20</v>
      </c>
      <c r="Q148" t="str">
        <v>-1.27</v>
      </c>
      <c r="R148" t="str">
        <v>+0.18</v>
      </c>
      <c r="S148">
        <v>2</v>
      </c>
      <c r="T148">
        <v>0</v>
      </c>
      <c r="U148">
        <f t="array" ref="U148:AD148">[1]!'6496.TW-ChipsField3,ChipsField1,ChipsField25,CashAndStockDividend,CashDividendYieldRate,ProfitFourSeason,ProfitSingle,CName,ExchangeIndustry,CompanyPos'</f>
        <v>0</v>
      </c>
      <c r="V148">
        <v>-3</v>
      </c>
      <c r="W148" t="str">
        <v>--</v>
      </c>
      <c r="X148" t="str">
        <v>0.00</v>
      </c>
      <c r="Y148">
        <v>0</v>
      </c>
      <c r="Z148" t="str">
        <v>-0.61</v>
      </c>
      <c r="AA148" t="str">
        <v>-0.22</v>
      </c>
      <c r="AB148" t="str">
        <v>科懋</v>
      </c>
      <c r="AC148" t="str">
        <v>上櫃生技醫療</v>
      </c>
      <c r="AD148" t="str">
        <v>代理藥品及檢驗試劑，並開發解毒劑之公司</v>
      </c>
      <c r="AE148" t="str">
        <f t="array" ref="AE148:AH148">[1]!'6496.TW-CName,InvestorConferenceDate,DateofMeetingofShareHolders,TradingDate'</f>
        <v>科懋</v>
      </c>
      <c r="AF148" t="str">
        <v>2022/05/13</v>
      </c>
      <c r="AG148" t="str">
        <v>2022/05/30</v>
      </c>
      <c r="AH148" t="str">
        <v>2022/08/01</v>
      </c>
    </row>
    <row r="149" spans="1:34" x14ac:dyDescent="0.3">
      <c r="A149" t="str">
        <f t="array" ref="A149:J149">[1]!'6499.TW-ID,Name,MarketValue,Capital,NetIncomeGrowthRate,OperIncomeGrowthRate,FinancialStatementsTime,TFXRatio,MonthlyNetSalesYoY,RevenueMonth'</f>
        <v>6499</v>
      </c>
      <c r="B149" t="str">
        <v>益安</v>
      </c>
      <c r="C149" t="str">
        <v>49.3</v>
      </c>
      <c r="D149" t="str">
        <v>7.32</v>
      </c>
      <c r="E149" t="str">
        <v>172.83</v>
      </c>
      <c r="F149" t="str">
        <v>169.74</v>
      </c>
      <c r="G149" t="str">
        <v>2022/03</v>
      </c>
      <c r="H149" t="str">
        <v>-16.06</v>
      </c>
      <c r="I149" t="str">
        <v>250.74</v>
      </c>
      <c r="J149" t="str">
        <v>2022/06</v>
      </c>
      <c r="K149" t="str">
        <f t="array" ref="K149:T149">[1]!'6499.TW-OperatingProfitRatio,Price,PriceChangeRatio,InOutRatioNumber,Value,YearReturn,MonthReturn,WeekReturn,FinanceBalanceDif,ChipsField2'</f>
        <v>21.43</v>
      </c>
      <c r="L149">
        <v>67.3</v>
      </c>
      <c r="M149">
        <v>0.75</v>
      </c>
      <c r="N149" t="str">
        <v>44.23%</v>
      </c>
      <c r="O149" t="str">
        <v>371萬</v>
      </c>
      <c r="P149" t="str">
        <v>+21.56</v>
      </c>
      <c r="Q149" t="str">
        <v>+0.15</v>
      </c>
      <c r="R149" t="str">
        <v>-1.61</v>
      </c>
      <c r="S149">
        <v>6</v>
      </c>
      <c r="T149">
        <v>0</v>
      </c>
      <c r="U149">
        <f t="array" ref="U149:AD149">[1]!'6499.TW-ChipsField3,ChipsField1,ChipsField25,CashAndStockDividend,CashDividendYieldRate,ProfitFourSeason,ProfitSingle,CName,ExchangeIndustry,CompanyPos'</f>
        <v>-3</v>
      </c>
      <c r="V149">
        <v>-11</v>
      </c>
      <c r="W149" t="str">
        <v>--</v>
      </c>
      <c r="X149" t="str">
        <v>3.00</v>
      </c>
      <c r="Y149">
        <v>4.46</v>
      </c>
      <c r="Z149" t="str">
        <v>31.15</v>
      </c>
      <c r="AA149" t="str">
        <v>0.92</v>
      </c>
      <c r="AB149" t="str">
        <v>益安</v>
      </c>
      <c r="AC149" t="str">
        <v>上櫃生技醫療</v>
      </c>
      <c r="AD149" t="str">
        <v>內視鏡、心導管及手術用侵入性設備研發廠商</v>
      </c>
      <c r="AE149" t="str">
        <f t="array" ref="AE149:AH149">[1]!'6499.TW-CName,InvestorConferenceDate,DateofMeetingofShareHolders,TradingDate'</f>
        <v>益安</v>
      </c>
      <c r="AF149" t="str">
        <v>--</v>
      </c>
      <c r="AG149" t="str">
        <v>2022/06/20</v>
      </c>
      <c r="AH149" t="str">
        <v>2022/08/01</v>
      </c>
    </row>
    <row r="150" spans="1:34" x14ac:dyDescent="0.3">
      <c r="A150" t="str">
        <f t="array" ref="A150:J150">[1]!'6523.TW-ID,Name,MarketValue,Capital,NetIncomeGrowthRate,OperIncomeGrowthRate,FinancialStatementsTime,TFXRatio,MonthlyNetSalesYoY,RevenueMonth'</f>
        <v>6523</v>
      </c>
      <c r="B150" t="str">
        <v>達爾膚</v>
      </c>
      <c r="C150" t="str">
        <v>37.6</v>
      </c>
      <c r="D150" t="str">
        <v>4.50</v>
      </c>
      <c r="E150" t="str">
        <v>31.07</v>
      </c>
      <c r="F150" t="str">
        <v>24.50</v>
      </c>
      <c r="G150" t="str">
        <v>2022/03</v>
      </c>
      <c r="H150" t="str">
        <v>1.90</v>
      </c>
      <c r="I150" t="str">
        <v>-14.45</v>
      </c>
      <c r="J150" t="str">
        <v>2022/06</v>
      </c>
      <c r="K150" t="str">
        <f t="array" ref="K150:T150">[1]!'6523.TW-OperatingProfitRatio,Price,PriceChangeRatio,InOutRatioNumber,Value,YearReturn,MonthReturn,WeekReturn,FinanceBalanceDif,ChipsField2'</f>
        <v>44.12</v>
      </c>
      <c r="L150">
        <v>83.5</v>
      </c>
      <c r="M150">
        <v>1.71</v>
      </c>
      <c r="N150" t="str">
        <v>56.84%</v>
      </c>
      <c r="O150" t="str">
        <v>805萬</v>
      </c>
      <c r="P150" t="str">
        <v>+24.39</v>
      </c>
      <c r="Q150" t="str">
        <v>+2.83</v>
      </c>
      <c r="R150" t="str">
        <v>-0.36</v>
      </c>
      <c r="S150">
        <v>3</v>
      </c>
      <c r="T150">
        <v>0</v>
      </c>
      <c r="U150">
        <f t="array" ref="U150:AD150">[1]!'6523.TW-ChipsField3,ChipsField1,ChipsField25,CashAndStockDividend,CashDividendYieldRate,ProfitFourSeason,ProfitSingle,CName,ExchangeIndustry,CompanyPos'</f>
        <v>3</v>
      </c>
      <c r="V150">
        <v>1</v>
      </c>
      <c r="W150" t="str">
        <v>2022/06/23</v>
      </c>
      <c r="X150" t="str">
        <v>2.00</v>
      </c>
      <c r="Y150">
        <v>18.23</v>
      </c>
      <c r="Z150" t="str">
        <v>7.16</v>
      </c>
      <c r="AA150" t="str">
        <v>2.46</v>
      </c>
      <c r="AB150" t="str">
        <v>達爾膚</v>
      </c>
      <c r="AC150" t="str">
        <v>上櫃生技醫療</v>
      </c>
      <c r="AD150" t="str">
        <v>台灣第一大醫美品牌DR.WU</v>
      </c>
      <c r="AE150" t="str">
        <f t="array" ref="AE150:AH150">[1]!'6523.TW-CName,InvestorConferenceDate,DateofMeetingofShareHolders,TradingDate'</f>
        <v>達爾膚</v>
      </c>
      <c r="AF150" t="str">
        <v>2021/11/17</v>
      </c>
      <c r="AG150" t="str">
        <v>2022/06/08</v>
      </c>
      <c r="AH150" t="str">
        <v>2022/08/01</v>
      </c>
    </row>
    <row r="151" spans="1:34" x14ac:dyDescent="0.3">
      <c r="A151" t="str">
        <f t="array" ref="A151:J151">[1]!'6527.TW-ID,Name,MarketValue,Capital,NetIncomeGrowthRate,OperIncomeGrowthRate,FinancialStatementsTime,TFXRatio,MonthlyNetSalesYoY,RevenueMonth'</f>
        <v>6527</v>
      </c>
      <c r="B151" t="str">
        <v>明達醫</v>
      </c>
      <c r="C151" t="str">
        <v>17.9</v>
      </c>
      <c r="D151" t="str">
        <v>2.43</v>
      </c>
      <c r="E151" t="str">
        <v>15.38</v>
      </c>
      <c r="F151" t="str">
        <v>-15.04</v>
      </c>
      <c r="G151" t="str">
        <v>2022/03</v>
      </c>
      <c r="H151" t="str">
        <v>38.79</v>
      </c>
      <c r="I151" t="str">
        <v>63.71</v>
      </c>
      <c r="J151" t="str">
        <v>2022/06</v>
      </c>
      <c r="K151" t="str">
        <f t="array" ref="K151:T151">[1]!'6527.TW-OperatingProfitRatio,Price,PriceChangeRatio,InOutRatioNumber,Value,YearReturn,MonthReturn,WeekReturn,FinanceBalanceDif,ChipsField2'</f>
        <v>12.59</v>
      </c>
      <c r="L151">
        <v>73.8</v>
      </c>
      <c r="M151">
        <v>9.99</v>
      </c>
      <c r="N151" t="str">
        <v>64.58%</v>
      </c>
      <c r="O151" t="str">
        <v>1.84億</v>
      </c>
      <c r="P151" t="str">
        <v>+59.83</v>
      </c>
      <c r="Q151" t="str">
        <v>+71.43</v>
      </c>
      <c r="R151" t="str">
        <v>+21.18</v>
      </c>
      <c r="S151">
        <v>0</v>
      </c>
      <c r="T151">
        <v>0</v>
      </c>
      <c r="U151">
        <f t="array" ref="U151:AD151">[1]!'6527.TW-ChipsField3,ChipsField1,ChipsField25,CashAndStockDividend,CashDividendYieldRate,ProfitFourSeason,ProfitSingle,CName,ExchangeIndustry,CompanyPos'</f>
        <v>0</v>
      </c>
      <c r="V151">
        <v>21</v>
      </c>
      <c r="W151" t="str">
        <v>2022/07/01</v>
      </c>
      <c r="X151" t="str">
        <v>1.94</v>
      </c>
      <c r="Y151">
        <v>2.63</v>
      </c>
      <c r="Z151" t="str">
        <v>3.36</v>
      </c>
      <c r="AA151" t="str">
        <v>0.92</v>
      </c>
      <c r="AB151" t="str">
        <v>明達醫</v>
      </c>
      <c r="AC151" t="str">
        <v>上櫃生技醫療</v>
      </c>
      <c r="AD151" t="str">
        <v>眼科診斷型儀器研發及組裝廠商</v>
      </c>
      <c r="AE151" t="str">
        <f t="array" ref="AE151:AH151">[1]!'6527.TW-CName,InvestorConferenceDate,DateofMeetingofShareHolders,TradingDate'</f>
        <v>明達醫</v>
      </c>
      <c r="AF151" t="str">
        <v>2021/11/24</v>
      </c>
      <c r="AG151" t="str">
        <v>2022/05/26</v>
      </c>
      <c r="AH151" t="str">
        <v>2022/08/01</v>
      </c>
    </row>
    <row r="152" spans="1:34" x14ac:dyDescent="0.3">
      <c r="A152" t="str">
        <f t="array" ref="A152:J152">[1]!'6535.TW-ID,Name,MarketValue,Capital,NetIncomeGrowthRate,OperIncomeGrowthRate,FinancialStatementsTime,TFXRatio,MonthlyNetSalesYoY,RevenueMonth'</f>
        <v>6535</v>
      </c>
      <c r="B152" t="str">
        <v>順藥</v>
      </c>
      <c r="C152" t="str">
        <v>58.4</v>
      </c>
      <c r="D152" t="str">
        <v>16.33</v>
      </c>
      <c r="E152" t="str">
        <v>-373.17</v>
      </c>
      <c r="F152" t="str">
        <v>29.73</v>
      </c>
      <c r="G152" t="str">
        <v>2022/03</v>
      </c>
      <c r="H152" t="str">
        <v>3840.00</v>
      </c>
      <c r="I152" t="str">
        <v>9.24</v>
      </c>
      <c r="J152" t="str">
        <v>2022/06</v>
      </c>
      <c r="K152" t="str">
        <f t="array" ref="K152:T152">[1]!'6535.TW-OperatingProfitRatio,Price,PriceChangeRatio,InOutRatioNumber,Value,YearReturn,MonthReturn,WeekReturn,FinanceBalanceDif,ChipsField2'</f>
        <v>-2128.09</v>
      </c>
      <c r="L152">
        <v>35.799999999999997</v>
      </c>
      <c r="M152">
        <v>-0.69</v>
      </c>
      <c r="N152" t="str">
        <v>21.48%</v>
      </c>
      <c r="O152" t="str">
        <v>544萬</v>
      </c>
      <c r="P152" t="str">
        <v>+3.02</v>
      </c>
      <c r="Q152" t="str">
        <v>+2.14</v>
      </c>
      <c r="R152" t="str">
        <v>+0.28</v>
      </c>
      <c r="S152">
        <v>0</v>
      </c>
      <c r="T152">
        <v>0</v>
      </c>
      <c r="U152">
        <f t="array" ref="U152:AD152">[1]!'6535.TW-ChipsField3,ChipsField1,ChipsField25,CashAndStockDividend,CashDividendYieldRate,ProfitFourSeason,ProfitSingle,CName,ExchangeIndustry,CompanyPos'</f>
        <v>0</v>
      </c>
      <c r="V152">
        <v>-39</v>
      </c>
      <c r="W152" t="str">
        <v>--</v>
      </c>
      <c r="X152" t="str">
        <v>0.00</v>
      </c>
      <c r="Y152">
        <v>0</v>
      </c>
      <c r="Z152" t="str">
        <v>-1.02</v>
      </c>
      <c r="AA152" t="str">
        <v>-1.14</v>
      </c>
      <c r="AB152" t="str">
        <v>順藥</v>
      </c>
      <c r="AC152" t="str">
        <v>上櫃生技醫療</v>
      </c>
      <c r="AD152" t="str">
        <v>晟德旗下新藥研發公司</v>
      </c>
      <c r="AE152" t="str">
        <f t="array" ref="AE152:AH152">[1]!'6535.TW-CName,InvestorConferenceDate,DateofMeetingofShareHolders,TradingDate'</f>
        <v>順藥</v>
      </c>
      <c r="AF152" t="str">
        <v>2021/08/24</v>
      </c>
      <c r="AG152" t="str">
        <v>2022/05/24</v>
      </c>
      <c r="AH152" t="str">
        <v>2022/08/01</v>
      </c>
    </row>
    <row r="153" spans="1:34" x14ac:dyDescent="0.3">
      <c r="A153" t="str">
        <f t="array" ref="A153:J153">[1]!'6547.TW-ID,Name,MarketValue,Capital,NetIncomeGrowthRate,OperIncomeGrowthRate,FinancialStatementsTime,TFXRatio,MonthlyNetSalesYoY,RevenueMonth'</f>
        <v>6547</v>
      </c>
      <c r="B153" t="str">
        <v>高端疫苗</v>
      </c>
      <c r="C153" t="str">
        <v>459.7</v>
      </c>
      <c r="D153" t="str">
        <v>22.10</v>
      </c>
      <c r="E153" t="str">
        <v>10.54</v>
      </c>
      <c r="F153" t="str">
        <v>46.50</v>
      </c>
      <c r="G153" t="str">
        <v>2022/03</v>
      </c>
      <c r="H153" t="str">
        <v>-20.83</v>
      </c>
      <c r="I153" t="str">
        <v>96.78</v>
      </c>
      <c r="J153" t="str">
        <v>2022/06</v>
      </c>
      <c r="K153" t="str">
        <f t="array" ref="K153:T153">[1]!'6547.TW-OperatingProfitRatio,Price,PriceChangeRatio,InOutRatioNumber,Value,YearReturn,MonthReturn,WeekReturn,FinanceBalanceDif,ChipsField2'</f>
        <v>-46.38</v>
      </c>
      <c r="L153">
        <v>208.5</v>
      </c>
      <c r="M153">
        <v>1.21</v>
      </c>
      <c r="N153" t="str">
        <v>55.42%</v>
      </c>
      <c r="O153" t="str">
        <v>4.45億</v>
      </c>
      <c r="P153" t="str">
        <v>-24.86</v>
      </c>
      <c r="Q153" t="str">
        <v>+7.75</v>
      </c>
      <c r="R153" t="str">
        <v>+4.77</v>
      </c>
      <c r="S153">
        <v>-73</v>
      </c>
      <c r="T153">
        <v>0</v>
      </c>
      <c r="U153">
        <f t="array" ref="U153:AD153">[1]!'6547.TW-ChipsField3,ChipsField1,ChipsField25,CashAndStockDividend,CashDividendYieldRate,ProfitFourSeason,ProfitSingle,CName,ExchangeIndustry,CompanyPos'</f>
        <v>55</v>
      </c>
      <c r="V153">
        <v>-23</v>
      </c>
      <c r="W153" t="str">
        <v>--</v>
      </c>
      <c r="X153" t="str">
        <v>4.83</v>
      </c>
      <c r="Y153">
        <v>2.3199999999999998</v>
      </c>
      <c r="Z153" t="str">
        <v>6.72</v>
      </c>
      <c r="AA153" t="str">
        <v>-0.66</v>
      </c>
      <c r="AB153" t="str">
        <v>高端疫苗</v>
      </c>
      <c r="AC153" t="str">
        <v>上櫃生技醫療</v>
      </c>
      <c r="AD153" t="str">
        <v>基亞旗下腸病毒及流感疫苗研發廠</v>
      </c>
      <c r="AE153" t="str">
        <f t="array" ref="AE153:AH153">[1]!'6547.TW-CName,InvestorConferenceDate,DateofMeetingofShareHolders,TradingDate'</f>
        <v>高端疫苗</v>
      </c>
      <c r="AF153" t="str">
        <v>--</v>
      </c>
      <c r="AG153" t="str">
        <v>2022/06/30</v>
      </c>
      <c r="AH153" t="str">
        <v>2022/08/01</v>
      </c>
    </row>
    <row r="154" spans="1:34" x14ac:dyDescent="0.3">
      <c r="A154" t="str">
        <f t="array" ref="A154:J154">[1]!'6569.TW-ID,Name,MarketValue,Capital,NetIncomeGrowthRate,OperIncomeGrowthRate,FinancialStatementsTime,TFXRatio,MonthlyNetSalesYoY,RevenueMonth'</f>
        <v>6569</v>
      </c>
      <c r="B154" t="str">
        <v>醫揚</v>
      </c>
      <c r="C154" t="str">
        <v>32.1</v>
      </c>
      <c r="D154" t="str">
        <v>3.33</v>
      </c>
      <c r="E154" t="str">
        <v>149.42</v>
      </c>
      <c r="F154" t="str">
        <v>794.61</v>
      </c>
      <c r="G154" t="str">
        <v>2022/03</v>
      </c>
      <c r="H154" t="str">
        <v>13.48</v>
      </c>
      <c r="I154" t="str">
        <v>25.18</v>
      </c>
      <c r="J154" t="str">
        <v>2022/06</v>
      </c>
      <c r="K154" t="str">
        <f t="array" ref="K154:T154">[1]!'6569.TW-OperatingProfitRatio,Price,PriceChangeRatio,InOutRatioNumber,Value,YearReturn,MonthReturn,WeekReturn,FinanceBalanceDif,ChipsField2'</f>
        <v>7.77</v>
      </c>
      <c r="L154" t="str">
        <v>--</v>
      </c>
      <c r="M154" t="str">
        <v>--</v>
      </c>
      <c r="N154" t="str">
        <v>--</v>
      </c>
      <c r="O154" t="str">
        <v>--</v>
      </c>
      <c r="P154" t="str">
        <v>-12.67</v>
      </c>
      <c r="Q154" t="str">
        <v>+0.21</v>
      </c>
      <c r="R154" t="str">
        <v>-0.52</v>
      </c>
      <c r="S154">
        <v>0</v>
      </c>
      <c r="T154">
        <v>0</v>
      </c>
      <c r="U154">
        <f t="array" ref="U154:AD154">[1]!'6569.TW-ChipsField3,ChipsField1,ChipsField25,CashAndStockDividend,CashDividendYieldRate,ProfitFourSeason,ProfitSingle,CName,ExchangeIndustry,CompanyPos'</f>
        <v>0</v>
      </c>
      <c r="V154">
        <v>-1</v>
      </c>
      <c r="W154" t="str">
        <v>2022/06/29</v>
      </c>
      <c r="X154" t="str">
        <v>4.00</v>
      </c>
      <c r="Y154">
        <v>4.1500000000000004</v>
      </c>
      <c r="Z154" t="str">
        <v>5.14</v>
      </c>
      <c r="AA154" t="str">
        <v>1.39</v>
      </c>
      <c r="AB154" t="str">
        <v>醫揚</v>
      </c>
      <c r="AC154" t="str">
        <v>上櫃生技醫療</v>
      </c>
      <c r="AD154" t="str">
        <v>研揚科技旗下之醫療用工業電腦公司</v>
      </c>
      <c r="AE154" t="str">
        <f t="array" ref="AE154:AH154">[1]!'6569.TW-CName,InvestorConferenceDate,DateofMeetingofShareHolders,TradingDate'</f>
        <v>醫揚</v>
      </c>
      <c r="AF154" t="str">
        <v>2021/11/22</v>
      </c>
      <c r="AG154" t="str">
        <v>2022/05/31</v>
      </c>
      <c r="AH154" t="str">
        <v>2022/08/01</v>
      </c>
    </row>
    <row r="155" spans="1:34" x14ac:dyDescent="0.3">
      <c r="A155" t="str">
        <f t="array" ref="A155:J155">[1]!'6574.TW-ID,Name,MarketValue,Capital,NetIncomeGrowthRate,OperIncomeGrowthRate,FinancialStatementsTime,TFXRatio,MonthlyNetSalesYoY,RevenueMonth'</f>
        <v>6574</v>
      </c>
      <c r="B155" t="str">
        <v>霈方</v>
      </c>
      <c r="C155" t="str">
        <v>11.1</v>
      </c>
      <c r="D155" t="str">
        <v>2.20</v>
      </c>
      <c r="E155" t="str">
        <v>65.85</v>
      </c>
      <c r="F155" t="str">
        <v>83.07</v>
      </c>
      <c r="G155" t="str">
        <v>2022/03</v>
      </c>
      <c r="H155" t="str">
        <v>-2.67</v>
      </c>
      <c r="I155" t="str">
        <v>105.17</v>
      </c>
      <c r="J155" t="str">
        <v>2022/06</v>
      </c>
      <c r="K155" t="str">
        <f t="array" ref="K155:T155">[1]!'6574.TW-OperatingProfitRatio,Price,PriceChangeRatio,InOutRatioNumber,Value,YearReturn,MonthReturn,WeekReturn,FinanceBalanceDif,ChipsField2'</f>
        <v>12.54</v>
      </c>
      <c r="L155" t="str">
        <v>--</v>
      </c>
      <c r="M155" t="str">
        <v>--</v>
      </c>
      <c r="N155" t="str">
        <v>--</v>
      </c>
      <c r="O155" t="str">
        <v>--</v>
      </c>
      <c r="P155" t="str">
        <v>-3.43</v>
      </c>
      <c r="Q155" t="str">
        <v>+1.92</v>
      </c>
      <c r="R155" t="str">
        <v>+0.40</v>
      </c>
      <c r="S155">
        <v>0</v>
      </c>
      <c r="T155">
        <v>0</v>
      </c>
      <c r="U155">
        <f t="array" ref="U155:AD155">[1]!'6574.TW-ChipsField3,ChipsField1,ChipsField25,CashAndStockDividend,CashDividendYieldRate,ProfitFourSeason,ProfitSingle,CName,ExchangeIndustry,CompanyPos'</f>
        <v>0</v>
      </c>
      <c r="V155">
        <v>0</v>
      </c>
      <c r="W155" t="str">
        <v>--</v>
      </c>
      <c r="X155" t="str">
        <v>1.14</v>
      </c>
      <c r="Y155">
        <v>2.2599999999999998</v>
      </c>
      <c r="Z155" t="str">
        <v>0.95</v>
      </c>
      <c r="AA155" t="str">
        <v>0.80</v>
      </c>
      <c r="AB155" t="str">
        <v>霈方</v>
      </c>
      <c r="AC155" t="str">
        <v>上櫃生技醫療</v>
      </c>
      <c r="AD155" t="str">
        <v>台灣保養品集團</v>
      </c>
      <c r="AE155" t="str">
        <f t="array" ref="AE155:AH155">[1]!'6574.TW-CName,InvestorConferenceDate,DateofMeetingofShareHolders,TradingDate'</f>
        <v>霈方</v>
      </c>
      <c r="AF155" t="str">
        <v>2021/12/20</v>
      </c>
      <c r="AG155" t="str">
        <v>2022/06/23</v>
      </c>
      <c r="AH155" t="str">
        <v>2022/08/01</v>
      </c>
    </row>
    <row r="156" spans="1:34" x14ac:dyDescent="0.3">
      <c r="A156" t="str">
        <f t="array" ref="A156:J156">[1]!'6576.TW-ID,Name,MarketValue,Capital,NetIncomeGrowthRate,OperIncomeGrowthRate,FinancialStatementsTime,TFXRatio,MonthlyNetSalesYoY,RevenueMonth'</f>
        <v>6576</v>
      </c>
      <c r="B156" t="str">
        <v>逸達</v>
      </c>
      <c r="C156" t="str">
        <v>133.4</v>
      </c>
      <c r="D156" t="str">
        <v>11.80</v>
      </c>
      <c r="E156" t="str">
        <v>23.18</v>
      </c>
      <c r="F156" t="str">
        <v>25.54</v>
      </c>
      <c r="G156" t="str">
        <v>2022/03</v>
      </c>
      <c r="H156" t="str">
        <v>-95.33</v>
      </c>
      <c r="I156" t="str">
        <v>-95.79</v>
      </c>
      <c r="J156" t="str">
        <v>2022/06</v>
      </c>
      <c r="K156" t="str">
        <f t="array" ref="K156:T156">[1]!'6576.TW-OperatingProfitRatio,Price,PriceChangeRatio,InOutRatioNumber,Value,YearReturn,MonthReturn,WeekReturn,FinanceBalanceDif,ChipsField2'</f>
        <v>-179.63</v>
      </c>
      <c r="L156">
        <v>113</v>
      </c>
      <c r="M156">
        <v>-1.31</v>
      </c>
      <c r="N156" t="str">
        <v>48.77%</v>
      </c>
      <c r="O156" t="str">
        <v>3819萬</v>
      </c>
      <c r="P156" t="str">
        <v>+26.82</v>
      </c>
      <c r="Q156" t="str">
        <v>-5.04</v>
      </c>
      <c r="R156" t="str">
        <v>-1.31</v>
      </c>
      <c r="S156">
        <v>0</v>
      </c>
      <c r="T156">
        <v>0</v>
      </c>
      <c r="U156">
        <f t="array" ref="U156:AD156">[1]!'6576.TW-ChipsField3,ChipsField1,ChipsField25,CashAndStockDividend,CashDividendYieldRate,ProfitFourSeason,ProfitSingle,CName,ExchangeIndustry,CompanyPos'</f>
        <v>0</v>
      </c>
      <c r="V156">
        <v>-7</v>
      </c>
      <c r="W156" t="str">
        <v>--</v>
      </c>
      <c r="X156" t="str">
        <v>0.00</v>
      </c>
      <c r="Y156">
        <v>0</v>
      </c>
      <c r="Z156" t="str">
        <v>-4.53</v>
      </c>
      <c r="AA156" t="str">
        <v>-1.04</v>
      </c>
      <c r="AB156" t="str">
        <v>逸達</v>
      </c>
      <c r="AC156" t="str">
        <v>上櫃生技醫療</v>
      </c>
      <c r="AD156" t="str">
        <v>新劑型配方新藥研發廠</v>
      </c>
      <c r="AE156" t="str">
        <f t="array" ref="AE156:AH156">[1]!'6576.TW-CName,InvestorConferenceDate,DateofMeetingofShareHolders,TradingDate'</f>
        <v>逸達</v>
      </c>
      <c r="AF156" t="str">
        <v>2022/07/11</v>
      </c>
      <c r="AG156" t="str">
        <v>2022/06/29</v>
      </c>
      <c r="AH156" t="str">
        <v>2022/08/01</v>
      </c>
    </row>
    <row r="157" spans="1:34" x14ac:dyDescent="0.3">
      <c r="A157" t="str">
        <f t="array" ref="A157:J157">[1]!'6589.TW-ID,Name,MarketValue,Capital,NetIncomeGrowthRate,OperIncomeGrowthRate,FinancialStatementsTime,TFXRatio,MonthlyNetSalesYoY,RevenueMonth'</f>
        <v>6589</v>
      </c>
      <c r="B157" t="str">
        <v>台康生技</v>
      </c>
      <c r="C157" t="str">
        <v>275.4</v>
      </c>
      <c r="D157" t="str">
        <v>30.45</v>
      </c>
      <c r="E157" t="str">
        <v>106.02</v>
      </c>
      <c r="F157" t="str">
        <v>84.48</v>
      </c>
      <c r="G157" t="str">
        <v>2022/03</v>
      </c>
      <c r="H157" t="str">
        <v>-8.61</v>
      </c>
      <c r="I157" t="str">
        <v>-4.45</v>
      </c>
      <c r="J157" t="str">
        <v>2022/06</v>
      </c>
      <c r="K157" t="str">
        <f t="array" ref="K157:T157">[1]!'6589.TW-OperatingProfitRatio,Price,PriceChangeRatio,InOutRatioNumber,Value,YearReturn,MonthReturn,WeekReturn,FinanceBalanceDif,ChipsField2'</f>
        <v>-9.73</v>
      </c>
      <c r="L157">
        <v>90.7</v>
      </c>
      <c r="M157">
        <v>1.23</v>
      </c>
      <c r="N157" t="str">
        <v>56.06%</v>
      </c>
      <c r="O157" t="str">
        <v>1.40億</v>
      </c>
      <c r="P157" t="str">
        <v>-29.69</v>
      </c>
      <c r="Q157" t="str">
        <v>+9.28</v>
      </c>
      <c r="R157" t="str">
        <v>+0.33</v>
      </c>
      <c r="S157">
        <v>39</v>
      </c>
      <c r="T157">
        <v>0</v>
      </c>
      <c r="U157">
        <f t="array" ref="U157:AD157">[1]!'6589.TW-ChipsField3,ChipsField1,ChipsField25,CashAndStockDividend,CashDividendYieldRate,ProfitFourSeason,ProfitSingle,CName,ExchangeIndustry,CompanyPos'</f>
        <v>-1</v>
      </c>
      <c r="V157">
        <v>-19</v>
      </c>
      <c r="W157" t="str">
        <v>--</v>
      </c>
      <c r="X157" t="str">
        <v>0.00</v>
      </c>
      <c r="Y157">
        <v>0</v>
      </c>
      <c r="Z157" t="str">
        <v>0.79</v>
      </c>
      <c r="AA157" t="str">
        <v>0.05</v>
      </c>
      <c r="AB157" t="str">
        <v>台康生技</v>
      </c>
      <c r="AC157" t="str">
        <v>上櫃生技醫療</v>
      </c>
      <c r="AD157" t="str">
        <v>台灣生技藥品委託開發生產服務廠商</v>
      </c>
      <c r="AE157" t="str">
        <f t="array" ref="AE157:AH157">[1]!'6589.TW-CName,InvestorConferenceDate,DateofMeetingofShareHolders,TradingDate'</f>
        <v>台康生技</v>
      </c>
      <c r="AF157" t="str">
        <v>--</v>
      </c>
      <c r="AG157" t="str">
        <v>2022/06/10</v>
      </c>
      <c r="AH157" t="str">
        <v>2022/08/01</v>
      </c>
    </row>
    <row r="158" spans="1:34" x14ac:dyDescent="0.3">
      <c r="A158" t="str">
        <f t="array" ref="A158:J158">[1]!'6612.TW-ID,Name,MarketValue,Capital,NetIncomeGrowthRate,OperIncomeGrowthRate,FinancialStatementsTime,TFXRatio,MonthlyNetSalesYoY,RevenueMonth'</f>
        <v>6612</v>
      </c>
      <c r="B158" t="str">
        <v>奈米醫材</v>
      </c>
      <c r="C158" t="str">
        <v>25.8</v>
      </c>
      <c r="D158" t="str">
        <v>3.40</v>
      </c>
      <c r="E158" t="str">
        <v>2087.95</v>
      </c>
      <c r="F158" t="str">
        <v>202.74</v>
      </c>
      <c r="G158" t="str">
        <v>2022/03</v>
      </c>
      <c r="H158" t="str">
        <v>-13.54</v>
      </c>
      <c r="I158" t="str">
        <v>25.26</v>
      </c>
      <c r="J158" t="str">
        <v>2022/06</v>
      </c>
      <c r="K158" t="str">
        <f t="array" ref="K158:T158">[1]!'6612.TW-OperatingProfitRatio,Price,PriceChangeRatio,InOutRatioNumber,Value,YearReturn,MonthReturn,WeekReturn,FinanceBalanceDif,ChipsField2'</f>
        <v>30.13</v>
      </c>
      <c r="L158">
        <v>75.900000000000006</v>
      </c>
      <c r="M158">
        <v>1.2</v>
      </c>
      <c r="N158" t="str">
        <v>52.94%</v>
      </c>
      <c r="O158" t="str">
        <v>257萬</v>
      </c>
      <c r="P158" t="str">
        <v>+21.14</v>
      </c>
      <c r="Q158" t="str">
        <v>+3.55</v>
      </c>
      <c r="R158" t="str">
        <v>+0.26</v>
      </c>
      <c r="S158">
        <v>2</v>
      </c>
      <c r="T158">
        <v>0</v>
      </c>
      <c r="U158">
        <f t="array" ref="U158:AD158">[1]!'6612.TW-ChipsField3,ChipsField1,ChipsField25,CashAndStockDividend,CashDividendYieldRate,ProfitFourSeason,ProfitSingle,CName,ExchangeIndustry,CompanyPos'</f>
        <v>0</v>
      </c>
      <c r="V158">
        <v>13</v>
      </c>
      <c r="W158" t="str">
        <v>2022/04/07</v>
      </c>
      <c r="X158" t="str">
        <v>0.50</v>
      </c>
      <c r="Y158">
        <v>0.66</v>
      </c>
      <c r="Z158" t="str">
        <v>2.44</v>
      </c>
      <c r="AA158" t="str">
        <v>0.88</v>
      </c>
      <c r="AB158" t="str">
        <v>奈米醫材</v>
      </c>
      <c r="AC158" t="str">
        <v>上櫃生技醫療</v>
      </c>
      <c r="AD158" t="str">
        <v>人工水晶體及其植入系統製造商</v>
      </c>
      <c r="AE158" t="str">
        <f t="array" ref="AE158:AH158">[1]!'6612.TW-CName,InvestorConferenceDate,DateofMeetingofShareHolders,TradingDate'</f>
        <v>奈米醫材</v>
      </c>
      <c r="AF158" t="str">
        <v>--</v>
      </c>
      <c r="AG158" t="str">
        <v>2022/06/08</v>
      </c>
      <c r="AH158" t="str">
        <v>2022/08/01</v>
      </c>
    </row>
    <row r="159" spans="1:34" x14ac:dyDescent="0.3">
      <c r="A159" t="str">
        <f t="array" ref="A159:J159">[1]!'6615.TW-ID,Name,MarketValue,Capital,NetIncomeGrowthRate,OperIncomeGrowthRate,FinancialStatementsTime,TFXRatio,MonthlyNetSalesYoY,RevenueMonth'</f>
        <v>6615</v>
      </c>
      <c r="B159" t="str">
        <v>慧智</v>
      </c>
      <c r="C159" t="str">
        <v>9.9</v>
      </c>
      <c r="D159" t="str">
        <v>2.14</v>
      </c>
      <c r="E159" t="str">
        <v>61.42</v>
      </c>
      <c r="F159" t="str">
        <v>42.92</v>
      </c>
      <c r="G159" t="str">
        <v>2022/03</v>
      </c>
      <c r="H159" t="str">
        <v>-5.99</v>
      </c>
      <c r="I159" t="str">
        <v>-7.53</v>
      </c>
      <c r="J159" t="str">
        <v>2022/06</v>
      </c>
      <c r="K159" t="str">
        <f t="array" ref="K159:T159">[1]!'6615.TW-OperatingProfitRatio,Price,PriceChangeRatio,InOutRatioNumber,Value,YearReturn,MonthReturn,WeekReturn,FinanceBalanceDif,ChipsField2'</f>
        <v>6.80</v>
      </c>
      <c r="L159">
        <v>46.5</v>
      </c>
      <c r="M159">
        <v>-0.21</v>
      </c>
      <c r="N159" t="str">
        <v>85.71%</v>
      </c>
      <c r="O159" t="str">
        <v>32.7萬</v>
      </c>
      <c r="P159" t="str">
        <v>+0.36</v>
      </c>
      <c r="Q159" t="str">
        <v>+8.04</v>
      </c>
      <c r="R159" t="str">
        <v>+0.98</v>
      </c>
      <c r="S159">
        <v>0</v>
      </c>
      <c r="T159">
        <v>0</v>
      </c>
      <c r="U159">
        <f t="array" ref="U159:AD159">[1]!'6615.TW-ChipsField3,ChipsField1,ChipsField25,CashAndStockDividend,CashDividendYieldRate,ProfitFourSeason,ProfitSingle,CName,ExchangeIndustry,CompanyPos'</f>
        <v>0</v>
      </c>
      <c r="V159">
        <v>0</v>
      </c>
      <c r="W159" t="str">
        <v>2022/07/06</v>
      </c>
      <c r="X159" t="str">
        <v>2.00</v>
      </c>
      <c r="Y159">
        <v>4.3</v>
      </c>
      <c r="Z159" t="str">
        <v>2.93</v>
      </c>
      <c r="AA159" t="str">
        <v>0.67</v>
      </c>
      <c r="AB159" t="str">
        <v>慧智</v>
      </c>
      <c r="AC159" t="str">
        <v>上櫃生技醫療</v>
      </c>
      <c r="AD159" t="str">
        <v>台灣基因檢測產業領導廠商</v>
      </c>
      <c r="AE159" t="str">
        <f t="array" ref="AE159:AH159">[1]!'6615.TW-CName,InvestorConferenceDate,DateofMeetingofShareHolders,TradingDate'</f>
        <v>慧智</v>
      </c>
      <c r="AF159" t="str">
        <v>2022/04/13</v>
      </c>
      <c r="AG159" t="str">
        <v>2022/06/15</v>
      </c>
      <c r="AH159" t="str">
        <v>2022/08/01</v>
      </c>
    </row>
    <row r="160" spans="1:34" x14ac:dyDescent="0.3">
      <c r="A160" t="str">
        <f t="array" ref="A160:J160">[1]!'6649.TW-ID,Name,MarketValue,Capital,NetIncomeGrowthRate,OperIncomeGrowthRate,FinancialStatementsTime,TFXRatio,MonthlyNetSalesYoY,RevenueMonth'</f>
        <v>6649</v>
      </c>
      <c r="B160" t="str">
        <v>台生材</v>
      </c>
      <c r="C160" t="str">
        <v>11.8</v>
      </c>
      <c r="D160" t="str">
        <v>4.20</v>
      </c>
      <c r="E160" t="str">
        <v>65.11</v>
      </c>
      <c r="F160" t="str">
        <v>68.31</v>
      </c>
      <c r="G160" t="str">
        <v>2022/03</v>
      </c>
      <c r="H160" t="str">
        <v>-11.68</v>
      </c>
      <c r="I160" t="str">
        <v>76.47</v>
      </c>
      <c r="J160" t="str">
        <v>2022/06</v>
      </c>
      <c r="K160" t="str">
        <f t="array" ref="K160:T160">[1]!'6649.TW-OperatingProfitRatio,Price,PriceChangeRatio,InOutRatioNumber,Value,YearReturn,MonthReturn,WeekReturn,FinanceBalanceDif,ChipsField2'</f>
        <v>-34.80</v>
      </c>
      <c r="L160">
        <v>28.2</v>
      </c>
      <c r="M160">
        <v>-2.42</v>
      </c>
      <c r="N160" t="str">
        <v>13.12%</v>
      </c>
      <c r="O160" t="str">
        <v>454萬</v>
      </c>
      <c r="P160" t="str">
        <v>-1.05</v>
      </c>
      <c r="Q160" t="str">
        <v>+8.67</v>
      </c>
      <c r="R160" t="str">
        <v>-6.62</v>
      </c>
      <c r="S160">
        <v>0</v>
      </c>
      <c r="T160">
        <v>0</v>
      </c>
      <c r="U160">
        <f t="array" ref="U160:AD160">[1]!'6649.TW-ChipsField3,ChipsField1,ChipsField25,CashAndStockDividend,CashDividendYieldRate,ProfitFourSeason,ProfitSingle,CName,ExchangeIndustry,CompanyPos'</f>
        <v>0</v>
      </c>
      <c r="V160">
        <v>24</v>
      </c>
      <c r="W160" t="str">
        <v>--</v>
      </c>
      <c r="X160" t="str">
        <v>0.00</v>
      </c>
      <c r="Y160">
        <v>0</v>
      </c>
      <c r="Z160" t="str">
        <v>-1.14</v>
      </c>
      <c r="AA160" t="str">
        <v>-0.12</v>
      </c>
      <c r="AB160" t="str">
        <v>台生材</v>
      </c>
      <c r="AC160" t="str">
        <v>上櫃生技醫療</v>
      </c>
      <c r="AD160" t="str">
        <v>主要從事泡沫式人工腦膜研發</v>
      </c>
      <c r="AE160" t="str">
        <f t="array" ref="AE160:AH160">[1]!'6649.TW-CName,InvestorConferenceDate,DateofMeetingofShareHolders,TradingDate'</f>
        <v>台生材</v>
      </c>
      <c r="AF160" t="str">
        <v>2021/09/14</v>
      </c>
      <c r="AG160" t="str">
        <v>2022/06/08</v>
      </c>
      <c r="AH160" t="str">
        <v>2022/08/01</v>
      </c>
    </row>
    <row r="161" spans="1:34" x14ac:dyDescent="0.3">
      <c r="A161" t="str">
        <f t="array" ref="A161:J161">[1]!'6661.TW-ID,Name,MarketValue,Capital,NetIncomeGrowthRate,OperIncomeGrowthRate,FinancialStatementsTime,TFXRatio,MonthlyNetSalesYoY,RevenueMonth'</f>
        <v>6661</v>
      </c>
      <c r="B161" t="str">
        <v>威健生技</v>
      </c>
      <c r="C161" t="str">
        <v>5.3</v>
      </c>
      <c r="D161" t="str">
        <v>2.33</v>
      </c>
      <c r="E161" t="str">
        <v>8.02</v>
      </c>
      <c r="F161" t="str">
        <v>7.45</v>
      </c>
      <c r="G161" t="str">
        <v>2022/03</v>
      </c>
      <c r="H161" t="str">
        <v>76.13</v>
      </c>
      <c r="I161" t="str">
        <v>35.61</v>
      </c>
      <c r="J161" t="str">
        <v>2022/06</v>
      </c>
      <c r="K161" t="str">
        <f t="array" ref="K161:T161">[1]!'6661.TW-OperatingProfitRatio,Price,PriceChangeRatio,InOutRatioNumber,Value,YearReturn,MonthReturn,WeekReturn,FinanceBalanceDif,ChipsField2'</f>
        <v>-5.99</v>
      </c>
      <c r="L161">
        <v>22.95</v>
      </c>
      <c r="M161">
        <v>-0.22</v>
      </c>
      <c r="N161" t="str">
        <v>75.00%</v>
      </c>
      <c r="O161" t="str">
        <v>9.16萬</v>
      </c>
      <c r="P161" t="str">
        <v>-10.50</v>
      </c>
      <c r="Q161" t="str">
        <v>+2.68</v>
      </c>
      <c r="R161" t="str">
        <v>0.00</v>
      </c>
      <c r="S161">
        <v>0</v>
      </c>
      <c r="T161">
        <v>0</v>
      </c>
      <c r="U161">
        <f t="array" ref="U161:AD161">[1]!'6661.TW-ChipsField3,ChipsField1,ChipsField25,CashAndStockDividend,CashDividendYieldRate,ProfitFourSeason,ProfitSingle,CName,ExchangeIndustry,CompanyPos'</f>
        <v>0</v>
      </c>
      <c r="V161">
        <v>0</v>
      </c>
      <c r="W161" t="str">
        <v>2022/03/17</v>
      </c>
      <c r="X161" t="str">
        <v>0.48</v>
      </c>
      <c r="Y161">
        <v>2.09</v>
      </c>
      <c r="Z161" t="str">
        <v>0.61</v>
      </c>
      <c r="AA161" t="str">
        <v>-0.22</v>
      </c>
      <c r="AB161" t="str">
        <v>威健生技</v>
      </c>
      <c r="AC161" t="str">
        <v>上櫃生技醫療</v>
      </c>
      <c r="AD161" t="str">
        <v>台灣第一家獲得生物晶片檢測雙認證之公司</v>
      </c>
      <c r="AE161" t="str">
        <f t="array" ref="AE161:AH161">[1]!'6661.TW-CName,InvestorConferenceDate,DateofMeetingofShareHolders,TradingDate'</f>
        <v>威健生技</v>
      </c>
      <c r="AF161" t="str">
        <v>2021/11/18</v>
      </c>
      <c r="AG161" t="str">
        <v>2022/05/17</v>
      </c>
      <c r="AH161" t="str">
        <v>2022/08/01</v>
      </c>
    </row>
    <row r="162" spans="1:34" x14ac:dyDescent="0.3">
      <c r="A162" t="str">
        <f t="array" ref="A162:J162">[1]!'6662.TW-ID,Name,MarketValue,Capital,NetIncomeGrowthRate,OperIncomeGrowthRate,FinancialStatementsTime,TFXRatio,MonthlyNetSalesYoY,RevenueMonth'</f>
        <v>6662</v>
      </c>
      <c r="B162" t="str">
        <v>樂斯科</v>
      </c>
      <c r="C162" t="str">
        <v>7.5</v>
      </c>
      <c r="D162" t="str">
        <v>2.56</v>
      </c>
      <c r="E162" t="str">
        <v>-1.84</v>
      </c>
      <c r="F162" t="str">
        <v>0.90</v>
      </c>
      <c r="G162" t="str">
        <v>2022/03</v>
      </c>
      <c r="H162" t="str">
        <v>26.66</v>
      </c>
      <c r="I162" t="str">
        <v>16.26</v>
      </c>
      <c r="J162" t="str">
        <v>2022/06</v>
      </c>
      <c r="K162" t="str">
        <f t="array" ref="K162:T162">[1]!'6662.TW-OperatingProfitRatio,Price,PriceChangeRatio,InOutRatioNumber,Value,YearReturn,MonthReturn,WeekReturn,FinanceBalanceDif,ChipsField2'</f>
        <v>17.38</v>
      </c>
      <c r="L162">
        <v>29.45</v>
      </c>
      <c r="M162">
        <v>0.51</v>
      </c>
      <c r="N162" t="str">
        <v>50.00%</v>
      </c>
      <c r="O162" t="str">
        <v>11.7萬</v>
      </c>
      <c r="P162" t="str">
        <v>+0.43</v>
      </c>
      <c r="Q162" t="str">
        <v>+6.64</v>
      </c>
      <c r="R162" t="str">
        <v>+0.51</v>
      </c>
      <c r="S162">
        <v>0</v>
      </c>
      <c r="T162">
        <v>0</v>
      </c>
      <c r="U162">
        <f t="array" ref="U162:AD162">[1]!'6662.TW-ChipsField3,ChipsField1,ChipsField25,CashAndStockDividend,CashDividendYieldRate,ProfitFourSeason,ProfitSingle,CName,ExchangeIndustry,CompanyPos'</f>
        <v>0</v>
      </c>
      <c r="V162">
        <v>0</v>
      </c>
      <c r="W162" t="str">
        <v>2022/07/21</v>
      </c>
      <c r="X162" t="str">
        <v>1.60</v>
      </c>
      <c r="Y162">
        <v>5.43</v>
      </c>
      <c r="Z162" t="str">
        <v>1.76</v>
      </c>
      <c r="AA162" t="str">
        <v>0.27</v>
      </c>
      <c r="AB162" t="str">
        <v>樂斯科</v>
      </c>
      <c r="AC162" t="str">
        <v>上櫃生技醫療</v>
      </c>
      <c r="AD162" t="str">
        <v>台灣知名實驗鼠繁殖中心</v>
      </c>
      <c r="AE162" t="str">
        <f t="array" ref="AE162:AH162">[1]!'6662.TW-CName,InvestorConferenceDate,DateofMeetingofShareHolders,TradingDate'</f>
        <v>樂斯科</v>
      </c>
      <c r="AF162" t="str">
        <v>--</v>
      </c>
      <c r="AG162" t="str">
        <v>2022/06/15</v>
      </c>
      <c r="AH162" t="str">
        <v>2022/08/01</v>
      </c>
    </row>
    <row r="163" spans="1:34" x14ac:dyDescent="0.3">
      <c r="A163" t="str">
        <f t="array" ref="A163:J163">[1]!'6703.TW-ID,Name,MarketValue,Capital,NetIncomeGrowthRate,OperIncomeGrowthRate,FinancialStatementsTime,TFXRatio,MonthlyNetSalesYoY,RevenueMonth'</f>
        <v>6703</v>
      </c>
      <c r="B163" t="str">
        <v>軒郁</v>
      </c>
      <c r="C163" t="str">
        <v>21.4</v>
      </c>
      <c r="D163" t="str">
        <v>2.13</v>
      </c>
      <c r="E163" t="str">
        <v>-3.43</v>
      </c>
      <c r="F163" t="str">
        <v>-11.21</v>
      </c>
      <c r="G163" t="str">
        <v>2022/03</v>
      </c>
      <c r="H163" t="str">
        <v>-14.29</v>
      </c>
      <c r="I163" t="str">
        <v>12.41</v>
      </c>
      <c r="J163" t="str">
        <v>2022/06</v>
      </c>
      <c r="K163" t="str">
        <f t="array" ref="K163:T163">[1]!'6703.TW-OperatingProfitRatio,Price,PriceChangeRatio,InOutRatioNumber,Value,YearReturn,MonthReturn,WeekReturn,FinanceBalanceDif,ChipsField2'</f>
        <v>12.67</v>
      </c>
      <c r="L163">
        <v>103</v>
      </c>
      <c r="M163">
        <v>0</v>
      </c>
      <c r="N163" t="str">
        <v>57.14%</v>
      </c>
      <c r="O163" t="str">
        <v>217萬</v>
      </c>
      <c r="P163" t="str">
        <v>+6.40</v>
      </c>
      <c r="Q163" t="str">
        <v>+4.36</v>
      </c>
      <c r="R163" t="str">
        <v>+3.00</v>
      </c>
      <c r="S163">
        <v>0</v>
      </c>
      <c r="T163">
        <v>0</v>
      </c>
      <c r="U163">
        <f t="array" ref="U163:AD163">[1]!'6703.TW-ChipsField3,ChipsField1,ChipsField25,CashAndStockDividend,CashDividendYieldRate,ProfitFourSeason,ProfitSingle,CName,ExchangeIndustry,CompanyPos'</f>
        <v>0</v>
      </c>
      <c r="V163">
        <v>-2</v>
      </c>
      <c r="W163" t="str">
        <v>2022/08/08</v>
      </c>
      <c r="X163" t="str">
        <v>8.39</v>
      </c>
      <c r="Y163">
        <v>8.15</v>
      </c>
      <c r="Z163" t="str">
        <v>6.78</v>
      </c>
      <c r="AA163" t="str">
        <v>1.69</v>
      </c>
      <c r="AB163" t="str">
        <v>軒郁</v>
      </c>
      <c r="AC163" t="str">
        <v>上櫃生技醫療</v>
      </c>
      <c r="AD163" t="str">
        <v>銷售以面膜為主的美妝品牌公司</v>
      </c>
      <c r="AE163" t="str">
        <f t="array" ref="AE163:AH163">[1]!'6703.TW-CName,InvestorConferenceDate,DateofMeetingofShareHolders,TradingDate'</f>
        <v>軒郁</v>
      </c>
      <c r="AF163" t="str">
        <v>2021/11/04</v>
      </c>
      <c r="AG163" t="str">
        <v>2022/06/17</v>
      </c>
      <c r="AH163" t="str">
        <v>2022/08/01</v>
      </c>
    </row>
    <row r="164" spans="1:34" x14ac:dyDescent="0.3">
      <c r="A164" t="str">
        <f t="array" ref="A164:J164">[1]!'6712.TW-ID,Name,MarketValue,Capital,NetIncomeGrowthRate,OperIncomeGrowthRate,FinancialStatementsTime,TFXRatio,MonthlyNetSalesYoY,RevenueMonth'</f>
        <v>6712</v>
      </c>
      <c r="B164" t="str">
        <v>長聖</v>
      </c>
      <c r="C164" t="str">
        <v>118.1</v>
      </c>
      <c r="D164" t="str">
        <v>6.81</v>
      </c>
      <c r="E164" t="str">
        <v>31.10</v>
      </c>
      <c r="F164" t="str">
        <v>450.77</v>
      </c>
      <c r="G164" t="str">
        <v>2022/03</v>
      </c>
      <c r="H164" t="str">
        <v>3.52</v>
      </c>
      <c r="I164" t="str">
        <v>49.33</v>
      </c>
      <c r="J164" t="str">
        <v>2022/06</v>
      </c>
      <c r="K164" t="str">
        <f t="array" ref="K164:T164">[1]!'6712.TW-OperatingProfitRatio,Price,PriceChangeRatio,InOutRatioNumber,Value,YearReturn,MonthReturn,WeekReturn,FinanceBalanceDif,ChipsField2'</f>
        <v>39.95</v>
      </c>
      <c r="L164">
        <v>173.5</v>
      </c>
      <c r="M164">
        <v>5.15</v>
      </c>
      <c r="N164" t="str">
        <v>46.95%</v>
      </c>
      <c r="O164" t="str">
        <v>2.50億</v>
      </c>
      <c r="P164" t="str">
        <v>-32.96</v>
      </c>
      <c r="Q164" t="str">
        <v>+3.27</v>
      </c>
      <c r="R164" t="str">
        <v>+4.83</v>
      </c>
      <c r="S164">
        <v>-30</v>
      </c>
      <c r="T164">
        <v>0</v>
      </c>
      <c r="U164">
        <f t="array" ref="U164:AD164">[1]!'6712.TW-ChipsField3,ChipsField1,ChipsField25,CashAndStockDividend,CashDividendYieldRate,ProfitFourSeason,ProfitSingle,CName,ExchangeIndustry,CompanyPos'</f>
        <v>28</v>
      </c>
      <c r="V164">
        <v>-58</v>
      </c>
      <c r="W164" t="str">
        <v>2022/05/19</v>
      </c>
      <c r="X164" t="str">
        <v>6.00</v>
      </c>
      <c r="Y164">
        <v>3.46</v>
      </c>
      <c r="Z164" t="str">
        <v>6.06</v>
      </c>
      <c r="AA164" t="str">
        <v>-0.15</v>
      </c>
      <c r="AB164" t="str">
        <v>長聖</v>
      </c>
      <c r="AC164" t="str">
        <v>上櫃生技醫療</v>
      </c>
      <c r="AD164" t="str">
        <v>專注於細胞療法新藥研發</v>
      </c>
      <c r="AE164" t="str">
        <f t="array" ref="AE164:AH164">[1]!'6712.TW-CName,InvestorConferenceDate,DateofMeetingofShareHolders,TradingDate'</f>
        <v>長聖</v>
      </c>
      <c r="AF164" t="str">
        <v>2022/01/06</v>
      </c>
      <c r="AG164" t="str">
        <v>2022/04/21</v>
      </c>
      <c r="AH164" t="str">
        <v>2022/08/01</v>
      </c>
    </row>
    <row r="165" spans="1:34" x14ac:dyDescent="0.3">
      <c r="A165" t="str">
        <f t="array" ref="A165:J165">[1]!'6733.TW-ID,Name,MarketValue,Capital,NetIncomeGrowthRate,OperIncomeGrowthRate,FinancialStatementsTime,TFXRatio,MonthlyNetSalesYoY,RevenueMonth'</f>
        <v>6733</v>
      </c>
      <c r="B165" t="str">
        <v>博晟生醫</v>
      </c>
      <c r="C165" t="str">
        <v>22.0</v>
      </c>
      <c r="D165" t="str">
        <v>10.31</v>
      </c>
      <c r="E165" t="str">
        <v>-8.01</v>
      </c>
      <c r="F165" t="str">
        <v>-22.93</v>
      </c>
      <c r="G165" t="str">
        <v>2022/03</v>
      </c>
      <c r="H165" t="str">
        <v>28.52</v>
      </c>
      <c r="I165" t="str">
        <v>539.28</v>
      </c>
      <c r="J165" t="str">
        <v>2022/06</v>
      </c>
      <c r="K165" t="str">
        <f t="array" ref="K165:T165">[1]!'6733.TW-OperatingProfitRatio,Price,PriceChangeRatio,InOutRatioNumber,Value,YearReturn,MonthReturn,WeekReturn,FinanceBalanceDif,ChipsField2'</f>
        <v>-1088.87</v>
      </c>
      <c r="L165">
        <v>21.35</v>
      </c>
      <c r="M165">
        <v>2.15</v>
      </c>
      <c r="N165" t="str">
        <v>46.94%</v>
      </c>
      <c r="O165" t="str">
        <v>208萬</v>
      </c>
      <c r="P165" t="str">
        <v>-18.04</v>
      </c>
      <c r="Q165" t="str">
        <v>-0.93</v>
      </c>
      <c r="R165" t="str">
        <v>+1.43</v>
      </c>
      <c r="S165">
        <v>0</v>
      </c>
      <c r="T165">
        <v>0</v>
      </c>
      <c r="U165">
        <f t="array" ref="U165:AD165">[1]!'6733.TW-ChipsField3,ChipsField1,ChipsField25,CashAndStockDividend,CashDividendYieldRate,ProfitFourSeason,ProfitSingle,CName,ExchangeIndustry,CompanyPos'</f>
        <v>0</v>
      </c>
      <c r="V165">
        <v>0</v>
      </c>
      <c r="W165" t="str">
        <v>--</v>
      </c>
      <c r="X165" t="str">
        <v>0.00</v>
      </c>
      <c r="Y165">
        <v>0</v>
      </c>
      <c r="Z165" t="str">
        <v>-1.34</v>
      </c>
      <c r="AA165" t="str">
        <v>-0.43</v>
      </c>
      <c r="AB165" t="str">
        <v>博晟生醫</v>
      </c>
      <c r="AC165" t="str">
        <v>上櫃生技醫療</v>
      </c>
      <c r="AD165" t="str">
        <v>晟德旗下生物性骨材研發廠</v>
      </c>
      <c r="AE165" t="str">
        <f t="array" ref="AE165:AH165">[1]!'6733.TW-CName,InvestorConferenceDate,DateofMeetingofShareHolders,TradingDate'</f>
        <v>博晟生醫</v>
      </c>
      <c r="AF165" t="str">
        <v>--</v>
      </c>
      <c r="AG165" t="str">
        <v>2022/06/16</v>
      </c>
      <c r="AH165" t="str">
        <v>2022/08/01</v>
      </c>
    </row>
    <row r="166" spans="1:34" x14ac:dyDescent="0.3">
      <c r="A166" t="str">
        <f t="array" ref="A166:J166">[1]!'6747.TW-ID,Name,MarketValue,Capital,NetIncomeGrowthRate,OperIncomeGrowthRate,FinancialStatementsTime,TFXRatio,MonthlyNetSalesYoY,RevenueMonth'</f>
        <v>6747</v>
      </c>
      <c r="B166" t="str">
        <v>亨泰光</v>
      </c>
      <c r="C166" t="str">
        <v>52.7</v>
      </c>
      <c r="D166" t="str">
        <v>2.42</v>
      </c>
      <c r="E166" t="str">
        <v>60.23</v>
      </c>
      <c r="F166" t="str">
        <v>38.27</v>
      </c>
      <c r="G166" t="str">
        <v>2022/03</v>
      </c>
      <c r="H166" t="str">
        <v>-11.86</v>
      </c>
      <c r="I166" t="str">
        <v>55.61</v>
      </c>
      <c r="J166" t="str">
        <v>2022/06</v>
      </c>
      <c r="K166" t="str">
        <f t="array" ref="K166:T166">[1]!'6747.TW-OperatingProfitRatio,Price,PriceChangeRatio,InOutRatioNumber,Value,YearReturn,MonthReturn,WeekReturn,FinanceBalanceDif,ChipsField2'</f>
        <v>39.65</v>
      </c>
      <c r="L166">
        <v>218</v>
      </c>
      <c r="M166">
        <v>-0.91</v>
      </c>
      <c r="N166" t="str">
        <v>20.00%</v>
      </c>
      <c r="O166" t="str">
        <v>219萬</v>
      </c>
      <c r="P166" t="str">
        <v>-11.58</v>
      </c>
      <c r="Q166" t="str">
        <v>+3.16</v>
      </c>
      <c r="R166" t="str">
        <v>+0.69</v>
      </c>
      <c r="S166">
        <v>0</v>
      </c>
      <c r="T166">
        <v>0</v>
      </c>
      <c r="U166">
        <f t="array" ref="U166:AD166">[1]!'6747.TW-ChipsField3,ChipsField1,ChipsField25,CashAndStockDividend,CashDividendYieldRate,ProfitFourSeason,ProfitSingle,CName,ExchangeIndustry,CompanyPos'</f>
        <v>0</v>
      </c>
      <c r="V166">
        <v>0</v>
      </c>
      <c r="W166" t="str">
        <v>2022/07/04</v>
      </c>
      <c r="X166" t="str">
        <v>8.68</v>
      </c>
      <c r="Y166">
        <v>3.98</v>
      </c>
      <c r="Z166" t="str">
        <v>11.29</v>
      </c>
      <c r="AA166" t="str">
        <v>3.48</v>
      </c>
      <c r="AB166" t="str">
        <v>亨泰光</v>
      </c>
      <c r="AC166" t="str">
        <v>上櫃生技醫療</v>
      </c>
      <c r="AD166" t="str">
        <v>訂製型硬式隱形眼鏡、角膜塑型鏡供應商</v>
      </c>
      <c r="AE166" t="str">
        <f t="array" ref="AE166:AH166">[1]!'6747.TW-CName,InvestorConferenceDate,DateofMeetingofShareHolders,TradingDate'</f>
        <v>亨泰光</v>
      </c>
      <c r="AF166" t="str">
        <v>2022/04/13</v>
      </c>
      <c r="AG166" t="str">
        <v>2022/06/14</v>
      </c>
      <c r="AH166" t="str">
        <v>2022/08/01</v>
      </c>
    </row>
    <row r="167" spans="1:34" x14ac:dyDescent="0.3">
      <c r="A167" t="str">
        <f t="array" ref="A167:J167">[1]!'6762.TW-ID,Name,MarketValue,Capital,NetIncomeGrowthRate,OperIncomeGrowthRate,FinancialStatementsTime,TFXRatio,MonthlyNetSalesYoY,RevenueMonth'</f>
        <v>6762</v>
      </c>
      <c r="B167" t="str">
        <v>達亞</v>
      </c>
      <c r="C167" t="str">
        <v>55.7</v>
      </c>
      <c r="D167" t="str">
        <v>2.59</v>
      </c>
      <c r="E167" t="str">
        <v>-20.91</v>
      </c>
      <c r="F167" t="str">
        <v>-78.66</v>
      </c>
      <c r="G167" t="str">
        <v>2022/06</v>
      </c>
      <c r="H167" t="str">
        <v>-10.02</v>
      </c>
      <c r="I167" t="str">
        <v>-43.56</v>
      </c>
      <c r="J167" t="str">
        <v>2022/06</v>
      </c>
      <c r="K167" t="str">
        <f t="array" ref="K167:T167">[1]!'6762.TW-OperatingProfitRatio,Price,PriceChangeRatio,InOutRatioNumber,Value,YearReturn,MonthReturn,WeekReturn,FinanceBalanceDif,ChipsField2'</f>
        <v>12.41</v>
      </c>
      <c r="L167">
        <v>215</v>
      </c>
      <c r="M167">
        <v>0.23</v>
      </c>
      <c r="N167" t="str">
        <v>100.00%</v>
      </c>
      <c r="O167" t="str">
        <v>170萬</v>
      </c>
      <c r="P167" t="str">
        <v>-10.91</v>
      </c>
      <c r="Q167" t="str">
        <v>+5.65</v>
      </c>
      <c r="R167" t="str">
        <v>+1.42</v>
      </c>
      <c r="S167">
        <v>0</v>
      </c>
      <c r="T167">
        <v>0</v>
      </c>
      <c r="U167">
        <f t="array" ref="U167:AD167">[1]!'6762.TW-ChipsField3,ChipsField1,ChipsField25,CashAndStockDividend,CashDividendYieldRate,ProfitFourSeason,ProfitSingle,CName,ExchangeIndustry,CompanyPos'</f>
        <v>0</v>
      </c>
      <c r="V167">
        <v>8</v>
      </c>
      <c r="W167" t="str">
        <v>2022/06/23</v>
      </c>
      <c r="X167" t="str">
        <v>5.00</v>
      </c>
      <c r="Y167">
        <v>2.33</v>
      </c>
      <c r="Z167" t="str">
        <v>5.05</v>
      </c>
      <c r="AA167" t="str">
        <v>1.31</v>
      </c>
      <c r="AB167" t="str">
        <v>達亞</v>
      </c>
      <c r="AC167" t="str">
        <v>上櫃生技醫療</v>
      </c>
      <c r="AD167" t="str">
        <v>益安旗下醫療器材及零組件代工廠</v>
      </c>
      <c r="AE167" t="str">
        <f t="array" ref="AE167:AH167">[1]!'6762.TW-CName,InvestorConferenceDate,DateofMeetingofShareHolders,TradingDate'</f>
        <v>達亞</v>
      </c>
      <c r="AF167" t="str">
        <v>2021/10/29</v>
      </c>
      <c r="AG167" t="str">
        <v>2022/07/25</v>
      </c>
      <c r="AH167" t="str">
        <v>2022/08/01</v>
      </c>
    </row>
    <row r="168" spans="1:34" x14ac:dyDescent="0.3">
      <c r="A168" t="str">
        <f t="array" ref="A168:J168">[1]!'6767.TW-ID,Name,MarketValue,Capital,NetIncomeGrowthRate,OperIncomeGrowthRate,FinancialStatementsTime,TFXRatio,MonthlyNetSalesYoY,RevenueMonth'</f>
        <v>6767</v>
      </c>
      <c r="B168" t="str">
        <v>台微醫</v>
      </c>
      <c r="C168" t="str">
        <v>8.6</v>
      </c>
      <c r="D168" t="str">
        <v>2.91</v>
      </c>
      <c r="E168" t="str">
        <v>56.59</v>
      </c>
      <c r="F168" t="str">
        <v>40.28</v>
      </c>
      <c r="G168" t="str">
        <v>2022/03</v>
      </c>
      <c r="H168" t="str">
        <v>10.26</v>
      </c>
      <c r="I168" t="str">
        <v>61.57</v>
      </c>
      <c r="J168" t="str">
        <v>2022/06</v>
      </c>
      <c r="K168" t="str">
        <f t="array" ref="K168:T168">[1]!'6767.TW-OperatingProfitRatio,Price,PriceChangeRatio,InOutRatioNumber,Value,YearReturn,MonthReturn,WeekReturn,FinanceBalanceDif,ChipsField2'</f>
        <v>-17.11</v>
      </c>
      <c r="L168">
        <v>29.4</v>
      </c>
      <c r="M168">
        <v>-0.17</v>
      </c>
      <c r="N168" t="str">
        <v>9.09%</v>
      </c>
      <c r="O168" t="str">
        <v>32.3萬</v>
      </c>
      <c r="P168" t="str">
        <v>-4.85</v>
      </c>
      <c r="Q168" t="str">
        <v>+0.34</v>
      </c>
      <c r="R168" t="str">
        <v>-0.17</v>
      </c>
      <c r="S168">
        <v>0</v>
      </c>
      <c r="T168">
        <v>0</v>
      </c>
      <c r="U168">
        <f t="array" ref="U168:AD168">[1]!'6767.TW-ChipsField3,ChipsField1,ChipsField25,CashAndStockDividend,CashDividendYieldRate,ProfitFourSeason,ProfitSingle,CName,ExchangeIndustry,CompanyPos'</f>
        <v>0</v>
      </c>
      <c r="V168">
        <v>1</v>
      </c>
      <c r="W168" t="str">
        <v>--</v>
      </c>
      <c r="X168" t="str">
        <v>0.00</v>
      </c>
      <c r="Y168">
        <v>0</v>
      </c>
      <c r="Z168" t="str">
        <v>-1.20</v>
      </c>
      <c r="AA168" t="str">
        <v>-0.33</v>
      </c>
      <c r="AB168" t="str">
        <v>台微醫</v>
      </c>
      <c r="AC168" t="str">
        <v>上櫃生技醫療</v>
      </c>
      <c r="AD168" t="str">
        <v>鐿鈦旗下脊椎融合手術產品供應商</v>
      </c>
      <c r="AE168" t="str">
        <f t="array" ref="AE168:AH168">[1]!'6767.TW-CName,InvestorConferenceDate,DateofMeetingofShareHolders,TradingDate'</f>
        <v>台微醫</v>
      </c>
      <c r="AF168" t="str">
        <v>2021/11/26</v>
      </c>
      <c r="AG168" t="str">
        <v>2022/06/17</v>
      </c>
      <c r="AH168" t="str">
        <v>2022/08/01</v>
      </c>
    </row>
    <row r="169" spans="1:34" x14ac:dyDescent="0.3">
      <c r="A169" t="str">
        <f t="array" ref="A169:J169">[1]!'8279.TW-ID,Name,MarketValue,Capital,NetIncomeGrowthRate,OperIncomeGrowthRate,FinancialStatementsTime,TFXRatio,MonthlyNetSalesYoY,RevenueMonth'</f>
        <v>8279</v>
      </c>
      <c r="B169" t="str">
        <v>生展</v>
      </c>
      <c r="C169" t="str">
        <v>36.6</v>
      </c>
      <c r="D169" t="str">
        <v>2.71</v>
      </c>
      <c r="E169" t="str">
        <v>57.19</v>
      </c>
      <c r="F169" t="str">
        <v>38.96</v>
      </c>
      <c r="G169" t="str">
        <v>2022/06</v>
      </c>
      <c r="H169" t="str">
        <v>5.69</v>
      </c>
      <c r="I169" t="str">
        <v>67.25</v>
      </c>
      <c r="J169" t="str">
        <v>2022/06</v>
      </c>
      <c r="K169" t="str">
        <f t="array" ref="K169:T169">[1]!'8279.TW-OperatingProfitRatio,Price,PriceChangeRatio,InOutRatioNumber,Value,YearReturn,MonthReturn,WeekReturn,FinanceBalanceDif,ChipsField2'</f>
        <v>20.65</v>
      </c>
      <c r="L169">
        <v>135</v>
      </c>
      <c r="M169">
        <v>0.37</v>
      </c>
      <c r="N169" t="str">
        <v>44.12%</v>
      </c>
      <c r="O169" t="str">
        <v>472萬</v>
      </c>
      <c r="P169" t="str">
        <v>+45.09</v>
      </c>
      <c r="Q169" t="str">
        <v>+16.38</v>
      </c>
      <c r="R169" t="str">
        <v>+3.45</v>
      </c>
      <c r="S169">
        <v>0</v>
      </c>
      <c r="T169">
        <v>0</v>
      </c>
      <c r="U169">
        <f t="array" ref="U169:AD169">[1]!'8279.TW-ChipsField3,ChipsField1,ChipsField25,CashAndStockDividend,CashDividendYieldRate,ProfitFourSeason,ProfitSingle,CName,ExchangeIndustry,CompanyPos'</f>
        <v>0</v>
      </c>
      <c r="V169">
        <v>-3</v>
      </c>
      <c r="W169" t="str">
        <v>2022/06/16</v>
      </c>
      <c r="X169" t="str">
        <v>4.00</v>
      </c>
      <c r="Y169">
        <v>2.96</v>
      </c>
      <c r="Z169" t="str">
        <v>10.93</v>
      </c>
      <c r="AA169" t="str">
        <v>3.53</v>
      </c>
      <c r="AB169" t="str">
        <v>生展生技</v>
      </c>
      <c r="AC169" t="str">
        <v>上櫃生技醫療</v>
      </c>
      <c r="AD169" t="str">
        <v>生達旗下原料藥及保健品研發廠商</v>
      </c>
      <c r="AE169" t="str">
        <f t="array" ref="AE169:AH169">[1]!'8279.TW-CName,InvestorConferenceDate,DateofMeetingofShareHolders,TradingDate'</f>
        <v>生展生技</v>
      </c>
      <c r="AF169" t="str">
        <v>2021/12/22</v>
      </c>
      <c r="AG169" t="str">
        <v>2022/05/24</v>
      </c>
      <c r="AH169" t="str">
        <v>2022/08/01</v>
      </c>
    </row>
    <row r="170" spans="1:34" x14ac:dyDescent="0.3">
      <c r="A170" t="str">
        <f t="array" ref="A170:J170">[1]!'8403.TW-ID,Name,MarketValue,Capital,NetIncomeGrowthRate,OperIncomeGrowthRate,FinancialStatementsTime,TFXRatio,MonthlyNetSalesYoY,RevenueMonth'</f>
        <v>8403</v>
      </c>
      <c r="B170" t="str">
        <v>盛弘</v>
      </c>
      <c r="C170" t="str">
        <v>40.9</v>
      </c>
      <c r="D170" t="str">
        <v>11.43</v>
      </c>
      <c r="E170" t="str">
        <v>62.97</v>
      </c>
      <c r="F170" t="str">
        <v>240.68</v>
      </c>
      <c r="G170" t="str">
        <v>2022/03</v>
      </c>
      <c r="H170" t="str">
        <v>12.61</v>
      </c>
      <c r="I170" t="str">
        <v>19.88</v>
      </c>
      <c r="J170" t="str">
        <v>2022/06</v>
      </c>
      <c r="K170" t="str">
        <f t="array" ref="K170:T170">[1]!'8403.TW-OperatingProfitRatio,Price,PriceChangeRatio,InOutRatioNumber,Value,YearReturn,MonthReturn,WeekReturn,FinanceBalanceDif,ChipsField2'</f>
        <v>11.92</v>
      </c>
      <c r="L170">
        <v>35.75</v>
      </c>
      <c r="M170">
        <v>1.71</v>
      </c>
      <c r="N170" t="str">
        <v>59.01%</v>
      </c>
      <c r="O170" t="str">
        <v>3154萬</v>
      </c>
      <c r="P170" t="str">
        <v>+27.27</v>
      </c>
      <c r="Q170" t="str">
        <v>+16.07</v>
      </c>
      <c r="R170" t="str">
        <v>+1.42</v>
      </c>
      <c r="S170">
        <v>-43</v>
      </c>
      <c r="T170">
        <v>0</v>
      </c>
      <c r="U170">
        <f t="array" ref="U170:AD170">[1]!'8403.TW-ChipsField3,ChipsField1,ChipsField25,CashAndStockDividend,CashDividendYieldRate,ProfitFourSeason,ProfitSingle,CName,ExchangeIndustry,CompanyPos'</f>
        <v>1</v>
      </c>
      <c r="V170">
        <v>341</v>
      </c>
      <c r="W170" t="str">
        <v>--</v>
      </c>
      <c r="X170" t="str">
        <v>1.00</v>
      </c>
      <c r="Y170">
        <v>2.8</v>
      </c>
      <c r="Z170" t="str">
        <v>2.62</v>
      </c>
      <c r="AA170" t="str">
        <v>1.02</v>
      </c>
      <c r="AB170" t="str">
        <v>盛弘</v>
      </c>
      <c r="AC170" t="str">
        <v>上櫃生技醫療</v>
      </c>
      <c r="AD170" t="str">
        <v>敏盛醫控股旗下醫藥流通及健康管理業者</v>
      </c>
      <c r="AE170" t="str">
        <f t="array" ref="AE170:AH170">[1]!'8403.TW-CName,InvestorConferenceDate,DateofMeetingofShareHolders,TradingDate'</f>
        <v>盛弘</v>
      </c>
      <c r="AF170" t="str">
        <v>2022/05/18</v>
      </c>
      <c r="AG170" t="str">
        <v>2022/06/29</v>
      </c>
      <c r="AH170" t="str">
        <v>2022/08/01</v>
      </c>
    </row>
    <row r="171" spans="1:34" x14ac:dyDescent="0.3">
      <c r="A171" t="str">
        <f t="array" ref="A171:J171">[1]!'8409.TW-ID,Name,MarketValue,Capital,NetIncomeGrowthRate,OperIncomeGrowthRate,FinancialStatementsTime,TFXRatio,MonthlyNetSalesYoY,RevenueMonth'</f>
        <v>8409</v>
      </c>
      <c r="B171" t="str">
        <v>商之器</v>
      </c>
      <c r="C171" t="str">
        <v>7.4</v>
      </c>
      <c r="D171" t="str">
        <v>3.20</v>
      </c>
      <c r="E171" t="str">
        <v>271.45</v>
      </c>
      <c r="F171" t="str">
        <v>216.38</v>
      </c>
      <c r="G171" t="str">
        <v>2022/03</v>
      </c>
      <c r="H171" t="str">
        <v>44.00</v>
      </c>
      <c r="I171" t="str">
        <v>21.29</v>
      </c>
      <c r="J171" t="str">
        <v>2022/06</v>
      </c>
      <c r="K171" t="str">
        <f t="array" ref="K171:T171">[1]!'8409.TW-OperatingProfitRatio,Price,PriceChangeRatio,InOutRatioNumber,Value,YearReturn,MonthReturn,WeekReturn,FinanceBalanceDif,ChipsField2'</f>
        <v>14.86</v>
      </c>
      <c r="L171">
        <v>23.2</v>
      </c>
      <c r="M171">
        <v>2.2000000000000002</v>
      </c>
      <c r="N171" t="str">
        <v>59.69%</v>
      </c>
      <c r="O171" t="str">
        <v>764萬</v>
      </c>
      <c r="P171" t="str">
        <v>+28.89</v>
      </c>
      <c r="Q171" t="str">
        <v>+5.22</v>
      </c>
      <c r="R171" t="str">
        <v>+2.88</v>
      </c>
      <c r="S171">
        <v>0</v>
      </c>
      <c r="T171">
        <v>0</v>
      </c>
      <c r="U171">
        <f t="array" ref="U171:AD171">[1]!'8409.TW-ChipsField3,ChipsField1,ChipsField25,CashAndStockDividend,CashDividendYieldRate,ProfitFourSeason,ProfitSingle,CName,ExchangeIndustry,CompanyPos'</f>
        <v>-4</v>
      </c>
      <c r="V171">
        <v>45</v>
      </c>
      <c r="W171" t="str">
        <v>--</v>
      </c>
      <c r="X171" t="str">
        <v>0.00</v>
      </c>
      <c r="Y171">
        <v>0</v>
      </c>
      <c r="Z171" t="str">
        <v>0.72</v>
      </c>
      <c r="AA171" t="str">
        <v>0.86</v>
      </c>
      <c r="AB171" t="str">
        <v>商之器</v>
      </c>
      <c r="AC171" t="str">
        <v>上櫃生技醫療</v>
      </c>
      <c r="AD171" t="str">
        <v>台灣第一大PACS廠</v>
      </c>
      <c r="AE171" t="str">
        <f t="array" ref="AE171:AH171">[1]!'8409.TW-CName,InvestorConferenceDate,DateofMeetingofShareHolders,TradingDate'</f>
        <v>商之器</v>
      </c>
      <c r="AF171" t="str">
        <v>2021/12/16</v>
      </c>
      <c r="AG171" t="str">
        <v>2022/06/22</v>
      </c>
      <c r="AH171" t="str">
        <v>2022/08/01</v>
      </c>
    </row>
    <row r="172" spans="1:34" x14ac:dyDescent="0.3">
      <c r="A172" t="str">
        <f t="array" ref="A172:J172">[1]!'8432.TW-ID,Name,MarketValue,Capital,NetIncomeGrowthRate,OperIncomeGrowthRate,FinancialStatementsTime,TFXRatio,MonthlyNetSalesYoY,RevenueMonth'</f>
        <v>8432</v>
      </c>
      <c r="B172" t="str">
        <v>東生華</v>
      </c>
      <c r="C172" t="str">
        <v>17.0</v>
      </c>
      <c r="D172" t="str">
        <v>3.84</v>
      </c>
      <c r="E172" t="str">
        <v>100.59</v>
      </c>
      <c r="F172" t="str">
        <v>83.41</v>
      </c>
      <c r="G172" t="str">
        <v>2022/03</v>
      </c>
      <c r="H172" t="str">
        <v>-1.26</v>
      </c>
      <c r="I172" t="str">
        <v>7.24</v>
      </c>
      <c r="J172" t="str">
        <v>2022/06</v>
      </c>
      <c r="K172" t="str">
        <f t="array" ref="K172:T172">[1]!'8432.TW-OperatingProfitRatio,Price,PriceChangeRatio,InOutRatioNumber,Value,YearReturn,MonthReturn,WeekReturn,FinanceBalanceDif,ChipsField2'</f>
        <v>18.29</v>
      </c>
      <c r="L172">
        <v>44.4</v>
      </c>
      <c r="M172">
        <v>-1.22</v>
      </c>
      <c r="N172" t="str">
        <v>31.75%</v>
      </c>
      <c r="O172" t="str">
        <v>1258萬</v>
      </c>
      <c r="P172" t="str">
        <v>+17.72</v>
      </c>
      <c r="Q172" t="str">
        <v>+10.45</v>
      </c>
      <c r="R172" t="str">
        <v>-7.40</v>
      </c>
      <c r="S172">
        <v>-19</v>
      </c>
      <c r="T172">
        <v>0</v>
      </c>
      <c r="U172">
        <f t="array" ref="U172:AD172">[1]!'8432.TW-ChipsField3,ChipsField1,ChipsField25,CashAndStockDividend,CashDividendYieldRate,ProfitFourSeason,ProfitSingle,CName,ExchangeIndustry,CompanyPos'</f>
        <v>0</v>
      </c>
      <c r="V172">
        <v>10</v>
      </c>
      <c r="W172" t="str">
        <v>2022/06/13</v>
      </c>
      <c r="X172" t="str">
        <v>1.50</v>
      </c>
      <c r="Y172">
        <v>3.38</v>
      </c>
      <c r="Z172" t="str">
        <v>1.48</v>
      </c>
      <c r="AA172" t="str">
        <v>0.51</v>
      </c>
      <c r="AB172" t="str">
        <v>東生華</v>
      </c>
      <c r="AC172" t="str">
        <v>上櫃生技醫療</v>
      </c>
      <c r="AD172" t="str">
        <v>東洋旗下慢性病用藥的新藥研發公司</v>
      </c>
      <c r="AE172" t="str">
        <f t="array" ref="AE172:AH172">[1]!'8432.TW-CName,InvestorConferenceDate,DateofMeetingofShareHolders,TradingDate'</f>
        <v>東生華</v>
      </c>
      <c r="AF172" t="str">
        <v>2022/05/27</v>
      </c>
      <c r="AG172" t="str">
        <v>2022/05/25</v>
      </c>
      <c r="AH172" t="str">
        <v>2022/08/01</v>
      </c>
    </row>
    <row r="173" spans="1:34" x14ac:dyDescent="0.3">
      <c r="A173" t="str">
        <f t="array" ref="A173:J173">[1]!'8436.TW-ID,Name,MarketValue,Capital,NetIncomeGrowthRate,OperIncomeGrowthRate,FinancialStatementsTime,TFXRatio,MonthlyNetSalesYoY,RevenueMonth'</f>
        <v>8436</v>
      </c>
      <c r="B173" t="str">
        <v>大江</v>
      </c>
      <c r="C173" t="str">
        <v>170.3</v>
      </c>
      <c r="D173" t="str">
        <v>11.83</v>
      </c>
      <c r="E173" t="str">
        <v>-53.21</v>
      </c>
      <c r="F173" t="str">
        <v>-59.78</v>
      </c>
      <c r="G173" t="str">
        <v>2022/03</v>
      </c>
      <c r="H173" t="str">
        <v>2.93</v>
      </c>
      <c r="I173" t="str">
        <v>-19.55</v>
      </c>
      <c r="J173" t="str">
        <v>2022/06</v>
      </c>
      <c r="K173" t="str">
        <f t="array" ref="K173:T173">[1]!'8436.TW-OperatingProfitRatio,Price,PriceChangeRatio,InOutRatioNumber,Value,YearReturn,MonthReturn,WeekReturn,FinanceBalanceDif,ChipsField2'</f>
        <v>10.38</v>
      </c>
      <c r="L173">
        <v>144</v>
      </c>
      <c r="M173">
        <v>0</v>
      </c>
      <c r="N173" t="str">
        <v>61.82%</v>
      </c>
      <c r="O173" t="str">
        <v>1644萬</v>
      </c>
      <c r="P173" t="str">
        <v>-51.45</v>
      </c>
      <c r="Q173" t="str">
        <v>+7.87</v>
      </c>
      <c r="R173" t="str">
        <v>-0.69</v>
      </c>
      <c r="S173">
        <v>-19</v>
      </c>
      <c r="T173">
        <v>0</v>
      </c>
      <c r="U173">
        <f t="array" ref="U173:AD173">[1]!'8436.TW-ChipsField3,ChipsField1,ChipsField25,CashAndStockDividend,CashDividendYieldRate,ProfitFourSeason,ProfitSingle,CName,ExchangeIndustry,CompanyPos'</f>
        <v>6</v>
      </c>
      <c r="V173">
        <v>67</v>
      </c>
      <c r="W173" t="str">
        <v>2022/07/21</v>
      </c>
      <c r="X173" t="str">
        <v>8.92</v>
      </c>
      <c r="Y173">
        <v>6.19</v>
      </c>
      <c r="Z173" t="str">
        <v>11.24</v>
      </c>
      <c r="AA173" t="str">
        <v>1.32</v>
      </c>
      <c r="AB173" t="str">
        <v>大江</v>
      </c>
      <c r="AC173" t="str">
        <v>上櫃生技醫療</v>
      </c>
      <c r="AD173" t="str">
        <v>專為大廠研發保健品、保養品及有效添加物等公司</v>
      </c>
      <c r="AE173" t="str">
        <f t="array" ref="AE173:AH173">[1]!'8436.TW-CName,InvestorConferenceDate,DateofMeetingofShareHolders,TradingDate'</f>
        <v>大江</v>
      </c>
      <c r="AF173" t="str">
        <v>2022/05/11</v>
      </c>
      <c r="AG173" t="str">
        <v>2022/06/29</v>
      </c>
      <c r="AH173" t="str">
        <v>2022/08/01</v>
      </c>
    </row>
    <row r="174" spans="1:34" x14ac:dyDescent="0.3">
      <c r="A174" t="str">
        <f t="array" ref="A174:J174">[1]!'2035.TW-ID,Name,MarketValue,Capital,NetIncomeGrowthRate,OperIncomeGrowthRate,FinancialStatementsTime,TFXRatio,MonthlyNetSalesYoY,RevenueMonth'</f>
        <v>2035</v>
      </c>
      <c r="B174" t="str">
        <v>唐榮</v>
      </c>
      <c r="C174" t="str">
        <v>117.6</v>
      </c>
      <c r="D174" t="str">
        <v>35.00</v>
      </c>
      <c r="E174" t="str">
        <v>418.72</v>
      </c>
      <c r="F174" t="str">
        <v>456.54</v>
      </c>
      <c r="G174" t="str">
        <v>2022/03</v>
      </c>
      <c r="H174" t="str">
        <v>-28.55</v>
      </c>
      <c r="I174" t="str">
        <v>-37.68</v>
      </c>
      <c r="J174" t="str">
        <v>2022/06</v>
      </c>
      <c r="K174" t="str">
        <f t="array" ref="K174:T174">[1]!'2035.TW-OperatingProfitRatio,Price,PriceChangeRatio,InOutRatioNumber,Value,YearReturn,MonthReturn,WeekReturn,FinanceBalanceDif,ChipsField2'</f>
        <v>6.65</v>
      </c>
      <c r="L174">
        <v>33.6</v>
      </c>
      <c r="M174">
        <v>5.83</v>
      </c>
      <c r="N174" t="str">
        <v>61.24%</v>
      </c>
      <c r="O174" t="str">
        <v>477萬</v>
      </c>
      <c r="P174" t="str">
        <v>-13.62</v>
      </c>
      <c r="Q174" t="str">
        <v>+5.99</v>
      </c>
      <c r="R174" t="str">
        <v>+5.49</v>
      </c>
      <c r="S174">
        <v>-3</v>
      </c>
      <c r="T174">
        <v>0</v>
      </c>
      <c r="U174">
        <f t="array" ref="U174:AD174">[1]!'2035.TW-ChipsField3,ChipsField1,ChipsField25,CashAndStockDividend,CashDividendYieldRate,ProfitFourSeason,ProfitSingle,CName,ExchangeIndustry,CompanyPos'</f>
        <v>0</v>
      </c>
      <c r="V174">
        <v>0</v>
      </c>
      <c r="W174" t="str">
        <v>--</v>
      </c>
      <c r="X174" t="str">
        <v>0.00</v>
      </c>
      <c r="Y174">
        <v>0</v>
      </c>
      <c r="Z174" t="str">
        <v>5.20</v>
      </c>
      <c r="AA174" t="str">
        <v>0.83</v>
      </c>
      <c r="AB174" t="str">
        <v>唐榮</v>
      </c>
      <c r="AC174" t="str">
        <v>上櫃鋼鐵</v>
      </c>
      <c r="AD174" t="str">
        <v>台灣第二大不鏽鋼廠</v>
      </c>
      <c r="AE174" t="str">
        <f t="array" ref="AE174:AH174">[1]!'2035.TW-CName,InvestorConferenceDate,DateofMeetingofShareHolders,TradingDate'</f>
        <v>唐榮</v>
      </c>
      <c r="AF174" t="str">
        <v>2022/05/20</v>
      </c>
      <c r="AG174" t="str">
        <v>2022/06/14</v>
      </c>
      <c r="AH174" t="str">
        <v>2022/08/01</v>
      </c>
    </row>
    <row r="175" spans="1:34" x14ac:dyDescent="0.3">
      <c r="A175" t="str">
        <f t="array" ref="A175:J175">[1]!'2063.TW-ID,Name,MarketValue,Capital,NetIncomeGrowthRate,OperIncomeGrowthRate,FinancialStatementsTime,TFXRatio,MonthlyNetSalesYoY,RevenueMonth'</f>
        <v>2063</v>
      </c>
      <c r="B175" t="str">
        <v>世鎧</v>
      </c>
      <c r="C175" t="str">
        <v>14.8</v>
      </c>
      <c r="D175" t="str">
        <v>4.87</v>
      </c>
      <c r="E175" t="str">
        <v>11.86</v>
      </c>
      <c r="F175" t="str">
        <v>1.82</v>
      </c>
      <c r="G175" t="str">
        <v>2022/03</v>
      </c>
      <c r="H175" t="str">
        <v>-29.56</v>
      </c>
      <c r="I175" t="str">
        <v>-7.18</v>
      </c>
      <c r="J175" t="str">
        <v>2022/06</v>
      </c>
      <c r="K175" t="str">
        <f t="array" ref="K175:T175">[1]!'2063.TW-OperatingProfitRatio,Price,PriceChangeRatio,InOutRatioNumber,Value,YearReturn,MonthReturn,WeekReturn,FinanceBalanceDif,ChipsField2'</f>
        <v>14.23</v>
      </c>
      <c r="L175">
        <v>32.799999999999997</v>
      </c>
      <c r="M175">
        <v>1.23</v>
      </c>
      <c r="N175" t="str">
        <v>37.79%</v>
      </c>
      <c r="O175" t="str">
        <v>1606萬</v>
      </c>
      <c r="P175" t="str">
        <v>-4.00</v>
      </c>
      <c r="Q175" t="str">
        <v>-0.30</v>
      </c>
      <c r="R175" t="str">
        <v>+1.71</v>
      </c>
      <c r="S175">
        <v>-4</v>
      </c>
      <c r="T175">
        <v>0</v>
      </c>
      <c r="U175">
        <f t="array" ref="U175:AD175">[1]!'2063.TW-ChipsField3,ChipsField1,ChipsField25,CashAndStockDividend,CashDividendYieldRate,ProfitFourSeason,ProfitSingle,CName,ExchangeIndustry,CompanyPos'</f>
        <v>-59</v>
      </c>
      <c r="V175">
        <v>-2</v>
      </c>
      <c r="W175" t="str">
        <v>2022/03/31</v>
      </c>
      <c r="X175" t="str">
        <v>2.00</v>
      </c>
      <c r="Y175">
        <v>9.15</v>
      </c>
      <c r="Z175" t="str">
        <v>3.41</v>
      </c>
      <c r="AA175" t="str">
        <v>0.91</v>
      </c>
      <c r="AB175" t="str">
        <v>世鎧</v>
      </c>
      <c r="AC175" t="str">
        <v>上櫃鋼鐵</v>
      </c>
      <c r="AD175" t="str">
        <v>台灣最大不鏽鋼及合金鋼複合螺絲製造公司</v>
      </c>
      <c r="AE175" t="str">
        <f t="array" ref="AE175:AH175">[1]!'2063.TW-CName,InvestorConferenceDate,DateofMeetingofShareHolders,TradingDate'</f>
        <v>世鎧</v>
      </c>
      <c r="AF175" t="str">
        <v>--</v>
      </c>
      <c r="AG175" t="str">
        <v>2022/05/31</v>
      </c>
      <c r="AH175" t="str">
        <v>2022/08/01</v>
      </c>
    </row>
    <row r="176" spans="1:34" x14ac:dyDescent="0.3">
      <c r="A176" t="str">
        <f t="array" ref="A176:J176">[1]!'2064.TW-ID,Name,MarketValue,Capital,NetIncomeGrowthRate,OperIncomeGrowthRate,FinancialStatementsTime,TFXRatio,MonthlyNetSalesYoY,RevenueMonth'</f>
        <v>2064</v>
      </c>
      <c r="B176" t="str">
        <v>晉椿</v>
      </c>
      <c r="C176" t="str">
        <v>11.3</v>
      </c>
      <c r="D176" t="str">
        <v>6.96</v>
      </c>
      <c r="E176" t="str">
        <v>120.16</v>
      </c>
      <c r="F176" t="str">
        <v>19.61</v>
      </c>
      <c r="G176" t="str">
        <v>2022/03</v>
      </c>
      <c r="H176" t="str">
        <v>-30.65</v>
      </c>
      <c r="I176" t="str">
        <v>-40.10</v>
      </c>
      <c r="J176" t="str">
        <v>2022/06</v>
      </c>
      <c r="K176" t="str">
        <f t="array" ref="K176:T176">[1]!'2064.TW-OperatingProfitRatio,Price,PriceChangeRatio,InOutRatioNumber,Value,YearReturn,MonthReturn,WeekReturn,FinanceBalanceDif,ChipsField2'</f>
        <v>3.83</v>
      </c>
      <c r="L176">
        <v>16.25</v>
      </c>
      <c r="M176">
        <v>6.56</v>
      </c>
      <c r="N176" t="str">
        <v>62.92%</v>
      </c>
      <c r="O176" t="str">
        <v>448萬</v>
      </c>
      <c r="P176" t="str">
        <v>-13.37</v>
      </c>
      <c r="Q176" t="str">
        <v>+6.21</v>
      </c>
      <c r="R176" t="str">
        <v>+4.17</v>
      </c>
      <c r="S176">
        <v>-16</v>
      </c>
      <c r="T176">
        <v>0</v>
      </c>
      <c r="U176">
        <f t="array" ref="U176:AD176">[1]!'2064.TW-ChipsField3,ChipsField1,ChipsField25,CashAndStockDividend,CashDividendYieldRate,ProfitFourSeason,ProfitSingle,CName,ExchangeIndustry,CompanyPos'</f>
        <v>0</v>
      </c>
      <c r="V176">
        <v>0</v>
      </c>
      <c r="W176" t="str">
        <v>2022/06/29</v>
      </c>
      <c r="X176" t="str">
        <v>1.00</v>
      </c>
      <c r="Y176">
        <v>6.15</v>
      </c>
      <c r="Z176" t="str">
        <v>2.12</v>
      </c>
      <c r="AA176" t="str">
        <v>0.57</v>
      </c>
      <c r="AB176" t="str">
        <v>晉椿</v>
      </c>
      <c r="AC176" t="str">
        <v>上櫃鋼鐵</v>
      </c>
      <c r="AD176" t="str">
        <v>高階棒鋼龍頭大廠</v>
      </c>
      <c r="AE176" t="str">
        <f t="array" ref="AE176:AH176">[1]!'2064.TW-CName,InvestorConferenceDate,DateofMeetingofShareHolders,TradingDate'</f>
        <v>晉椿</v>
      </c>
      <c r="AF176" t="str">
        <v>--</v>
      </c>
      <c r="AG176" t="str">
        <v>2022/06/13</v>
      </c>
      <c r="AH176" t="str">
        <v>2022/08/01</v>
      </c>
    </row>
    <row r="177" spans="1:34" x14ac:dyDescent="0.3">
      <c r="A177" t="str">
        <f t="array" ref="A177:J177">[1]!'2065.TW-ID,Name,MarketValue,Capital,NetIncomeGrowthRate,OperIncomeGrowthRate,FinancialStatementsTime,TFXRatio,MonthlyNetSalesYoY,RevenueMonth'</f>
        <v>2065</v>
      </c>
      <c r="B177" t="str">
        <v>世豐</v>
      </c>
      <c r="C177" t="str">
        <v>25.9</v>
      </c>
      <c r="D177" t="str">
        <v>5.44</v>
      </c>
      <c r="E177" t="str">
        <v>55.78</v>
      </c>
      <c r="F177" t="str">
        <v>16.94</v>
      </c>
      <c r="G177" t="str">
        <v>2022/06</v>
      </c>
      <c r="H177" t="str">
        <v>-0.39</v>
      </c>
      <c r="I177" t="str">
        <v>-13.53</v>
      </c>
      <c r="J177" t="str">
        <v>2022/06</v>
      </c>
      <c r="K177" t="str">
        <f t="array" ref="K177:T177">[1]!'2065.TW-OperatingProfitRatio,Price,PriceChangeRatio,InOutRatioNumber,Value,YearReturn,MonthReturn,WeekReturn,FinanceBalanceDif,ChipsField2'</f>
        <v>14.14</v>
      </c>
      <c r="L177">
        <v>47.65</v>
      </c>
      <c r="M177">
        <v>0.32</v>
      </c>
      <c r="N177" t="str">
        <v>48.09%</v>
      </c>
      <c r="O177" t="str">
        <v>874萬</v>
      </c>
      <c r="P177" t="str">
        <v>+11.91</v>
      </c>
      <c r="Q177" t="str">
        <v>+11.46</v>
      </c>
      <c r="R177" t="str">
        <v>+5.89</v>
      </c>
      <c r="S177">
        <v>-1</v>
      </c>
      <c r="T177">
        <v>0</v>
      </c>
      <c r="U177">
        <f t="array" ref="U177:AD177">[1]!'2065.TW-ChipsField3,ChipsField1,ChipsField25,CashAndStockDividend,CashDividendYieldRate,ProfitFourSeason,ProfitSingle,CName,ExchangeIndustry,CompanyPos'</f>
        <v>-21</v>
      </c>
      <c r="V177">
        <v>1</v>
      </c>
      <c r="W177" t="str">
        <v>2022/04/07</v>
      </c>
      <c r="X177" t="str">
        <v>4.00</v>
      </c>
      <c r="Y177">
        <v>10.79</v>
      </c>
      <c r="Z177" t="str">
        <v>6.45</v>
      </c>
      <c r="AA177" t="str">
        <v>1.72</v>
      </c>
      <c r="AB177" t="str">
        <v>世豐</v>
      </c>
      <c r="AC177" t="str">
        <v>上櫃鋼鐵</v>
      </c>
      <c r="AD177" t="str">
        <v>台灣最大烤漆、噴頭表面塗裝螺絲廠</v>
      </c>
      <c r="AE177" t="str">
        <f t="array" ref="AE177:AH177">[1]!'2065.TW-CName,InvestorConferenceDate,DateofMeetingofShareHolders,TradingDate'</f>
        <v>世豐</v>
      </c>
      <c r="AF177" t="str">
        <v>2022/07/27</v>
      </c>
      <c r="AG177" t="str">
        <v>2022/06/09</v>
      </c>
      <c r="AH177" t="str">
        <v>2022/08/01</v>
      </c>
    </row>
    <row r="178" spans="1:34" x14ac:dyDescent="0.3">
      <c r="A178" t="str">
        <f t="array" ref="A178:J178">[1]!'5009.TW-ID,Name,MarketValue,Capital,NetIncomeGrowthRate,OperIncomeGrowthRate,FinancialStatementsTime,TFXRatio,MonthlyNetSalesYoY,RevenueMonth'</f>
        <v>5009</v>
      </c>
      <c r="B178" t="str">
        <v>榮剛</v>
      </c>
      <c r="C178" t="str">
        <v>143.4</v>
      </c>
      <c r="D178" t="str">
        <v>45.67</v>
      </c>
      <c r="E178" t="str">
        <v>176.75</v>
      </c>
      <c r="F178" t="str">
        <v>151.07</v>
      </c>
      <c r="G178" t="str">
        <v>2022/06</v>
      </c>
      <c r="H178" t="str">
        <v>5.84</v>
      </c>
      <c r="I178" t="str">
        <v>48.87</v>
      </c>
      <c r="J178" t="str">
        <v>2022/06</v>
      </c>
      <c r="K178" t="str">
        <f t="array" ref="K178:T178">[1]!'5009.TW-OperatingProfitRatio,Price,PriceChangeRatio,InOutRatioNumber,Value,YearReturn,MonthReturn,WeekReturn,FinanceBalanceDif,ChipsField2'</f>
        <v>19.17</v>
      </c>
      <c r="L178">
        <v>31.4</v>
      </c>
      <c r="M178">
        <v>0.64</v>
      </c>
      <c r="N178" t="str">
        <v>46.55%</v>
      </c>
      <c r="O178" t="str">
        <v>5.47億</v>
      </c>
      <c r="P178" t="str">
        <v>+22.05</v>
      </c>
      <c r="Q178" t="str">
        <v>+29.48</v>
      </c>
      <c r="R178" t="str">
        <v>+3.46</v>
      </c>
      <c r="S178">
        <v>-269</v>
      </c>
      <c r="T178">
        <v>-330</v>
      </c>
      <c r="U178">
        <f t="array" ref="U178:AD178">[1]!'5009.TW-ChipsField3,ChipsField1,ChipsField25,CashAndStockDividend,CashDividendYieldRate,ProfitFourSeason,ProfitSingle,CName,ExchangeIndustry,CompanyPos'</f>
        <v>-71</v>
      </c>
      <c r="V178">
        <v>2204</v>
      </c>
      <c r="W178" t="str">
        <v>2022/03/16</v>
      </c>
      <c r="X178" t="str">
        <v>1.40</v>
      </c>
      <c r="Y178">
        <v>4.46</v>
      </c>
      <c r="Z178" t="str">
        <v>3.02</v>
      </c>
      <c r="AA178" t="str">
        <v>1.23</v>
      </c>
      <c r="AB178" t="str">
        <v>榮剛</v>
      </c>
      <c r="AC178" t="str">
        <v>上櫃鋼鐵</v>
      </c>
      <c r="AD178" t="str">
        <v>全球前十大合金棒鋼廠</v>
      </c>
      <c r="AE178" t="str">
        <f t="array" ref="AE178:AH178">[1]!'5009.TW-CName,InvestorConferenceDate,DateofMeetingofShareHolders,TradingDate'</f>
        <v>榮剛</v>
      </c>
      <c r="AF178" t="str">
        <v>2021/11/30</v>
      </c>
      <c r="AG178" t="str">
        <v>2022/05/26</v>
      </c>
      <c r="AH178" t="str">
        <v>2022/08/01</v>
      </c>
    </row>
    <row r="179" spans="1:34" x14ac:dyDescent="0.3">
      <c r="A179" t="str">
        <f t="array" ref="A179:J179">[1]!'5011.TW-ID,Name,MarketValue,Capital,NetIncomeGrowthRate,OperIncomeGrowthRate,FinancialStatementsTime,TFXRatio,MonthlyNetSalesYoY,RevenueMonth'</f>
        <v>5011</v>
      </c>
      <c r="B179" t="str">
        <v>久陽</v>
      </c>
      <c r="C179" t="str">
        <v>27.6</v>
      </c>
      <c r="D179" t="str">
        <v>9.94</v>
      </c>
      <c r="E179" t="str">
        <v>1434.83</v>
      </c>
      <c r="F179" t="str">
        <v>1085.08</v>
      </c>
      <c r="G179" t="str">
        <v>2022/03</v>
      </c>
      <c r="H179" t="str">
        <v>10.34</v>
      </c>
      <c r="I179" t="str">
        <v>15.63</v>
      </c>
      <c r="J179" t="str">
        <v>2022/06</v>
      </c>
      <c r="K179" t="str">
        <f t="array" ref="K179:T179">[1]!'5011.TW-OperatingProfitRatio,Price,PriceChangeRatio,InOutRatioNumber,Value,YearReturn,MonthReturn,WeekReturn,FinanceBalanceDif,ChipsField2'</f>
        <v>6.71</v>
      </c>
      <c r="L179">
        <v>27.8</v>
      </c>
      <c r="M179">
        <v>0.91</v>
      </c>
      <c r="N179" t="str">
        <v>40.20%</v>
      </c>
      <c r="O179" t="str">
        <v>2213萬</v>
      </c>
      <c r="P179" t="str">
        <v>-8.85</v>
      </c>
      <c r="Q179" t="str">
        <v>+13.29</v>
      </c>
      <c r="R179" t="str">
        <v>-0.69</v>
      </c>
      <c r="S179">
        <v>-98</v>
      </c>
      <c r="T179">
        <v>0</v>
      </c>
      <c r="U179">
        <f t="array" ref="U179:AD179">[1]!'5011.TW-ChipsField3,ChipsField1,ChipsField25,CashAndStockDividend,CashDividendYieldRate,ProfitFourSeason,ProfitSingle,CName,ExchangeIndustry,CompanyPos'</f>
        <v>0</v>
      </c>
      <c r="V179">
        <v>-101</v>
      </c>
      <c r="W179" t="str">
        <v>2022/07/27</v>
      </c>
      <c r="X179" t="str">
        <v>0.35</v>
      </c>
      <c r="Y179">
        <v>4.68</v>
      </c>
      <c r="Z179" t="str">
        <v>2.77</v>
      </c>
      <c r="AA179" t="str">
        <v>0.91</v>
      </c>
      <c r="AB179" t="str">
        <v>久陽</v>
      </c>
      <c r="AC179" t="str">
        <v>上櫃鋼鐵</v>
      </c>
      <c r="AD179" t="str">
        <v>台鋼集團旗下，台灣大尺寸螺栓製造廠之一</v>
      </c>
      <c r="AE179" t="str">
        <f t="array" ref="AE179:AH179">[1]!'5011.TW-CName,InvestorConferenceDate,DateofMeetingofShareHolders,TradingDate'</f>
        <v>久陽</v>
      </c>
      <c r="AF179" t="str">
        <v>2021/12/07</v>
      </c>
      <c r="AG179" t="str">
        <v>2022/06/22</v>
      </c>
      <c r="AH179" t="str">
        <v>2022/08/01</v>
      </c>
    </row>
    <row r="180" spans="1:34" x14ac:dyDescent="0.3">
      <c r="A180" t="str">
        <f t="array" ref="A180:J180">[1]!'5013.TW-ID,Name,MarketValue,Capital,NetIncomeGrowthRate,OperIncomeGrowthRate,FinancialStatementsTime,TFXRatio,MonthlyNetSalesYoY,RevenueMonth'</f>
        <v>5013</v>
      </c>
      <c r="B180" t="str">
        <v>強新</v>
      </c>
      <c r="C180" t="str">
        <v>46.0</v>
      </c>
      <c r="D180" t="str">
        <v>13.34</v>
      </c>
      <c r="E180" t="str">
        <v>37.83</v>
      </c>
      <c r="F180" t="str">
        <v>28.79</v>
      </c>
      <c r="G180" t="str">
        <v>2022/03</v>
      </c>
      <c r="H180" t="str">
        <v>-0.92</v>
      </c>
      <c r="I180" t="str">
        <v>7.30</v>
      </c>
      <c r="J180" t="str">
        <v>2022/06</v>
      </c>
      <c r="K180" t="str">
        <f t="array" ref="K180:T180">[1]!'5013.TW-OperatingProfitRatio,Price,PriceChangeRatio,InOutRatioNumber,Value,YearReturn,MonthReturn,WeekReturn,FinanceBalanceDif,ChipsField2'</f>
        <v>11.49</v>
      </c>
      <c r="L180">
        <v>34.450000000000003</v>
      </c>
      <c r="M180">
        <v>4.71</v>
      </c>
      <c r="N180" t="str">
        <v>78.43%</v>
      </c>
      <c r="O180" t="str">
        <v>178萬</v>
      </c>
      <c r="P180" t="str">
        <v>-20.05</v>
      </c>
      <c r="Q180" t="str">
        <v>+6.99</v>
      </c>
      <c r="R180" t="str">
        <v>+4.87</v>
      </c>
      <c r="S180">
        <v>0</v>
      </c>
      <c r="T180">
        <v>0</v>
      </c>
      <c r="U180">
        <f t="array" ref="U180:AD180">[1]!'5013.TW-ChipsField3,ChipsField1,ChipsField25,CashAndStockDividend,CashDividendYieldRate,ProfitFourSeason,ProfitSingle,CName,ExchangeIndustry,CompanyPos'</f>
        <v>0</v>
      </c>
      <c r="V180">
        <v>-1</v>
      </c>
      <c r="W180" t="str">
        <v>--</v>
      </c>
      <c r="X180" t="str">
        <v>2.00</v>
      </c>
      <c r="Y180">
        <v>5.81</v>
      </c>
      <c r="Z180" t="str">
        <v>4.90</v>
      </c>
      <c r="AA180" t="str">
        <v>1.30</v>
      </c>
      <c r="AB180" t="str">
        <v>強新</v>
      </c>
      <c r="AC180" t="str">
        <v>上櫃鋼鐵</v>
      </c>
      <c r="AD180" t="str">
        <v>台灣電解拋光管件市佔8成</v>
      </c>
      <c r="AE180" t="str">
        <f t="array" ref="AE180:AH180">[1]!'5013.TW-CName,InvestorConferenceDate,DateofMeetingofShareHolders,TradingDate'</f>
        <v>強新</v>
      </c>
      <c r="AF180" t="str">
        <v>--</v>
      </c>
      <c r="AG180" t="str">
        <v>2022/06/09</v>
      </c>
      <c r="AH180" t="str">
        <v>2022/08/01</v>
      </c>
    </row>
    <row r="181" spans="1:34" x14ac:dyDescent="0.3">
      <c r="A181" t="str">
        <f t="array" ref="A181:J181">[1]!'5014.TW-ID,Name,MarketValue,Capital,NetIncomeGrowthRate,OperIncomeGrowthRate,FinancialStatementsTime,TFXRatio,MonthlyNetSalesYoY,RevenueMonth'</f>
        <v>5014</v>
      </c>
      <c r="B181" t="str">
        <v>建錩</v>
      </c>
      <c r="C181" t="str">
        <v>34.0</v>
      </c>
      <c r="D181" t="str">
        <v>18.53</v>
      </c>
      <c r="E181" t="str">
        <v>338.97</v>
      </c>
      <c r="F181" t="str">
        <v>109.00</v>
      </c>
      <c r="G181" t="str">
        <v>2022/03</v>
      </c>
      <c r="H181" t="str">
        <v>-5.56</v>
      </c>
      <c r="I181" t="str">
        <v>24.95</v>
      </c>
      <c r="J181" t="str">
        <v>2022/06</v>
      </c>
      <c r="K181" t="str">
        <f t="array" ref="K181:T181">[1]!'5014.TW-OperatingProfitRatio,Price,PriceChangeRatio,InOutRatioNumber,Value,YearReturn,MonthReturn,WeekReturn,FinanceBalanceDif,ChipsField2'</f>
        <v>6.16</v>
      </c>
      <c r="L181">
        <v>18.350000000000001</v>
      </c>
      <c r="M181">
        <v>7.62</v>
      </c>
      <c r="N181" t="str">
        <v>59.52%</v>
      </c>
      <c r="O181" t="str">
        <v>7715萬</v>
      </c>
      <c r="P181" t="str">
        <v>-24.30</v>
      </c>
      <c r="Q181" t="str">
        <v>+23.01</v>
      </c>
      <c r="R181" t="str">
        <v>+8.13</v>
      </c>
      <c r="S181">
        <v>-44</v>
      </c>
      <c r="T181">
        <v>0</v>
      </c>
      <c r="U181">
        <f t="array" ref="U181:AD181">[1]!'5014.TW-ChipsField3,ChipsField1,ChipsField25,CashAndStockDividend,CashDividendYieldRate,ProfitFourSeason,ProfitSingle,CName,ExchangeIndustry,CompanyPos'</f>
        <v>0</v>
      </c>
      <c r="V181">
        <v>129</v>
      </c>
      <c r="W181" t="str">
        <v>2022/07/28</v>
      </c>
      <c r="X181" t="str">
        <v>1.20</v>
      </c>
      <c r="Y181">
        <v>6.54</v>
      </c>
      <c r="Z181" t="str">
        <v>3.93</v>
      </c>
      <c r="AA181" t="str">
        <v>1.05</v>
      </c>
      <c r="AB181" t="str">
        <v>建錩</v>
      </c>
      <c r="AC181" t="str">
        <v>上櫃鋼鐵</v>
      </c>
      <c r="AD181" t="str">
        <v>不鏽鋼板裁剪及分條加工廠</v>
      </c>
      <c r="AE181" t="str">
        <f t="array" ref="AE181:AH181">[1]!'5014.TW-CName,InvestorConferenceDate,DateofMeetingofShareHolders,TradingDate'</f>
        <v>建錩</v>
      </c>
      <c r="AF181" t="str">
        <v>--</v>
      </c>
      <c r="AG181" t="str">
        <v>2022/06/22</v>
      </c>
      <c r="AH181" t="str">
        <v>2022/08/01</v>
      </c>
    </row>
    <row r="182" spans="1:34" x14ac:dyDescent="0.3">
      <c r="A182" t="str">
        <f t="array" ref="A182:J182">[1]!'5015.TW-ID,Name,MarketValue,Capital,NetIncomeGrowthRate,OperIncomeGrowthRate,FinancialStatementsTime,TFXRatio,MonthlyNetSalesYoY,RevenueMonth'</f>
        <v>5015</v>
      </c>
      <c r="B182" t="str">
        <v>華祺</v>
      </c>
      <c r="C182" t="str">
        <v>27.1</v>
      </c>
      <c r="D182" t="str">
        <v>6.06</v>
      </c>
      <c r="E182" t="str">
        <v>412.15</v>
      </c>
      <c r="F182" t="str">
        <v>283.57</v>
      </c>
      <c r="G182" t="str">
        <v>2022/03</v>
      </c>
      <c r="H182" t="str">
        <v>6.41</v>
      </c>
      <c r="I182" t="str">
        <v>18.55</v>
      </c>
      <c r="J182" t="str">
        <v>2022/06</v>
      </c>
      <c r="K182" t="str">
        <f t="array" ref="K182:T182">[1]!'5015.TW-OperatingProfitRatio,Price,PriceChangeRatio,InOutRatioNumber,Value,YearReturn,MonthReturn,WeekReturn,FinanceBalanceDif,ChipsField2'</f>
        <v>21.42</v>
      </c>
      <c r="L182">
        <v>44.65</v>
      </c>
      <c r="M182">
        <v>0.11</v>
      </c>
      <c r="N182" t="str">
        <v>50.00%</v>
      </c>
      <c r="O182" t="str">
        <v>320萬</v>
      </c>
      <c r="P182" t="str">
        <v>+46.23</v>
      </c>
      <c r="Q182" t="str">
        <v>+19.12</v>
      </c>
      <c r="R182" t="str">
        <v>+5.81</v>
      </c>
      <c r="S182">
        <v>10</v>
      </c>
      <c r="T182">
        <v>0</v>
      </c>
      <c r="U182">
        <f t="array" ref="U182:AD182">[1]!'5015.TW-ChipsField3,ChipsField1,ChipsField25,CashAndStockDividend,CashDividendYieldRate,ProfitFourSeason,ProfitSingle,CName,ExchangeIndustry,CompanyPos'</f>
        <v>0</v>
      </c>
      <c r="V182">
        <v>-2</v>
      </c>
      <c r="W182" t="str">
        <v>2022/07/07</v>
      </c>
      <c r="X182" t="str">
        <v>3.50</v>
      </c>
      <c r="Y182">
        <v>7.84</v>
      </c>
      <c r="Z182" t="str">
        <v>5.98</v>
      </c>
      <c r="AA182" t="str">
        <v>2.33</v>
      </c>
      <c r="AB182" t="str">
        <v>華祺</v>
      </c>
      <c r="AC182" t="str">
        <v>上櫃鋼鐵</v>
      </c>
      <c r="AD182" t="str">
        <v>全球知名不鏽鋼螺絲製造廠</v>
      </c>
      <c r="AE182" t="str">
        <f t="array" ref="AE182:AH182">[1]!'5015.TW-CName,InvestorConferenceDate,DateofMeetingofShareHolders,TradingDate'</f>
        <v>華祺</v>
      </c>
      <c r="AF182" t="str">
        <v>--</v>
      </c>
      <c r="AG182" t="str">
        <v>2022/06/13</v>
      </c>
      <c r="AH182" t="str">
        <v>2022/08/01</v>
      </c>
    </row>
    <row r="183" spans="1:34" x14ac:dyDescent="0.3">
      <c r="A183" t="str">
        <f t="array" ref="A183:J183">[1]!'5016.TW-ID,Name,MarketValue,Capital,NetIncomeGrowthRate,OperIncomeGrowthRate,FinancialStatementsTime,TFXRatio,MonthlyNetSalesYoY,RevenueMonth'</f>
        <v>5016</v>
      </c>
      <c r="B183" t="str">
        <v>松和</v>
      </c>
      <c r="C183" t="str">
        <v>15.9</v>
      </c>
      <c r="D183" t="str">
        <v>4.96</v>
      </c>
      <c r="E183" t="str">
        <v>-15.08</v>
      </c>
      <c r="F183" t="str">
        <v>-21.08</v>
      </c>
      <c r="G183" t="str">
        <v>2022/03</v>
      </c>
      <c r="H183" t="str">
        <v>-4.46</v>
      </c>
      <c r="I183" t="str">
        <v>-13.75</v>
      </c>
      <c r="J183" t="str">
        <v>2022/06</v>
      </c>
      <c r="K183" t="str">
        <f t="array" ref="K183:T183">[1]!'5016.TW-OperatingProfitRatio,Price,PriceChangeRatio,InOutRatioNumber,Value,YearReturn,MonthReturn,WeekReturn,FinanceBalanceDif,ChipsField2'</f>
        <v>6.93</v>
      </c>
      <c r="L183">
        <v>32</v>
      </c>
      <c r="M183">
        <v>0.63</v>
      </c>
      <c r="N183" t="str">
        <v>100.00%</v>
      </c>
      <c r="O183" t="str">
        <v>12.8萬</v>
      </c>
      <c r="P183" t="str">
        <v>-0.25</v>
      </c>
      <c r="Q183" t="str">
        <v>+5.61</v>
      </c>
      <c r="R183" t="str">
        <v>+0.47</v>
      </c>
      <c r="S183">
        <v>0</v>
      </c>
      <c r="T183">
        <v>0</v>
      </c>
      <c r="U183">
        <f t="array" ref="U183:AD183">[1]!'5016.TW-ChipsField3,ChipsField1,ChipsField25,CashAndStockDividend,CashDividendYieldRate,ProfitFourSeason,ProfitSingle,CName,ExchangeIndustry,CompanyPos'</f>
        <v>0</v>
      </c>
      <c r="V183">
        <v>2</v>
      </c>
      <c r="W183" t="str">
        <v>2022/06/24</v>
      </c>
      <c r="X183" t="str">
        <v>3.30</v>
      </c>
      <c r="Y183">
        <v>10.31</v>
      </c>
      <c r="Z183" t="str">
        <v>4.61</v>
      </c>
      <c r="AA183" t="str">
        <v>0.76</v>
      </c>
      <c r="AB183" t="str">
        <v>松和</v>
      </c>
      <c r="AC183" t="str">
        <v>上櫃鋼鐵</v>
      </c>
      <c r="AD183" t="str">
        <v>台灣規模最大鋼線鋼纜廠之一</v>
      </c>
      <c r="AE183" t="str">
        <f t="array" ref="AE183:AH183">[1]!'5016.TW-CName,InvestorConferenceDate,DateofMeetingofShareHolders,TradingDate'</f>
        <v>松和</v>
      </c>
      <c r="AF183" t="str">
        <v>2022/04/08</v>
      </c>
      <c r="AG183" t="str">
        <v>2022/06/08</v>
      </c>
      <c r="AH183" t="str">
        <v>2022/08/01</v>
      </c>
    </row>
    <row r="184" spans="1:34" x14ac:dyDescent="0.3">
      <c r="A184" t="str">
        <f t="array" ref="A184:J184">[1]!'6248.TW-ID,Name,MarketValue,Capital,NetIncomeGrowthRate,OperIncomeGrowthRate,FinancialStatementsTime,TFXRatio,MonthlyNetSalesYoY,RevenueMonth'</f>
        <v>6248</v>
      </c>
      <c r="B184" t="str">
        <v>沛波</v>
      </c>
      <c r="C184" t="str">
        <v>12.1</v>
      </c>
      <c r="D184" t="str">
        <v>6.07</v>
      </c>
      <c r="E184" t="str">
        <v>73.17</v>
      </c>
      <c r="F184" t="str">
        <v>51.35</v>
      </c>
      <c r="G184" t="str">
        <v>2022/03</v>
      </c>
      <c r="H184" t="str">
        <v>-0.19</v>
      </c>
      <c r="I184" t="str">
        <v>46.83</v>
      </c>
      <c r="J184" t="str">
        <v>2022/06</v>
      </c>
      <c r="K184" t="str">
        <f t="array" ref="K184:T184">[1]!'6248.TW-OperatingProfitRatio,Price,PriceChangeRatio,InOutRatioNumber,Value,YearReturn,MonthReturn,WeekReturn,FinanceBalanceDif,ChipsField2'</f>
        <v>1.86</v>
      </c>
      <c r="L184">
        <v>20</v>
      </c>
      <c r="M184">
        <v>1.52</v>
      </c>
      <c r="N184" t="str">
        <v>68.42%</v>
      </c>
      <c r="O184" t="str">
        <v>228萬</v>
      </c>
      <c r="P184" t="str">
        <v>-10.51</v>
      </c>
      <c r="Q184" t="str">
        <v>+1.52</v>
      </c>
      <c r="R184" t="str">
        <v>+1.52</v>
      </c>
      <c r="S184">
        <v>-4</v>
      </c>
      <c r="T184">
        <v>0</v>
      </c>
      <c r="U184">
        <f t="array" ref="U184:AD184">[1]!'6248.TW-ChipsField3,ChipsField1,ChipsField25,CashAndStockDividend,CashDividendYieldRate,ProfitFourSeason,ProfitSingle,CName,ExchangeIndustry,CompanyPos'</f>
        <v>0</v>
      </c>
      <c r="V184">
        <v>0</v>
      </c>
      <c r="W184" t="str">
        <v>2022/06/09</v>
      </c>
      <c r="X184" t="str">
        <v>1.20</v>
      </c>
      <c r="Y184">
        <v>6</v>
      </c>
      <c r="Z184" t="str">
        <v>1.81</v>
      </c>
      <c r="AA184" t="str">
        <v>0.48</v>
      </c>
      <c r="AB184" t="str">
        <v>沛波</v>
      </c>
      <c r="AC184" t="str">
        <v>上櫃鋼鐵</v>
      </c>
      <c r="AD184" t="str">
        <v>轉型鋼筋加工業務</v>
      </c>
      <c r="AE184" t="str">
        <f t="array" ref="AE184:AH184">[1]!'6248.TW-CName,InvestorConferenceDate,DateofMeetingofShareHolders,TradingDate'</f>
        <v>沛波</v>
      </c>
      <c r="AF184" t="str">
        <v>--</v>
      </c>
      <c r="AG184" t="str">
        <v>2022/04/28</v>
      </c>
      <c r="AH184" t="str">
        <v>2022/08/01</v>
      </c>
    </row>
    <row r="185" spans="1:34" x14ac:dyDescent="0.3">
      <c r="A185" t="str">
        <f t="array" ref="A185:J185">[1]!'8349.TW-ID,Name,MarketValue,Capital,NetIncomeGrowthRate,OperIncomeGrowthRate,FinancialStatementsTime,TFXRatio,MonthlyNetSalesYoY,RevenueMonth'</f>
        <v>8349</v>
      </c>
      <c r="B185" t="str">
        <v>恒耀</v>
      </c>
      <c r="C185" t="str">
        <v>66.6</v>
      </c>
      <c r="D185" t="str">
        <v>11.93</v>
      </c>
      <c r="E185" t="str">
        <v>49.68</v>
      </c>
      <c r="F185" t="str">
        <v>1.19</v>
      </c>
      <c r="G185" t="str">
        <v>2022/03</v>
      </c>
      <c r="H185" t="str">
        <v>30.60</v>
      </c>
      <c r="I185" t="str">
        <v>23.19</v>
      </c>
      <c r="J185" t="str">
        <v>2022/06</v>
      </c>
      <c r="K185" t="str">
        <f t="array" ref="K185:T185">[1]!'8349.TW-OperatingProfitRatio,Price,PriceChangeRatio,InOutRatioNumber,Value,YearReturn,MonthReturn,WeekReturn,FinanceBalanceDif,ChipsField2'</f>
        <v>5.01</v>
      </c>
      <c r="L185">
        <v>55.8</v>
      </c>
      <c r="M185">
        <v>0.9</v>
      </c>
      <c r="N185" t="str">
        <v>27.27%</v>
      </c>
      <c r="O185" t="str">
        <v>60.8萬</v>
      </c>
      <c r="P185" t="str">
        <v>-10.85</v>
      </c>
      <c r="Q185" t="str">
        <v>+4.09</v>
      </c>
      <c r="R185" t="str">
        <v>+3.53</v>
      </c>
      <c r="S185">
        <v>-8</v>
      </c>
      <c r="T185">
        <v>0</v>
      </c>
      <c r="U185">
        <f t="array" ref="U185:AD185">[1]!'8349.TW-ChipsField3,ChipsField1,ChipsField25,CashAndStockDividend,CashDividendYieldRate,ProfitFourSeason,ProfitSingle,CName,ExchangeIndustry,CompanyPos'</f>
        <v>0</v>
      </c>
      <c r="V185">
        <v>0</v>
      </c>
      <c r="W185" t="str">
        <v>2022/07/13</v>
      </c>
      <c r="X185" t="str">
        <v>2.20</v>
      </c>
      <c r="Y185">
        <v>3.94</v>
      </c>
      <c r="Z185" t="str">
        <v>3.58</v>
      </c>
      <c r="AA185" t="str">
        <v>1.11</v>
      </c>
      <c r="AB185" t="str">
        <v>恒耀</v>
      </c>
      <c r="AC185" t="str">
        <v>上櫃鋼鐵</v>
      </c>
      <c r="AD185" t="str">
        <v>車用與工業用扣件製造與貿易廠商</v>
      </c>
      <c r="AE185" t="str">
        <f t="array" ref="AE185:AH185">[1]!'8349.TW-CName,InvestorConferenceDate,DateofMeetingofShareHolders,TradingDate'</f>
        <v>恒耀</v>
      </c>
      <c r="AF185" t="str">
        <v>--</v>
      </c>
      <c r="AG185" t="str">
        <v>2022/06/14</v>
      </c>
      <c r="AH185" t="str">
        <v>2022/08/01</v>
      </c>
    </row>
    <row r="186" spans="1:34" x14ac:dyDescent="0.3">
      <c r="A186" t="str">
        <f t="array" ref="A186:J186">[1]!'8415.TW-ID,Name,MarketValue,Capital,NetIncomeGrowthRate,OperIncomeGrowthRate,FinancialStatementsTime,TFXRatio,MonthlyNetSalesYoY,RevenueMonth'</f>
        <v>8415</v>
      </c>
      <c r="B186" t="str">
        <v>大國鋼</v>
      </c>
      <c r="C186" t="str">
        <v>363.1</v>
      </c>
      <c r="D186" t="str">
        <v>103.15</v>
      </c>
      <c r="E186" t="str">
        <v>121.10</v>
      </c>
      <c r="F186" t="str">
        <v>78.55</v>
      </c>
      <c r="G186" t="str">
        <v>2022/03</v>
      </c>
      <c r="H186" t="str">
        <v>2.79</v>
      </c>
      <c r="I186" t="str">
        <v>20.05</v>
      </c>
      <c r="J186" t="str">
        <v>2022/06</v>
      </c>
      <c r="K186" t="str">
        <f t="array" ref="K186:T186">[1]!'8415.TW-OperatingProfitRatio,Price,PriceChangeRatio,InOutRatioNumber,Value,YearReturn,MonthReturn,WeekReturn,FinanceBalanceDif,ChipsField2'</f>
        <v>23.95</v>
      </c>
      <c r="L186">
        <v>35.200000000000003</v>
      </c>
      <c r="M186">
        <v>2.33</v>
      </c>
      <c r="N186" t="str">
        <v>75.99%</v>
      </c>
      <c r="O186" t="str">
        <v>2975萬</v>
      </c>
      <c r="P186" t="str">
        <v>-4.91</v>
      </c>
      <c r="Q186" t="str">
        <v>+5.86</v>
      </c>
      <c r="R186" t="str">
        <v>-0.14</v>
      </c>
      <c r="S186">
        <v>12</v>
      </c>
      <c r="T186">
        <v>0</v>
      </c>
      <c r="U186">
        <f t="array" ref="U186:AD186">[1]!'8415.TW-ChipsField3,ChipsField1,ChipsField25,CashAndStockDividend,CashDividendYieldRate,ProfitFourSeason,ProfitSingle,CName,ExchangeIndustry,CompanyPos'</f>
        <v>0</v>
      </c>
      <c r="V186">
        <v>-52</v>
      </c>
      <c r="W186" t="str">
        <v>2022/07/11</v>
      </c>
      <c r="X186" t="str">
        <v>1.80</v>
      </c>
      <c r="Y186">
        <v>5.1100000000000003</v>
      </c>
      <c r="Z186" t="str">
        <v>4.20</v>
      </c>
      <c r="AA186" t="str">
        <v>1.27</v>
      </c>
      <c r="AB186" t="str">
        <v>大國鋼</v>
      </c>
      <c r="AC186" t="str">
        <v>上櫃鋼鐵</v>
      </c>
      <c r="AD186" t="str">
        <v>大成鋼轉投資之大型螺絲螺帽配銷商</v>
      </c>
      <c r="AE186" t="str">
        <f t="array" ref="AE186:AH186">[1]!'8415.TW-CName,InvestorConferenceDate,DateofMeetingofShareHolders,TradingDate'</f>
        <v>大國鋼</v>
      </c>
      <c r="AF186" t="str">
        <v>--</v>
      </c>
      <c r="AG186" t="str">
        <v>2022/06/16</v>
      </c>
      <c r="AH186" t="str">
        <v>2022/08/01</v>
      </c>
    </row>
    <row r="187" spans="1:34" x14ac:dyDescent="0.3">
      <c r="A187" t="str">
        <f t="array" ref="A187:J187">[1]!'8930.TW-ID,Name,MarketValue,Capital,NetIncomeGrowthRate,OperIncomeGrowthRate,FinancialStatementsTime,TFXRatio,MonthlyNetSalesYoY,RevenueMonth'</f>
        <v>8930</v>
      </c>
      <c r="B187" t="str">
        <v>青鋼</v>
      </c>
      <c r="C187" t="str">
        <v>13.0</v>
      </c>
      <c r="D187" t="str">
        <v>8.18</v>
      </c>
      <c r="E187" t="str">
        <v>80.87</v>
      </c>
      <c r="F187" t="str">
        <v>19.41</v>
      </c>
      <c r="G187" t="str">
        <v>2022/03</v>
      </c>
      <c r="H187" t="str">
        <v>3.44</v>
      </c>
      <c r="I187" t="str">
        <v>-1.34</v>
      </c>
      <c r="J187" t="str">
        <v>2022/06</v>
      </c>
      <c r="K187" t="str">
        <f t="array" ref="K187:T187">[1]!'8930.TW-OperatingProfitRatio,Price,PriceChangeRatio,InOutRatioNumber,Value,YearReturn,MonthReturn,WeekReturn,FinanceBalanceDif,ChipsField2'</f>
        <v>10.20</v>
      </c>
      <c r="L187">
        <v>15.85</v>
      </c>
      <c r="M187">
        <v>6.73</v>
      </c>
      <c r="N187" t="str">
        <v>70.80%</v>
      </c>
      <c r="O187" t="str">
        <v>610萬</v>
      </c>
      <c r="P187" t="str">
        <v>-2.23</v>
      </c>
      <c r="Q187" t="str">
        <v>+9.69</v>
      </c>
      <c r="R187" t="str">
        <v>+7.46</v>
      </c>
      <c r="S187">
        <v>-1</v>
      </c>
      <c r="T187">
        <v>0</v>
      </c>
      <c r="U187">
        <f t="array" ref="U187:AD187">[1]!'8930.TW-ChipsField3,ChipsField1,ChipsField25,CashAndStockDividend,CashDividendYieldRate,ProfitFourSeason,ProfitSingle,CName,ExchangeIndustry,CompanyPos'</f>
        <v>0</v>
      </c>
      <c r="V187">
        <v>12</v>
      </c>
      <c r="W187" t="str">
        <v>2022/03/31</v>
      </c>
      <c r="X187" t="str">
        <v>0.80</v>
      </c>
      <c r="Y187">
        <v>5.05</v>
      </c>
      <c r="Z187" t="str">
        <v>1.21</v>
      </c>
      <c r="AA187" t="str">
        <v>0.47</v>
      </c>
      <c r="AB187" t="str">
        <v>青鋼</v>
      </c>
      <c r="AC187" t="str">
        <v>上櫃鋼鐵</v>
      </c>
      <c r="AD187" t="str">
        <v>亞洲最大輕鋼架生產商</v>
      </c>
      <c r="AE187" t="str">
        <f t="array" ref="AE187:AH187">[1]!'8930.TW-CName,InvestorConferenceDate,DateofMeetingofShareHolders,TradingDate'</f>
        <v>青鋼</v>
      </c>
      <c r="AF187" t="str">
        <v>--</v>
      </c>
      <c r="AG187" t="str">
        <v>2022/05/31</v>
      </c>
      <c r="AH187" t="str">
        <v>2022/08/01</v>
      </c>
    </row>
    <row r="188" spans="1:34" x14ac:dyDescent="0.3">
      <c r="A188" t="str">
        <f t="array" ref="A188:J188">[1]!'9962.TW-ID,Name,MarketValue,Capital,NetIncomeGrowthRate,OperIncomeGrowthRate,FinancialStatementsTime,TFXRatio,MonthlyNetSalesYoY,RevenueMonth'</f>
        <v>9962</v>
      </c>
      <c r="B188" t="str">
        <v>有益</v>
      </c>
      <c r="C188" t="str">
        <v>14.3</v>
      </c>
      <c r="D188" t="str">
        <v>9.02</v>
      </c>
      <c r="E188" t="str">
        <v>460.25</v>
      </c>
      <c r="F188" t="str">
        <v>460.37</v>
      </c>
      <c r="G188" t="str">
        <v>2022/03</v>
      </c>
      <c r="H188" t="str">
        <v>69.47</v>
      </c>
      <c r="I188" t="str">
        <v>24.05</v>
      </c>
      <c r="J188" t="str">
        <v>2022/06</v>
      </c>
      <c r="K188" t="str">
        <f t="array" ref="K188:T188">[1]!'9962.TW-OperatingProfitRatio,Price,PriceChangeRatio,InOutRatioNumber,Value,YearReturn,MonthReturn,WeekReturn,FinanceBalanceDif,ChipsField2'</f>
        <v>5.39</v>
      </c>
      <c r="L188">
        <v>15.85</v>
      </c>
      <c r="M188">
        <v>5.32</v>
      </c>
      <c r="N188" t="str">
        <v>59.34%</v>
      </c>
      <c r="O188" t="str">
        <v>2378萬</v>
      </c>
      <c r="P188" t="str">
        <v>-23.57</v>
      </c>
      <c r="Q188" t="str">
        <v>+29.92</v>
      </c>
      <c r="R188" t="str">
        <v>+4.97</v>
      </c>
      <c r="S188">
        <v>68</v>
      </c>
      <c r="T188">
        <v>0</v>
      </c>
      <c r="U188">
        <f t="array" ref="U188:AD188">[1]!'9962.TW-ChipsField3,ChipsField1,ChipsField25,CashAndStockDividend,CashDividendYieldRate,ProfitFourSeason,ProfitSingle,CName,ExchangeIndustry,CompanyPos'</f>
        <v>0</v>
      </c>
      <c r="V188">
        <v>119</v>
      </c>
      <c r="W188" t="str">
        <v>2022/06/24</v>
      </c>
      <c r="X188" t="str">
        <v>1.10</v>
      </c>
      <c r="Y188">
        <v>6.94</v>
      </c>
      <c r="Z188" t="str">
        <v>1.89</v>
      </c>
      <c r="AA188" t="str">
        <v>0.41</v>
      </c>
      <c r="AB188" t="str">
        <v>有益</v>
      </c>
      <c r="AC188" t="str">
        <v>上櫃鋼鐵</v>
      </c>
      <c r="AD188" t="str">
        <v>台灣不鏽鋼厚板第一大廠</v>
      </c>
      <c r="AE188" t="str">
        <f t="array" ref="AE188:AH188">[1]!'9962.TW-CName,InvestorConferenceDate,DateofMeetingofShareHolders,TradingDate'</f>
        <v>有益</v>
      </c>
      <c r="AF188" t="str">
        <v>--</v>
      </c>
      <c r="AG188" t="str">
        <v>2022/06/06</v>
      </c>
      <c r="AH188" t="str">
        <v>2022/08/01</v>
      </c>
    </row>
    <row r="189" spans="1:34" x14ac:dyDescent="0.3">
      <c r="A189" t="str">
        <f t="array" ref="A189:J189">[1]!'3073.TW-ID,Name,MarketValue,Capital,NetIncomeGrowthRate,OperIncomeGrowthRate,FinancialStatementsTime,TFXRatio,MonthlyNetSalesYoY,RevenueMonth'</f>
        <v>3073</v>
      </c>
      <c r="B189" t="str">
        <v>天方能源</v>
      </c>
      <c r="C189" t="str">
        <v>8.7</v>
      </c>
      <c r="D189" t="str">
        <v>3.21</v>
      </c>
      <c r="E189" t="str">
        <v>49.41</v>
      </c>
      <c r="F189" t="str">
        <v>62.92</v>
      </c>
      <c r="G189" t="str">
        <v>2022/03</v>
      </c>
      <c r="H189" t="str">
        <v>-92.90</v>
      </c>
      <c r="I189" t="str">
        <v>-22.56</v>
      </c>
      <c r="J189" t="str">
        <v>2022/06</v>
      </c>
      <c r="K189" t="str">
        <f t="array" ref="K189:T189">[1]!'3073.TW-OperatingProfitRatio,Price,PriceChangeRatio,InOutRatioNumber,Value,YearReturn,MonthReturn,WeekReturn,FinanceBalanceDif,ChipsField2'</f>
        <v>-18.79</v>
      </c>
      <c r="L189">
        <v>27.25</v>
      </c>
      <c r="M189">
        <v>2.06</v>
      </c>
      <c r="N189" t="str">
        <v>100.00%</v>
      </c>
      <c r="O189" t="str">
        <v>16.3萬</v>
      </c>
      <c r="P189" t="str">
        <v>+20.04</v>
      </c>
      <c r="Q189" t="str">
        <v>+12.84</v>
      </c>
      <c r="R189" t="str">
        <v>+0.37</v>
      </c>
      <c r="S189">
        <v>0</v>
      </c>
      <c r="T189">
        <v>0</v>
      </c>
      <c r="U189">
        <f t="array" ref="U189:AD189">[1]!'3073.TW-ChipsField3,ChipsField1,ChipsField25,CashAndStockDividend,CashDividendYieldRate,ProfitFourSeason,ProfitSingle,CName,ExchangeIndustry,CompanyPos'</f>
        <v>0</v>
      </c>
      <c r="V189">
        <v>0</v>
      </c>
      <c r="W189" t="str">
        <v>--</v>
      </c>
      <c r="X189" t="str">
        <v>0.00</v>
      </c>
      <c r="Y189">
        <v>0</v>
      </c>
      <c r="Z189" t="str">
        <v>-2.89</v>
      </c>
      <c r="AA189" t="str">
        <v>-0.13</v>
      </c>
      <c r="AB189" t="str">
        <v>天方能源</v>
      </c>
      <c r="AC189" t="str">
        <v>上櫃半導體</v>
      </c>
      <c r="AD189" t="str">
        <v>轉型太陽能電廠經營</v>
      </c>
      <c r="AE189" t="str">
        <f t="array" ref="AE189:AH189">[1]!'3073.TW-CName,InvestorConferenceDate,DateofMeetingofShareHolders,TradingDate'</f>
        <v>天方能源</v>
      </c>
      <c r="AF189" t="str">
        <v>--</v>
      </c>
      <c r="AG189" t="str">
        <v>2022/06/21</v>
      </c>
      <c r="AH189" t="str">
        <v>2022/08/01</v>
      </c>
    </row>
    <row r="190" spans="1:34" x14ac:dyDescent="0.3">
      <c r="A190" t="str">
        <f t="array" ref="A190:J190">[1]!'3105.TW-ID,Name,MarketValue,Capital,NetIncomeGrowthRate,OperIncomeGrowthRate,FinancialStatementsTime,TFXRatio,MonthlyNetSalesYoY,RevenueMonth'</f>
        <v>3105</v>
      </c>
      <c r="B190" t="str">
        <v>穩懋</v>
      </c>
      <c r="C190" t="str">
        <v>672.0</v>
      </c>
      <c r="D190" t="str">
        <v>42.40</v>
      </c>
      <c r="E190" t="str">
        <v>-28.22</v>
      </c>
      <c r="F190" t="str">
        <v>-23.36</v>
      </c>
      <c r="G190" t="str">
        <v>2022/03</v>
      </c>
      <c r="H190" t="str">
        <v>-12.95</v>
      </c>
      <c r="I190" t="str">
        <v>-22.65</v>
      </c>
      <c r="J190" t="str">
        <v>2022/06</v>
      </c>
      <c r="K190" t="str">
        <f t="array" ref="K190:T190">[1]!'3105.TW-OperatingProfitRatio,Price,PriceChangeRatio,InOutRatioNumber,Value,YearReturn,MonthReturn,WeekReturn,FinanceBalanceDif,ChipsField2'</f>
        <v>16.37</v>
      </c>
      <c r="L190">
        <v>158.5</v>
      </c>
      <c r="M190">
        <v>-0.31</v>
      </c>
      <c r="N190" t="str">
        <v>43.67%</v>
      </c>
      <c r="O190" t="str">
        <v>4.93億</v>
      </c>
      <c r="P190" t="str">
        <v>-51.80</v>
      </c>
      <c r="Q190" t="str">
        <v>-10.10</v>
      </c>
      <c r="R190" t="str">
        <v>-11.70</v>
      </c>
      <c r="S190">
        <v>-63</v>
      </c>
      <c r="T190">
        <v>-67</v>
      </c>
      <c r="U190">
        <f t="array" ref="U190:AD190">[1]!'3105.TW-ChipsField3,ChipsField1,ChipsField25,CashAndStockDividend,CashDividendYieldRate,ProfitFourSeason,ProfitSingle,CName,ExchangeIndustry,CompanyPos'</f>
        <v>390</v>
      </c>
      <c r="V190">
        <v>-141</v>
      </c>
      <c r="W190" t="str">
        <v>2022/07/07</v>
      </c>
      <c r="X190" t="str">
        <v>8.00</v>
      </c>
      <c r="Y190">
        <v>5.05</v>
      </c>
      <c r="Z190" t="str">
        <v>12.26</v>
      </c>
      <c r="AA190" t="str">
        <v>2.08</v>
      </c>
      <c r="AB190" t="str">
        <v>穩懋</v>
      </c>
      <c r="AC190" t="str">
        <v>上櫃半導體</v>
      </c>
      <c r="AD190" t="str">
        <v>全球最大砷化鎵晶圓代工廠</v>
      </c>
      <c r="AE190" t="str">
        <f t="array" ref="AE190:AH190">[1]!'3105.TW-CName,InvestorConferenceDate,DateofMeetingofShareHolders,TradingDate'</f>
        <v>穩懋</v>
      </c>
      <c r="AF190" t="str">
        <v>2022/07/26</v>
      </c>
      <c r="AG190" t="str">
        <v>2022/06/17</v>
      </c>
      <c r="AH190" t="str">
        <v>2022/08/01</v>
      </c>
    </row>
    <row r="191" spans="1:34" x14ac:dyDescent="0.3">
      <c r="A191" t="str">
        <f t="array" ref="A191:J191">[1]!'3122.TW-ID,Name,MarketValue,Capital,NetIncomeGrowthRate,OperIncomeGrowthRate,FinancialStatementsTime,TFXRatio,MonthlyNetSalesYoY,RevenueMonth'</f>
        <v>3122</v>
      </c>
      <c r="B191" t="str">
        <v>笙泉</v>
      </c>
      <c r="C191" t="str">
        <v>13.6</v>
      </c>
      <c r="D191" t="str">
        <v>3.91</v>
      </c>
      <c r="E191" t="str">
        <v>650.72</v>
      </c>
      <c r="F191" t="str">
        <v>649.91</v>
      </c>
      <c r="G191" t="str">
        <v>2022/03</v>
      </c>
      <c r="H191" t="str">
        <v>-25.28</v>
      </c>
      <c r="I191" t="str">
        <v>-48.25</v>
      </c>
      <c r="J191" t="str">
        <v>2022/06</v>
      </c>
      <c r="K191" t="str">
        <f t="array" ref="K191:T191">[1]!'3122.TW-OperatingProfitRatio,Price,PriceChangeRatio,InOutRatioNumber,Value,YearReturn,MonthReturn,WeekReturn,FinanceBalanceDif,ChipsField2'</f>
        <v>22.60</v>
      </c>
      <c r="L191">
        <v>34.75</v>
      </c>
      <c r="M191">
        <v>-0.71</v>
      </c>
      <c r="N191" t="str">
        <v>38.38%</v>
      </c>
      <c r="O191" t="str">
        <v>675萬</v>
      </c>
      <c r="P191" t="str">
        <v>-30.12</v>
      </c>
      <c r="Q191" t="str">
        <v>+6.27</v>
      </c>
      <c r="R191" t="str">
        <v>-4.27</v>
      </c>
      <c r="S191">
        <v>-11</v>
      </c>
      <c r="T191">
        <v>0</v>
      </c>
      <c r="U191">
        <f t="array" ref="U191:AD191">[1]!'3122.TW-ChipsField3,ChipsField1,ChipsField25,CashAndStockDividend,CashDividendYieldRate,ProfitFourSeason,ProfitSingle,CName,ExchangeIndustry,CompanyPos'</f>
        <v>0</v>
      </c>
      <c r="V191">
        <v>108</v>
      </c>
      <c r="W191" t="str">
        <v>2022/07/12</v>
      </c>
      <c r="X191" t="str">
        <v>2.15</v>
      </c>
      <c r="Y191">
        <v>6.19</v>
      </c>
      <c r="Z191" t="str">
        <v>4.11</v>
      </c>
      <c r="AA191" t="str">
        <v>0.85</v>
      </c>
      <c r="AB191" t="str">
        <v>笙泉</v>
      </c>
      <c r="AC191" t="str">
        <v>上櫃半導體</v>
      </c>
      <c r="AD191" t="str">
        <v>提供有關MCU軟硬體全方位服務的廠商</v>
      </c>
      <c r="AE191" t="str">
        <f t="array" ref="AE191:AH191">[1]!'3122.TW-CName,InvestorConferenceDate,DateofMeetingofShareHolders,TradingDate'</f>
        <v>笙泉</v>
      </c>
      <c r="AF191" t="str">
        <v>2021/11/09</v>
      </c>
      <c r="AG191" t="str">
        <v>2022/05/23</v>
      </c>
      <c r="AH191" t="str">
        <v>2022/08/01</v>
      </c>
    </row>
    <row r="192" spans="1:34" x14ac:dyDescent="0.3">
      <c r="A192" t="str">
        <f t="array" ref="A192:J192">[1]!'3141.TW-ID,Name,MarketValue,Capital,NetIncomeGrowthRate,OperIncomeGrowthRate,FinancialStatementsTime,TFXRatio,MonthlyNetSalesYoY,RevenueMonth'</f>
        <v>3141</v>
      </c>
      <c r="B192" t="str">
        <v>晶宏</v>
      </c>
      <c r="C192" t="str">
        <v>95.4</v>
      </c>
      <c r="D192" t="str">
        <v>7.48</v>
      </c>
      <c r="E192" t="str">
        <v>161.50</v>
      </c>
      <c r="F192" t="str">
        <v>123.69</v>
      </c>
      <c r="G192" t="str">
        <v>2022/06</v>
      </c>
      <c r="H192" t="str">
        <v>-1.03</v>
      </c>
      <c r="I192" t="str">
        <v>32.44</v>
      </c>
      <c r="J192" t="str">
        <v>2022/06</v>
      </c>
      <c r="K192" t="str">
        <f t="array" ref="K192:T192">[1]!'3141.TW-OperatingProfitRatio,Price,PriceChangeRatio,InOutRatioNumber,Value,YearReturn,MonthReturn,WeekReturn,FinanceBalanceDif,ChipsField2'</f>
        <v>31.79</v>
      </c>
      <c r="L192">
        <v>127.5</v>
      </c>
      <c r="M192">
        <v>2.41</v>
      </c>
      <c r="N192" t="str">
        <v>59.74%</v>
      </c>
      <c r="O192" t="str">
        <v>6.65億</v>
      </c>
      <c r="P192" t="str">
        <v>-17.16</v>
      </c>
      <c r="Q192" t="str">
        <v>+7.21</v>
      </c>
      <c r="R192" t="str">
        <v>-3.41</v>
      </c>
      <c r="S192">
        <v>188</v>
      </c>
      <c r="T192">
        <v>0</v>
      </c>
      <c r="U192">
        <f t="array" ref="U192:AD192">[1]!'3141.TW-ChipsField3,ChipsField1,ChipsField25,CashAndStockDividend,CashDividendYieldRate,ProfitFourSeason,ProfitSingle,CName,ExchangeIndustry,CompanyPos'</f>
        <v>-11</v>
      </c>
      <c r="V192">
        <v>-161</v>
      </c>
      <c r="W192" t="str">
        <v>2022/07/07</v>
      </c>
      <c r="X192" t="str">
        <v>4.00</v>
      </c>
      <c r="Y192">
        <v>3.14</v>
      </c>
      <c r="Z192" t="str">
        <v>13.39</v>
      </c>
      <c r="AA192" t="str">
        <v>3.20</v>
      </c>
      <c r="AB192" t="str">
        <v>晶宏</v>
      </c>
      <c r="AC192" t="str">
        <v>上櫃半導體</v>
      </c>
      <c r="AD192" t="str">
        <v>元太轉投資LCD驅動IC廠，也是全球電子紙驅動IC龍頭</v>
      </c>
      <c r="AE192" t="str">
        <f t="array" ref="AE192:AH192">[1]!'3141.TW-CName,InvestorConferenceDate,DateofMeetingofShareHolders,TradingDate'</f>
        <v>晶宏</v>
      </c>
      <c r="AF192" t="str">
        <v>2022/05/05</v>
      </c>
      <c r="AG192" t="str">
        <v>2022/05/12</v>
      </c>
      <c r="AH192" t="str">
        <v>2022/08/01</v>
      </c>
    </row>
    <row r="193" spans="1:34" x14ac:dyDescent="0.3">
      <c r="A193" t="str">
        <f t="array" ref="A193:J193">[1]!'3169.TW-ID,Name,MarketValue,Capital,NetIncomeGrowthRate,OperIncomeGrowthRate,FinancialStatementsTime,TFXRatio,MonthlyNetSalesYoY,RevenueMonth'</f>
        <v>3169</v>
      </c>
      <c r="B193" t="str">
        <v>亞信</v>
      </c>
      <c r="C193" t="str">
        <v>81.5</v>
      </c>
      <c r="D193" t="str">
        <v>6.24</v>
      </c>
      <c r="E193" t="str">
        <v>62.30</v>
      </c>
      <c r="F193" t="str">
        <v>68.13</v>
      </c>
      <c r="G193" t="str">
        <v>2022/06</v>
      </c>
      <c r="H193" t="str">
        <v>-0.40</v>
      </c>
      <c r="I193" t="str">
        <v>5.44</v>
      </c>
      <c r="J193" t="str">
        <v>2022/06</v>
      </c>
      <c r="K193" t="str">
        <f t="array" ref="K193:T193">[1]!'3169.TW-OperatingProfitRatio,Price,PriceChangeRatio,InOutRatioNumber,Value,YearReturn,MonthReturn,WeekReturn,FinanceBalanceDif,ChipsField2'</f>
        <v>36.31</v>
      </c>
      <c r="L193">
        <v>130.5</v>
      </c>
      <c r="M193">
        <v>-1.51</v>
      </c>
      <c r="N193" t="str">
        <v>53.31%</v>
      </c>
      <c r="O193" t="str">
        <v>8041萬</v>
      </c>
      <c r="P193" t="str">
        <v>-17.50</v>
      </c>
      <c r="Q193" t="str">
        <v>+12.50</v>
      </c>
      <c r="R193" t="str">
        <v>-3.69</v>
      </c>
      <c r="S193">
        <v>-29</v>
      </c>
      <c r="T193">
        <v>0</v>
      </c>
      <c r="U193">
        <f t="array" ref="U193:AD193">[1]!'3169.TW-ChipsField3,ChipsField1,ChipsField25,CashAndStockDividend,CashDividendYieldRate,ProfitFourSeason,ProfitSingle,CName,ExchangeIndustry,CompanyPos'</f>
        <v>0</v>
      </c>
      <c r="V193">
        <v>172</v>
      </c>
      <c r="W193" t="str">
        <v>2022/08/18</v>
      </c>
      <c r="X193" t="str">
        <v>5.00</v>
      </c>
      <c r="Y193">
        <v>3.83</v>
      </c>
      <c r="Z193" t="str">
        <v>7.60</v>
      </c>
      <c r="AA193" t="str">
        <v>1.73</v>
      </c>
      <c r="AB193" t="str">
        <v>亞信</v>
      </c>
      <c r="AC193" t="str">
        <v>上櫃半導體</v>
      </c>
      <c r="AD193" t="str">
        <v>台灣乙太網路控制晶片廠</v>
      </c>
      <c r="AE193" t="str">
        <f t="array" ref="AE193:AH193">[1]!'3169.TW-CName,InvestorConferenceDate,DateofMeetingofShareHolders,TradingDate'</f>
        <v>亞信</v>
      </c>
      <c r="AF193" t="str">
        <v>2021/11/16</v>
      </c>
      <c r="AG193" t="str">
        <v>2022/05/25</v>
      </c>
      <c r="AH193" t="str">
        <v>2022/08/01</v>
      </c>
    </row>
    <row r="194" spans="1:34" x14ac:dyDescent="0.3">
      <c r="A194" t="str">
        <f t="array" ref="A194:J194">[1]!'3227.TW-ID,Name,MarketValue,Capital,NetIncomeGrowthRate,OperIncomeGrowthRate,FinancialStatementsTime,TFXRatio,MonthlyNetSalesYoY,RevenueMonth'</f>
        <v>3227</v>
      </c>
      <c r="B194" t="str">
        <v>原相</v>
      </c>
      <c r="C194" t="str">
        <v>135.4</v>
      </c>
      <c r="D194" t="str">
        <v>14.68</v>
      </c>
      <c r="E194" t="str">
        <v>-72.71</v>
      </c>
      <c r="F194" t="str">
        <v>-85.55</v>
      </c>
      <c r="G194" t="str">
        <v>2022/03</v>
      </c>
      <c r="H194" t="str">
        <v>-12.38</v>
      </c>
      <c r="I194" t="str">
        <v>-40.08</v>
      </c>
      <c r="J194" t="str">
        <v>2022/06</v>
      </c>
      <c r="K194" t="str">
        <f t="array" ref="K194:T194">[1]!'3227.TW-OperatingProfitRatio,Price,PriceChangeRatio,InOutRatioNumber,Value,YearReturn,MonthReturn,WeekReturn,FinanceBalanceDif,ChipsField2'</f>
        <v>4.78</v>
      </c>
      <c r="L194">
        <v>92.7</v>
      </c>
      <c r="M194">
        <v>3</v>
      </c>
      <c r="N194" t="str">
        <v>62.68%</v>
      </c>
      <c r="O194" t="str">
        <v>7752萬</v>
      </c>
      <c r="P194" t="str">
        <v>-47.32</v>
      </c>
      <c r="Q194" t="str">
        <v>+12.22</v>
      </c>
      <c r="R194" t="str">
        <v>+0.32</v>
      </c>
      <c r="S194">
        <v>-6</v>
      </c>
      <c r="T194">
        <v>0</v>
      </c>
      <c r="U194">
        <f t="array" ref="U194:AD194">[1]!'3227.TW-ChipsField3,ChipsField1,ChipsField25,CashAndStockDividend,CashDividendYieldRate,ProfitFourSeason,ProfitSingle,CName,ExchangeIndustry,CompanyPos'</f>
        <v>7</v>
      </c>
      <c r="V194">
        <v>136</v>
      </c>
      <c r="W194" t="str">
        <v>2022/07/18</v>
      </c>
      <c r="X194" t="str">
        <v>9.00</v>
      </c>
      <c r="Y194">
        <v>9.7100000000000009</v>
      </c>
      <c r="Z194" t="str">
        <v>9.14</v>
      </c>
      <c r="AA194" t="str">
        <v>0.90</v>
      </c>
      <c r="AB194" t="str">
        <v>原相</v>
      </c>
      <c r="AC194" t="str">
        <v>上櫃半導體</v>
      </c>
      <c r="AD194" t="str">
        <v>為CMOS影像感測器及數位影像應用IC領導廠商</v>
      </c>
      <c r="AE194" t="str">
        <f t="array" ref="AE194:AH194">[1]!'3227.TW-CName,InvestorConferenceDate,DateofMeetingofShareHolders,TradingDate'</f>
        <v>原相</v>
      </c>
      <c r="AF194" t="str">
        <v>2022/05/12</v>
      </c>
      <c r="AG194" t="str">
        <v>2022/05/27</v>
      </c>
      <c r="AH194" t="str">
        <v>2022/08/01</v>
      </c>
    </row>
    <row r="195" spans="1:34" x14ac:dyDescent="0.3">
      <c r="A195" t="str">
        <f t="array" ref="A195:J195">[1]!'3228.TW-ID,Name,MarketValue,Capital,NetIncomeGrowthRate,OperIncomeGrowthRate,FinancialStatementsTime,TFXRatio,MonthlyNetSalesYoY,RevenueMonth'</f>
        <v>3228</v>
      </c>
      <c r="B195" t="str">
        <v>金麗科</v>
      </c>
      <c r="C195" t="str">
        <v>229.5</v>
      </c>
      <c r="D195" t="str">
        <v>6.78</v>
      </c>
      <c r="E195" t="str">
        <v>-58.65</v>
      </c>
      <c r="F195" t="str">
        <v>-57.10</v>
      </c>
      <c r="G195" t="str">
        <v>2022/06</v>
      </c>
      <c r="H195" t="str">
        <v>73.92</v>
      </c>
      <c r="I195" t="str">
        <v>-2.24</v>
      </c>
      <c r="J195" t="str">
        <v>2022/06</v>
      </c>
      <c r="K195" t="str">
        <f t="array" ref="K195:T195">[1]!'3228.TW-OperatingProfitRatio,Price,PriceChangeRatio,InOutRatioNumber,Value,YearReturn,MonthReturn,WeekReturn,FinanceBalanceDif,ChipsField2'</f>
        <v>29.56</v>
      </c>
      <c r="L195">
        <v>338.5</v>
      </c>
      <c r="M195">
        <v>-3.29</v>
      </c>
      <c r="N195" t="str">
        <v>38.91%</v>
      </c>
      <c r="O195" t="str">
        <v>5.35億</v>
      </c>
      <c r="P195" t="str">
        <v>-19.21</v>
      </c>
      <c r="Q195" t="str">
        <v>+12.65</v>
      </c>
      <c r="R195" t="str">
        <v>+3.99</v>
      </c>
      <c r="S195">
        <v>69</v>
      </c>
      <c r="T195">
        <v>1</v>
      </c>
      <c r="U195">
        <f t="array" ref="U195:AD195">[1]!'3228.TW-ChipsField3,ChipsField1,ChipsField25,CashAndStockDividend,CashDividendYieldRate,ProfitFourSeason,ProfitSingle,CName,ExchangeIndustry,CompanyPos'</f>
        <v>-4</v>
      </c>
      <c r="V195">
        <v>53</v>
      </c>
      <c r="W195" t="str">
        <v>--</v>
      </c>
      <c r="X195" t="str">
        <v>0.00</v>
      </c>
      <c r="Y195">
        <v>0</v>
      </c>
      <c r="Z195" t="str">
        <v>1.31</v>
      </c>
      <c r="AA195" t="str">
        <v>0.15</v>
      </c>
      <c r="AB195" t="str">
        <v>金麗科</v>
      </c>
      <c r="AC195" t="str">
        <v>上櫃半導體</v>
      </c>
      <c r="AD195" t="str">
        <v>有線、無線網路之x86相容CPU解決方案廠商</v>
      </c>
      <c r="AE195" t="str">
        <f t="array" ref="AE195:AH195">[1]!'3228.TW-CName,InvestorConferenceDate,DateofMeetingofShareHolders,TradingDate'</f>
        <v>金麗科</v>
      </c>
      <c r="AF195" t="str">
        <v>--</v>
      </c>
      <c r="AG195" t="str">
        <v>2022/06/22</v>
      </c>
      <c r="AH195" t="str">
        <v>2022/08/01</v>
      </c>
    </row>
    <row r="196" spans="1:34" x14ac:dyDescent="0.3">
      <c r="A196" t="str">
        <f t="array" ref="A196:J196">[1]!'3259.TW-ID,Name,MarketValue,Capital,NetIncomeGrowthRate,OperIncomeGrowthRate,FinancialStatementsTime,TFXRatio,MonthlyNetSalesYoY,RevenueMonth'</f>
        <v>3259</v>
      </c>
      <c r="B196" t="str">
        <v>鑫創</v>
      </c>
      <c r="C196" t="str">
        <v>14.2</v>
      </c>
      <c r="D196" t="str">
        <v>7.47</v>
      </c>
      <c r="E196" t="str">
        <v>-219.86</v>
      </c>
      <c r="F196" t="str">
        <v>-306.36</v>
      </c>
      <c r="G196" t="str">
        <v>2022/03</v>
      </c>
      <c r="H196" t="str">
        <v>15.99</v>
      </c>
      <c r="I196" t="str">
        <v>-45.26</v>
      </c>
      <c r="J196" t="str">
        <v>2022/06</v>
      </c>
      <c r="K196" t="str">
        <f t="array" ref="K196:T196">[1]!'3259.TW-OperatingProfitRatio,Price,PriceChangeRatio,InOutRatioNumber,Value,YearReturn,MonthReturn,WeekReturn,FinanceBalanceDif,ChipsField2'</f>
        <v>-24.38</v>
      </c>
      <c r="L196">
        <v>19</v>
      </c>
      <c r="M196">
        <v>0</v>
      </c>
      <c r="N196" t="str">
        <v>87.18%</v>
      </c>
      <c r="O196" t="str">
        <v>74.0萬</v>
      </c>
      <c r="P196" t="str">
        <v>-54.98</v>
      </c>
      <c r="Q196" t="str">
        <v>0.00</v>
      </c>
      <c r="R196" t="str">
        <v>-0.26</v>
      </c>
      <c r="S196">
        <v>0</v>
      </c>
      <c r="T196">
        <v>0</v>
      </c>
      <c r="U196">
        <f t="array" ref="U196:AD196">[1]!'3259.TW-ChipsField3,ChipsField1,ChipsField25,CashAndStockDividend,CashDividendYieldRate,ProfitFourSeason,ProfitSingle,CName,ExchangeIndustry,CompanyPos'</f>
        <v>0</v>
      </c>
      <c r="V196">
        <v>-1</v>
      </c>
      <c r="W196" t="str">
        <v>--</v>
      </c>
      <c r="X196" t="str">
        <v>0.00</v>
      </c>
      <c r="Y196">
        <v>0</v>
      </c>
      <c r="Z196" t="str">
        <v>-0.25</v>
      </c>
      <c r="AA196" t="str">
        <v>-0.35</v>
      </c>
      <c r="AB196" t="str">
        <v>鑫創</v>
      </c>
      <c r="AC196" t="str">
        <v>上櫃半導體</v>
      </c>
      <c r="AD196" t="str">
        <v>轉型為MEMS麥克風IC設計廠</v>
      </c>
      <c r="AE196" t="str">
        <f t="array" ref="AE196:AH196">[1]!'3259.TW-CName,InvestorConferenceDate,DateofMeetingofShareHolders,TradingDate'</f>
        <v>鑫創</v>
      </c>
      <c r="AF196" t="str">
        <v>2022/03/14</v>
      </c>
      <c r="AG196" t="str">
        <v>2022/06/21</v>
      </c>
      <c r="AH196" t="str">
        <v>2022/08/01</v>
      </c>
    </row>
    <row r="197" spans="1:34" x14ac:dyDescent="0.3">
      <c r="A197" t="str">
        <f t="array" ref="A197:J197">[1]!'3260.TW-ID,Name,MarketValue,Capital,NetIncomeGrowthRate,OperIncomeGrowthRate,FinancialStatementsTime,TFXRatio,MonthlyNetSalesYoY,RevenueMonth'</f>
        <v>3260</v>
      </c>
      <c r="B197" t="str">
        <v>威剛</v>
      </c>
      <c r="C197" t="str">
        <v>154.5</v>
      </c>
      <c r="D197" t="str">
        <v>26.68</v>
      </c>
      <c r="E197" t="str">
        <v>-30.05</v>
      </c>
      <c r="F197" t="str">
        <v>-27.13</v>
      </c>
      <c r="G197" t="str">
        <v>2022/03</v>
      </c>
      <c r="H197" t="str">
        <v>6.90</v>
      </c>
      <c r="I197" t="str">
        <v>-11.41</v>
      </c>
      <c r="J197" t="str">
        <v>2022/06</v>
      </c>
      <c r="K197" t="str">
        <f t="array" ref="K197:T197">[1]!'3260.TW-OperatingProfitRatio,Price,PriceChangeRatio,InOutRatioNumber,Value,YearReturn,MonthReturn,WeekReturn,FinanceBalanceDif,ChipsField2'</f>
        <v>5.36</v>
      </c>
      <c r="L197">
        <v>57.9</v>
      </c>
      <c r="M197">
        <v>-0.86</v>
      </c>
      <c r="N197" t="str">
        <v>51.26%</v>
      </c>
      <c r="O197" t="str">
        <v>6037萬</v>
      </c>
      <c r="P197" t="str">
        <v>-40.23</v>
      </c>
      <c r="Q197" t="str">
        <v>+11.59</v>
      </c>
      <c r="R197" t="str">
        <v>-1.70</v>
      </c>
      <c r="S197">
        <v>-26</v>
      </c>
      <c r="T197">
        <v>0</v>
      </c>
      <c r="U197">
        <f t="array" ref="U197:AD197">[1]!'3260.TW-ChipsField3,ChipsField1,ChipsField25,CashAndStockDividend,CashDividendYieldRate,ProfitFourSeason,ProfitSingle,CName,ExchangeIndustry,CompanyPos'</f>
        <v>-48</v>
      </c>
      <c r="V197">
        <v>380</v>
      </c>
      <c r="W197" t="str">
        <v>2022/07/21</v>
      </c>
      <c r="X197" t="str">
        <v>5.43</v>
      </c>
      <c r="Y197">
        <v>9.3800000000000008</v>
      </c>
      <c r="Z197" t="str">
        <v>8.14</v>
      </c>
      <c r="AA197" t="str">
        <v>1.82</v>
      </c>
      <c r="AB197" t="str">
        <v>威剛</v>
      </c>
      <c r="AC197" t="str">
        <v>上櫃半導體</v>
      </c>
      <c r="AD197" t="str">
        <v>全球第二大記憶體模組廠</v>
      </c>
      <c r="AE197" t="str">
        <f t="array" ref="AE197:AH197">[1]!'3260.TW-CName,InvestorConferenceDate,DateofMeetingofShareHolders,TradingDate'</f>
        <v>威剛</v>
      </c>
      <c r="AF197" t="str">
        <v>--</v>
      </c>
      <c r="AG197" t="str">
        <v>2022/06/14</v>
      </c>
      <c r="AH197" t="str">
        <v>2022/08/01</v>
      </c>
    </row>
    <row r="198" spans="1:34" x14ac:dyDescent="0.3">
      <c r="A198" t="str">
        <f t="array" ref="A198:J198">[1]!'3264.TW-ID,Name,MarketValue,Capital,NetIncomeGrowthRate,OperIncomeGrowthRate,FinancialStatementsTime,TFXRatio,MonthlyNetSalesYoY,RevenueMonth'</f>
        <v>3264</v>
      </c>
      <c r="B198" t="str">
        <v>欣銓</v>
      </c>
      <c r="C198" t="str">
        <v>202.0</v>
      </c>
      <c r="D198" t="str">
        <v>49.02</v>
      </c>
      <c r="E198" t="str">
        <v>37.28</v>
      </c>
      <c r="F198" t="str">
        <v>41.35</v>
      </c>
      <c r="G198" t="str">
        <v>2022/06</v>
      </c>
      <c r="H198" t="str">
        <v>5.30</v>
      </c>
      <c r="I198" t="str">
        <v>28.37</v>
      </c>
      <c r="J198" t="str">
        <v>2022/06</v>
      </c>
      <c r="K198" t="str">
        <f t="array" ref="K198:T198">[1]!'3264.TW-OperatingProfitRatio,Price,PriceChangeRatio,InOutRatioNumber,Value,YearReturn,MonthReturn,WeekReturn,FinanceBalanceDif,ChipsField2'</f>
        <v>27.95</v>
      </c>
      <c r="L198">
        <v>41.2</v>
      </c>
      <c r="M198">
        <v>0.12</v>
      </c>
      <c r="N198" t="str">
        <v>36.95%</v>
      </c>
      <c r="O198" t="str">
        <v>1.90億</v>
      </c>
      <c r="P198" t="str">
        <v>-23.89</v>
      </c>
      <c r="Q198" t="str">
        <v>+19.25</v>
      </c>
      <c r="R198" t="str">
        <v>+3.91</v>
      </c>
      <c r="S198">
        <v>26</v>
      </c>
      <c r="T198">
        <v>7</v>
      </c>
      <c r="U198">
        <f t="array" ref="U198:AD198">[1]!'3264.TW-ChipsField3,ChipsField1,ChipsField25,CashAndStockDividend,CashDividendYieldRate,ProfitFourSeason,ProfitSingle,CName,ExchangeIndustry,CompanyPos'</f>
        <v>43</v>
      </c>
      <c r="V198">
        <v>-315</v>
      </c>
      <c r="W198" t="str">
        <v>2022/06/16</v>
      </c>
      <c r="X198" t="str">
        <v>2.80</v>
      </c>
      <c r="Y198">
        <v>6.8</v>
      </c>
      <c r="Z198" t="str">
        <v>6.34</v>
      </c>
      <c r="AA198" t="str">
        <v>1.88</v>
      </c>
      <c r="AB198" t="str">
        <v>欣銓</v>
      </c>
      <c r="AC198" t="str">
        <v>上櫃半導體</v>
      </c>
      <c r="AD198" t="str">
        <v>主攻晶圓測試，台灣前三大IC測試廠之一</v>
      </c>
      <c r="AE198" t="str">
        <f t="array" ref="AE198:AH198">[1]!'3264.TW-CName,InvestorConferenceDate,DateofMeetingofShareHolders,TradingDate'</f>
        <v>欣銓</v>
      </c>
      <c r="AF198" t="str">
        <v>2022/07/29</v>
      </c>
      <c r="AG198" t="str">
        <v>2022/05/26</v>
      </c>
      <c r="AH198" t="str">
        <v>2022/08/01</v>
      </c>
    </row>
    <row r="199" spans="1:34" x14ac:dyDescent="0.3">
      <c r="A199" t="str">
        <f t="array" ref="A199:J199">[1]!'3265.TW-ID,Name,MarketValue,Capital,NetIncomeGrowthRate,OperIncomeGrowthRate,FinancialStatementsTime,TFXRatio,MonthlyNetSalesYoY,RevenueMonth'</f>
        <v>3265</v>
      </c>
      <c r="B199" t="str">
        <v>台星科</v>
      </c>
      <c r="C199" t="str">
        <v>64.7</v>
      </c>
      <c r="D199" t="str">
        <v>13.63</v>
      </c>
      <c r="E199" t="str">
        <v>347.24</v>
      </c>
      <c r="F199" t="str">
        <v>320.44</v>
      </c>
      <c r="G199" t="str">
        <v>2022/03</v>
      </c>
      <c r="H199" t="str">
        <v>8.23</v>
      </c>
      <c r="I199" t="str">
        <v>64.87</v>
      </c>
      <c r="J199" t="str">
        <v>2022/06</v>
      </c>
      <c r="K199" t="str">
        <f t="array" ref="K199:T199">[1]!'3265.TW-OperatingProfitRatio,Price,PriceChangeRatio,InOutRatioNumber,Value,YearReturn,MonthReturn,WeekReturn,FinanceBalanceDif,ChipsField2'</f>
        <v>25.99</v>
      </c>
      <c r="L199">
        <v>47.5</v>
      </c>
      <c r="M199">
        <v>-0.21</v>
      </c>
      <c r="N199" t="str">
        <v>46.46%</v>
      </c>
      <c r="O199" t="str">
        <v>1.22億</v>
      </c>
      <c r="P199" t="str">
        <v>+71.59</v>
      </c>
      <c r="Q199" t="str">
        <v>+11.15</v>
      </c>
      <c r="R199" t="str">
        <v>+2.81</v>
      </c>
      <c r="S199">
        <v>88</v>
      </c>
      <c r="T199">
        <v>0</v>
      </c>
      <c r="U199">
        <f t="array" ref="U199:AD199">[1]!'3265.TW-ChipsField3,ChipsField1,ChipsField25,CashAndStockDividend,CashDividendYieldRate,ProfitFourSeason,ProfitSingle,CName,ExchangeIndustry,CompanyPos'</f>
        <v>34</v>
      </c>
      <c r="V199">
        <v>298</v>
      </c>
      <c r="W199" t="str">
        <v>2022/07/12</v>
      </c>
      <c r="X199" t="str">
        <v>2.30</v>
      </c>
      <c r="Y199">
        <v>4.84</v>
      </c>
      <c r="Z199" t="str">
        <v>4.19</v>
      </c>
      <c r="AA199" t="str">
        <v>1.67</v>
      </c>
      <c r="AB199" t="str">
        <v>台星科</v>
      </c>
      <c r="AC199" t="str">
        <v>上櫃半導體</v>
      </c>
      <c r="AD199" t="str">
        <v>淡馬錫控股之IC封測廠</v>
      </c>
      <c r="AE199" t="str">
        <f t="array" ref="AE199:AH199">[1]!'3265.TW-CName,InvestorConferenceDate,DateofMeetingofShareHolders,TradingDate'</f>
        <v>台星科</v>
      </c>
      <c r="AF199" t="str">
        <v>2021/11/17</v>
      </c>
      <c r="AG199" t="str">
        <v>2022/06/08</v>
      </c>
      <c r="AH199" t="str">
        <v>2022/08/01</v>
      </c>
    </row>
    <row r="200" spans="1:34" x14ac:dyDescent="0.3">
      <c r="A200" t="str">
        <f t="array" ref="A200:J200">[1]!'3268.TW-ID,Name,MarketValue,Capital,NetIncomeGrowthRate,OperIncomeGrowthRate,FinancialStatementsTime,TFXRatio,MonthlyNetSalesYoY,RevenueMonth'</f>
        <v>3268</v>
      </c>
      <c r="B200" t="str">
        <v>海德威</v>
      </c>
      <c r="C200" t="str">
        <v>6.9</v>
      </c>
      <c r="D200" t="str">
        <v>3.34</v>
      </c>
      <c r="E200" t="str">
        <v>26.97</v>
      </c>
      <c r="F200" t="str">
        <v>-44.35</v>
      </c>
      <c r="G200" t="str">
        <v>2022/03</v>
      </c>
      <c r="H200" t="str">
        <v>-21.50</v>
      </c>
      <c r="I200" t="str">
        <v>3.57</v>
      </c>
      <c r="J200" t="str">
        <v>2022/06</v>
      </c>
      <c r="K200" t="str">
        <f t="array" ref="K200:T200">[1]!'3268.TW-OperatingProfitRatio,Price,PriceChangeRatio,InOutRatioNumber,Value,YearReturn,MonthReturn,WeekReturn,FinanceBalanceDif,ChipsField2'</f>
        <v>1.19</v>
      </c>
      <c r="L200">
        <v>20.5</v>
      </c>
      <c r="M200">
        <v>1.23</v>
      </c>
      <c r="N200" t="str">
        <v>23.53%</v>
      </c>
      <c r="O200" t="str">
        <v>36.5萬</v>
      </c>
      <c r="P200" t="str">
        <v>-43.25</v>
      </c>
      <c r="Q200" t="str">
        <v>+2.24</v>
      </c>
      <c r="R200" t="str">
        <v>-1.20</v>
      </c>
      <c r="S200">
        <v>3</v>
      </c>
      <c r="T200">
        <v>0</v>
      </c>
      <c r="U200">
        <f t="array" ref="U200:AD200">[1]!'3268.TW-ChipsField3,ChipsField1,ChipsField25,CashAndStockDividend,CashDividendYieldRate,ProfitFourSeason,ProfitSingle,CName,ExchangeIndustry,CompanyPos'</f>
        <v>0</v>
      </c>
      <c r="V200">
        <v>0</v>
      </c>
      <c r="W200" t="str">
        <v>2022/08/11</v>
      </c>
      <c r="X200" t="str">
        <v>0.60</v>
      </c>
      <c r="Y200">
        <v>2.93</v>
      </c>
      <c r="Z200" t="str">
        <v>1.05</v>
      </c>
      <c r="AA200" t="str">
        <v>0.48</v>
      </c>
      <c r="AB200" t="str">
        <v>海德威</v>
      </c>
      <c r="AC200" t="str">
        <v>上櫃半導體</v>
      </c>
      <c r="AD200" t="str">
        <v>台灣消費性IC韌體設計廠</v>
      </c>
      <c r="AE200" t="str">
        <f t="array" ref="AE200:AH200">[1]!'3268.TW-CName,InvestorConferenceDate,DateofMeetingofShareHolders,TradingDate'</f>
        <v>海德威</v>
      </c>
      <c r="AF200" t="str">
        <v>--</v>
      </c>
      <c r="AG200" t="str">
        <v>2022/06/24</v>
      </c>
      <c r="AH200" t="str">
        <v>2022/08/01</v>
      </c>
    </row>
    <row r="201" spans="1:34" x14ac:dyDescent="0.3">
      <c r="A201" t="str">
        <f t="array" ref="A201:J201">[1]!'3317.TW-ID,Name,MarketValue,Capital,NetIncomeGrowthRate,OperIncomeGrowthRate,FinancialStatementsTime,TFXRatio,MonthlyNetSalesYoY,RevenueMonth'</f>
        <v>3317</v>
      </c>
      <c r="B201" t="str">
        <v>尼克森</v>
      </c>
      <c r="C201" t="str">
        <v>38.3</v>
      </c>
      <c r="D201" t="str">
        <v>6.13</v>
      </c>
      <c r="E201" t="str">
        <v>68.34</v>
      </c>
      <c r="F201" t="str">
        <v>13.67</v>
      </c>
      <c r="G201" t="str">
        <v>2022/03</v>
      </c>
      <c r="H201" t="str">
        <v>4.07</v>
      </c>
      <c r="I201" t="str">
        <v>7.89</v>
      </c>
      <c r="J201" t="str">
        <v>2022/06</v>
      </c>
      <c r="K201" t="str">
        <f t="array" ref="K201:T201">[1]!'3317.TW-OperatingProfitRatio,Price,PriceChangeRatio,InOutRatioNumber,Value,YearReturn,MonthReturn,WeekReturn,FinanceBalanceDif,ChipsField2'</f>
        <v>16.84</v>
      </c>
      <c r="L201">
        <v>62.6</v>
      </c>
      <c r="M201">
        <v>-1.73</v>
      </c>
      <c r="N201" t="str">
        <v>25.90%</v>
      </c>
      <c r="O201" t="str">
        <v>3304萬</v>
      </c>
      <c r="P201" t="str">
        <v>-23.12</v>
      </c>
      <c r="Q201" t="str">
        <v>+14.86</v>
      </c>
      <c r="R201" t="str">
        <v>-2.49</v>
      </c>
      <c r="S201">
        <v>-27</v>
      </c>
      <c r="T201">
        <v>0</v>
      </c>
      <c r="U201">
        <f t="array" ref="U201:AD201">[1]!'3317.TW-ChipsField3,ChipsField1,ChipsField25,CashAndStockDividend,CashDividendYieldRate,ProfitFourSeason,ProfitSingle,CName,ExchangeIndustry,CompanyPos'</f>
        <v>0</v>
      </c>
      <c r="V201">
        <v>110</v>
      </c>
      <c r="W201" t="str">
        <v>--</v>
      </c>
      <c r="X201" t="str">
        <v>1.20</v>
      </c>
      <c r="Y201">
        <v>1.92</v>
      </c>
      <c r="Z201" t="str">
        <v>6.79</v>
      </c>
      <c r="AA201" t="str">
        <v>2.48</v>
      </c>
      <c r="AB201" t="str">
        <v>尼克森</v>
      </c>
      <c r="AC201" t="str">
        <v>上櫃半導體</v>
      </c>
      <c r="AD201" t="str">
        <v>台灣電源管理功率元件公司</v>
      </c>
      <c r="AE201" t="str">
        <f t="array" ref="AE201:AH201">[1]!'3317.TW-CName,InvestorConferenceDate,DateofMeetingofShareHolders,TradingDate'</f>
        <v>尼克森</v>
      </c>
      <c r="AF201" t="str">
        <v>--</v>
      </c>
      <c r="AG201" t="str">
        <v>2022/06/08</v>
      </c>
      <c r="AH201" t="str">
        <v>2022/08/01</v>
      </c>
    </row>
    <row r="202" spans="1:34" x14ac:dyDescent="0.3">
      <c r="A202" t="str">
        <f t="array" ref="A202:J202">[1]!'3372.TW-ID,Name,MarketValue,Capital,NetIncomeGrowthRate,OperIncomeGrowthRate,FinancialStatementsTime,TFXRatio,MonthlyNetSalesYoY,RevenueMonth'</f>
        <v>3372</v>
      </c>
      <c r="B202" t="str">
        <v>典範</v>
      </c>
      <c r="C202" t="str">
        <v>23.9</v>
      </c>
      <c r="D202" t="str">
        <v>17.55</v>
      </c>
      <c r="E202" t="str">
        <v>2.93</v>
      </c>
      <c r="F202" t="str">
        <v>-38.92</v>
      </c>
      <c r="G202" t="str">
        <v>2022/03</v>
      </c>
      <c r="H202" t="str">
        <v>-11.30</v>
      </c>
      <c r="I202" t="str">
        <v>-38.96</v>
      </c>
      <c r="J202" t="str">
        <v>2022/06</v>
      </c>
      <c r="K202" t="str">
        <f t="array" ref="K202:T202">[1]!'3372.TW-OperatingProfitRatio,Price,PriceChangeRatio,InOutRatioNumber,Value,YearReturn,MonthReturn,WeekReturn,FinanceBalanceDif,ChipsField2'</f>
        <v>10.81</v>
      </c>
      <c r="L202">
        <v>13.6</v>
      </c>
      <c r="M202">
        <v>0.37</v>
      </c>
      <c r="N202" t="str">
        <v>50.00%</v>
      </c>
      <c r="O202" t="str">
        <v>368萬</v>
      </c>
      <c r="P202" t="str">
        <v>-55.56</v>
      </c>
      <c r="Q202" t="str">
        <v>+10.57</v>
      </c>
      <c r="R202" t="str">
        <v>+1.87</v>
      </c>
      <c r="S202">
        <v>44</v>
      </c>
      <c r="T202">
        <v>0</v>
      </c>
      <c r="U202">
        <f t="array" ref="U202:AD202">[1]!'3372.TW-ChipsField3,ChipsField1,ChipsField25,CashAndStockDividend,CashDividendYieldRate,ProfitFourSeason,ProfitSingle,CName,ExchangeIndustry,CompanyPos'</f>
        <v>0</v>
      </c>
      <c r="V202">
        <v>52</v>
      </c>
      <c r="W202" t="str">
        <v>--</v>
      </c>
      <c r="X202" t="str">
        <v>1.00</v>
      </c>
      <c r="Y202">
        <v>7.35</v>
      </c>
      <c r="Z202" t="str">
        <v>2.40</v>
      </c>
      <c r="AA202" t="str">
        <v>0.41</v>
      </c>
      <c r="AB202" t="str">
        <v>典範</v>
      </c>
      <c r="AC202" t="str">
        <v>上櫃半導體</v>
      </c>
      <c r="AD202" t="str">
        <v>記憶卡、影像感測元件封裝廠</v>
      </c>
      <c r="AE202" t="str">
        <f t="array" ref="AE202:AH202">[1]!'3372.TW-CName,InvestorConferenceDate,DateofMeetingofShareHolders,TradingDate'</f>
        <v>典範</v>
      </c>
      <c r="AF202" t="str">
        <v>--</v>
      </c>
      <c r="AG202" t="str">
        <v>2022/06/16</v>
      </c>
      <c r="AH202" t="str">
        <v>2022/08/01</v>
      </c>
    </row>
    <row r="203" spans="1:34" x14ac:dyDescent="0.3">
      <c r="A203" t="str">
        <f t="array" ref="A203:J203">[1]!'3374.TW-ID,Name,MarketValue,Capital,NetIncomeGrowthRate,OperIncomeGrowthRate,FinancialStatementsTime,TFXRatio,MonthlyNetSalesYoY,RevenueMonth'</f>
        <v>3374</v>
      </c>
      <c r="B203" t="str">
        <v>精材</v>
      </c>
      <c r="C203" t="str">
        <v>344.6</v>
      </c>
      <c r="D203" t="str">
        <v>27.14</v>
      </c>
      <c r="E203" t="str">
        <v>-39.62</v>
      </c>
      <c r="F203" t="str">
        <v>-37.95</v>
      </c>
      <c r="G203" t="str">
        <v>2022/03</v>
      </c>
      <c r="H203" t="str">
        <v>2.66</v>
      </c>
      <c r="I203" t="str">
        <v>23.26</v>
      </c>
      <c r="J203" t="str">
        <v>2022/06</v>
      </c>
      <c r="K203" t="str">
        <f t="array" ref="K203:T203">[1]!'3374.TW-OperatingProfitRatio,Price,PriceChangeRatio,InOutRatioNumber,Value,YearReturn,MonthReturn,WeekReturn,FinanceBalanceDif,ChipsField2'</f>
        <v>25.89</v>
      </c>
      <c r="L203">
        <v>127</v>
      </c>
      <c r="M203">
        <v>-1.55</v>
      </c>
      <c r="N203" t="str">
        <v>49.41%</v>
      </c>
      <c r="O203" t="str">
        <v>1.67億</v>
      </c>
      <c r="P203" t="str">
        <v>-21.44</v>
      </c>
      <c r="Q203" t="str">
        <v>+4.10</v>
      </c>
      <c r="R203" t="str">
        <v>+0.79</v>
      </c>
      <c r="S203">
        <v>4</v>
      </c>
      <c r="T203">
        <v>-38</v>
      </c>
      <c r="U203">
        <f t="array" ref="U203:AD203">[1]!'3374.TW-ChipsField3,ChipsField1,ChipsField25,CashAndStockDividend,CashDividendYieldRate,ProfitFourSeason,ProfitSingle,CName,ExchangeIndustry,CompanyPos'</f>
        <v>-51</v>
      </c>
      <c r="V203">
        <v>500</v>
      </c>
      <c r="W203" t="str">
        <v>2022/06/15</v>
      </c>
      <c r="X203" t="str">
        <v>3.00</v>
      </c>
      <c r="Y203">
        <v>2.36</v>
      </c>
      <c r="Z203" t="str">
        <v>6.06</v>
      </c>
      <c r="AA203" t="str">
        <v>1.31</v>
      </c>
      <c r="AB203" t="str">
        <v>精材</v>
      </c>
      <c r="AC203" t="str">
        <v>上櫃半導體</v>
      </c>
      <c r="AD203" t="str">
        <v>台積電旗下,台灣首家3D堆疊晶圓級封裝量產廠商</v>
      </c>
      <c r="AE203" t="str">
        <f t="array" ref="AE203:AH203">[1]!'3374.TW-CName,InvestorConferenceDate,DateofMeetingofShareHolders,TradingDate'</f>
        <v>精材</v>
      </c>
      <c r="AF203" t="str">
        <v>2022/02/17</v>
      </c>
      <c r="AG203" t="str">
        <v>2022/05/26</v>
      </c>
      <c r="AH203" t="str">
        <v>2022/08/01</v>
      </c>
    </row>
    <row r="204" spans="1:34" x14ac:dyDescent="0.3">
      <c r="A204" t="str">
        <f t="array" ref="A204:J204">[1]!'3438.TW-ID,Name,MarketValue,Capital,NetIncomeGrowthRate,OperIncomeGrowthRate,FinancialStatementsTime,TFXRatio,MonthlyNetSalesYoY,RevenueMonth'</f>
        <v>3438</v>
      </c>
      <c r="B204" t="str">
        <v>類比科</v>
      </c>
      <c r="C204" t="str">
        <v>24.2</v>
      </c>
      <c r="D204" t="str">
        <v>4.72</v>
      </c>
      <c r="E204" t="str">
        <v>3.86</v>
      </c>
      <c r="F204" t="str">
        <v>-30.16</v>
      </c>
      <c r="G204" t="str">
        <v>2022/03</v>
      </c>
      <c r="H204" t="str">
        <v>-20.35</v>
      </c>
      <c r="I204" t="str">
        <v>-41.84</v>
      </c>
      <c r="J204" t="str">
        <v>2022/06</v>
      </c>
      <c r="K204" t="str">
        <f t="array" ref="K204:T204">[1]!'3438.TW-OperatingProfitRatio,Price,PriceChangeRatio,InOutRatioNumber,Value,YearReturn,MonthReturn,WeekReturn,FinanceBalanceDif,ChipsField2'</f>
        <v>13.56</v>
      </c>
      <c r="L204">
        <v>51.3</v>
      </c>
      <c r="M204">
        <v>-1.35</v>
      </c>
      <c r="N204" t="str">
        <v>19.51%</v>
      </c>
      <c r="O204" t="str">
        <v>641萬</v>
      </c>
      <c r="P204" t="str">
        <v>-42.79</v>
      </c>
      <c r="Q204" t="str">
        <v>+15.02</v>
      </c>
      <c r="R204" t="str">
        <v>-4.11</v>
      </c>
      <c r="S204">
        <v>10</v>
      </c>
      <c r="T204">
        <v>0</v>
      </c>
      <c r="U204">
        <f t="array" ref="U204:AD204">[1]!'3438.TW-ChipsField3,ChipsField1,ChipsField25,CashAndStockDividend,CashDividendYieldRate,ProfitFourSeason,ProfitSingle,CName,ExchangeIndustry,CompanyPos'</f>
        <v>-14</v>
      </c>
      <c r="V204">
        <v>-10</v>
      </c>
      <c r="W204" t="str">
        <v>2022/06/30</v>
      </c>
      <c r="X204" t="str">
        <v>3.60</v>
      </c>
      <c r="Y204">
        <v>7.02</v>
      </c>
      <c r="Z204" t="str">
        <v>5.19</v>
      </c>
      <c r="AA204" t="str">
        <v>1.24</v>
      </c>
      <c r="AB204" t="str">
        <v>類比科</v>
      </c>
      <c r="AC204" t="str">
        <v>上櫃半導體</v>
      </c>
      <c r="AD204" t="str">
        <v>台灣面板電源管理IC龍頭</v>
      </c>
      <c r="AE204" t="str">
        <f t="array" ref="AE204:AH204">[1]!'3438.TW-CName,InvestorConferenceDate,DateofMeetingofShareHolders,TradingDate'</f>
        <v>類比科</v>
      </c>
      <c r="AF204" t="str">
        <v>--</v>
      </c>
      <c r="AG204" t="str">
        <v>2022/06/01</v>
      </c>
      <c r="AH204" t="str">
        <v>2022/08/01</v>
      </c>
    </row>
    <row r="205" spans="1:34" x14ac:dyDescent="0.3">
      <c r="A205" t="str">
        <f t="array" ref="A205:J205">[1]!'3527.TW-ID,Name,MarketValue,Capital,NetIncomeGrowthRate,OperIncomeGrowthRate,FinancialStatementsTime,TFXRatio,MonthlyNetSalesYoY,RevenueMonth'</f>
        <v>3527</v>
      </c>
      <c r="B205" t="str">
        <v>聚積</v>
      </c>
      <c r="C205" t="str">
        <v>52.4</v>
      </c>
      <c r="D205" t="str">
        <v>4.44</v>
      </c>
      <c r="E205" t="str">
        <v>312.77</v>
      </c>
      <c r="F205" t="str">
        <v>445.43</v>
      </c>
      <c r="G205" t="str">
        <v>2022/03</v>
      </c>
      <c r="H205" t="str">
        <v>-15.07</v>
      </c>
      <c r="I205" t="str">
        <v>-27.11</v>
      </c>
      <c r="J205" t="str">
        <v>2022/06</v>
      </c>
      <c r="K205" t="str">
        <f t="array" ref="K205:T205">[1]!'3527.TW-OperatingProfitRatio,Price,PriceChangeRatio,InOutRatioNumber,Value,YearReturn,MonthReturn,WeekReturn,FinanceBalanceDif,ChipsField2'</f>
        <v>17.95</v>
      </c>
      <c r="L205">
        <v>118</v>
      </c>
      <c r="M205">
        <v>-2.0699999999999998</v>
      </c>
      <c r="N205" t="str">
        <v>29.61%</v>
      </c>
      <c r="O205" t="str">
        <v>4420萬</v>
      </c>
      <c r="P205" t="str">
        <v>-18.45</v>
      </c>
      <c r="Q205" t="str">
        <v>+14.55</v>
      </c>
      <c r="R205" t="str">
        <v>+3.51</v>
      </c>
      <c r="S205">
        <v>-3</v>
      </c>
      <c r="T205">
        <v>0</v>
      </c>
      <c r="U205">
        <f t="array" ref="U205:AD205">[1]!'3527.TW-ChipsField3,ChipsField1,ChipsField25,CashAndStockDividend,CashDividendYieldRate,ProfitFourSeason,ProfitSingle,CName,ExchangeIndustry,CompanyPos'</f>
        <v>45</v>
      </c>
      <c r="V205">
        <v>-121</v>
      </c>
      <c r="W205" t="str">
        <v>2022/07/06</v>
      </c>
      <c r="X205" t="str">
        <v>8.00</v>
      </c>
      <c r="Y205">
        <v>6.78</v>
      </c>
      <c r="Z205" t="str">
        <v>14.91</v>
      </c>
      <c r="AA205" t="str">
        <v>2.92</v>
      </c>
      <c r="AB205" t="str">
        <v>聚積</v>
      </c>
      <c r="AC205" t="str">
        <v>上櫃半導體</v>
      </c>
      <c r="AD205" t="str">
        <v>全球LED顯示屏驅動IC設計龍頭廠</v>
      </c>
      <c r="AE205" t="str">
        <f t="array" ref="AE205:AH205">[1]!'3527.TW-CName,InvestorConferenceDate,DateofMeetingofShareHolders,TradingDate'</f>
        <v>聚積</v>
      </c>
      <c r="AF205" t="str">
        <v>2021/08/10</v>
      </c>
      <c r="AG205" t="str">
        <v>2022/06/15</v>
      </c>
      <c r="AH205" t="str">
        <v>2022/08/01</v>
      </c>
    </row>
    <row r="206" spans="1:34" x14ac:dyDescent="0.3">
      <c r="A206" t="str">
        <f t="array" ref="A206:J206">[1]!'3529.TW-ID,Name,MarketValue,Capital,NetIncomeGrowthRate,OperIncomeGrowthRate,FinancialStatementsTime,TFXRatio,MonthlyNetSalesYoY,RevenueMonth'</f>
        <v>3529</v>
      </c>
      <c r="B206" t="str">
        <v>力旺</v>
      </c>
      <c r="C206" t="str">
        <v>841.2</v>
      </c>
      <c r="D206" t="str">
        <v>7.61</v>
      </c>
      <c r="E206" t="str">
        <v>44.74</v>
      </c>
      <c r="F206" t="str">
        <v>40.77</v>
      </c>
      <c r="G206" t="str">
        <v>2022/06</v>
      </c>
      <c r="H206" t="str">
        <v>-61.92</v>
      </c>
      <c r="I206" t="str">
        <v>55.36</v>
      </c>
      <c r="J206" t="str">
        <v>2022/06</v>
      </c>
      <c r="K206" t="str">
        <f t="array" ref="K206:T206">[1]!'3529.TW-OperatingProfitRatio,Price,PriceChangeRatio,InOutRatioNumber,Value,YearReturn,MonthReturn,WeekReturn,FinanceBalanceDif,ChipsField2'</f>
        <v>57.33</v>
      </c>
      <c r="L206">
        <v>1105</v>
      </c>
      <c r="M206">
        <v>-6.75</v>
      </c>
      <c r="N206" t="str">
        <v>41.41%</v>
      </c>
      <c r="O206" t="str">
        <v>13.6億</v>
      </c>
      <c r="P206" t="str">
        <v>-14.62</v>
      </c>
      <c r="Q206" t="str">
        <v>+15.10</v>
      </c>
      <c r="R206" t="str">
        <v>-4.74</v>
      </c>
      <c r="S206">
        <v>-52</v>
      </c>
      <c r="T206">
        <v>-1</v>
      </c>
      <c r="U206">
        <f t="array" ref="U206:AD206">[1]!'3529.TW-ChipsField3,ChipsField1,ChipsField25,CashAndStockDividend,CashDividendYieldRate,ProfitFourSeason,ProfitSingle,CName,ExchangeIndustry,CompanyPos'</f>
        <v>-8</v>
      </c>
      <c r="V206">
        <v>138</v>
      </c>
      <c r="W206" t="str">
        <v>2022/06/30</v>
      </c>
      <c r="X206" t="str">
        <v>14.00</v>
      </c>
      <c r="Y206">
        <v>1.27</v>
      </c>
      <c r="Z206" t="str">
        <v>17.97</v>
      </c>
      <c r="AA206" t="str">
        <v>5.48</v>
      </c>
      <c r="AB206" t="str">
        <v>力旺</v>
      </c>
      <c r="AC206" t="str">
        <v>上櫃半導體</v>
      </c>
      <c r="AD206" t="str">
        <v>全球嵌入式非揮發性記憶體矽智財(eNVM IP)領導廠</v>
      </c>
      <c r="AE206" t="str">
        <f t="array" ref="AE206:AH206">[1]!'3529.TW-CName,InvestorConferenceDate,DateofMeetingofShareHolders,TradingDate'</f>
        <v>力旺</v>
      </c>
      <c r="AF206" t="str">
        <v>2022/08/10</v>
      </c>
      <c r="AG206" t="str">
        <v>2022/06/15</v>
      </c>
      <c r="AH206" t="str">
        <v>2022/08/01</v>
      </c>
    </row>
    <row r="207" spans="1:34" x14ac:dyDescent="0.3">
      <c r="A207" t="str">
        <f t="array" ref="A207:J207">[1]!'3555.TW-ID,Name,MarketValue,Capital,NetIncomeGrowthRate,OperIncomeGrowthRate,FinancialStatementsTime,TFXRatio,MonthlyNetSalesYoY,RevenueMonth'</f>
        <v>3555</v>
      </c>
      <c r="B207" t="str">
        <v>重鵬</v>
      </c>
      <c r="C207" t="str">
        <v>7.2</v>
      </c>
      <c r="D207" t="str">
        <v>2.58</v>
      </c>
      <c r="E207" t="str">
        <v>-782.86</v>
      </c>
      <c r="F207" t="str">
        <v>27.90</v>
      </c>
      <c r="G207" t="str">
        <v>2022/03</v>
      </c>
      <c r="H207" t="str">
        <v>79.00</v>
      </c>
      <c r="I207" t="str">
        <v>52.12</v>
      </c>
      <c r="J207" t="str">
        <v>2022/06</v>
      </c>
      <c r="K207" t="str">
        <f t="array" ref="K207:T207">[1]!'3555.TW-OperatingProfitRatio,Price,PriceChangeRatio,InOutRatioNumber,Value,YearReturn,MonthReturn,WeekReturn,FinanceBalanceDif,ChipsField2'</f>
        <v>-82.21</v>
      </c>
      <c r="L207">
        <v>27.95</v>
      </c>
      <c r="M207">
        <v>-2.78</v>
      </c>
      <c r="N207" t="str">
        <v>29.73%</v>
      </c>
      <c r="O207" t="str">
        <v>107萬</v>
      </c>
      <c r="P207" t="str">
        <v>-39.73</v>
      </c>
      <c r="Q207" t="str">
        <v>-18.99</v>
      </c>
      <c r="R207" t="str">
        <v>-10.56</v>
      </c>
      <c r="S207">
        <v>7</v>
      </c>
      <c r="T207">
        <v>0</v>
      </c>
      <c r="U207">
        <f t="array" ref="U207:AD207">[1]!'3555.TW-ChipsField3,ChipsField1,ChipsField25,CashAndStockDividend,CashDividendYieldRate,ProfitFourSeason,ProfitSingle,CName,ExchangeIndustry,CompanyPos'</f>
        <v>0</v>
      </c>
      <c r="V207">
        <v>1</v>
      </c>
      <c r="W207" t="str">
        <v>2022/06/30</v>
      </c>
      <c r="X207" t="str">
        <v>0.20</v>
      </c>
      <c r="Y207">
        <v>0.72</v>
      </c>
      <c r="Z207" t="str">
        <v>0.13</v>
      </c>
      <c r="AA207" t="str">
        <v>-0.90</v>
      </c>
      <c r="AB207" t="str">
        <v>重鵬</v>
      </c>
      <c r="AC207" t="str">
        <v>上櫃半導體</v>
      </c>
      <c r="AD207" t="str">
        <v>記憶體產品及生技產品之銷售</v>
      </c>
      <c r="AE207" t="str">
        <f t="array" ref="AE207:AH207">[1]!'3555.TW-CName,InvestorConferenceDate,DateofMeetingofShareHolders,TradingDate'</f>
        <v>重鵬</v>
      </c>
      <c r="AF207" t="str">
        <v>--</v>
      </c>
      <c r="AG207" t="str">
        <v>2022/06/08</v>
      </c>
      <c r="AH207" t="str">
        <v>2022/08/01</v>
      </c>
    </row>
    <row r="208" spans="1:34" x14ac:dyDescent="0.3">
      <c r="A208" t="str">
        <f t="array" ref="A208:J208">[1]!'3556.TW-ID,Name,MarketValue,Capital,NetIncomeGrowthRate,OperIncomeGrowthRate,FinancialStatementsTime,TFXRatio,MonthlyNetSalesYoY,RevenueMonth'</f>
        <v>3556</v>
      </c>
      <c r="B208" t="str">
        <v>禾瑞亞</v>
      </c>
      <c r="C208" t="str">
        <v>39.0</v>
      </c>
      <c r="D208" t="str">
        <v>6.37</v>
      </c>
      <c r="E208" t="str">
        <v>96.52</v>
      </c>
      <c r="F208" t="str">
        <v>99.75</v>
      </c>
      <c r="G208" t="str">
        <v>2022/03</v>
      </c>
      <c r="H208" t="str">
        <v>-22.74</v>
      </c>
      <c r="I208" t="str">
        <v>-33.46</v>
      </c>
      <c r="J208" t="str">
        <v>2022/06</v>
      </c>
      <c r="K208" t="str">
        <f t="array" ref="K208:T208">[1]!'3556.TW-OperatingProfitRatio,Price,PriceChangeRatio,InOutRatioNumber,Value,YearReturn,MonthReturn,WeekReturn,FinanceBalanceDif,ChipsField2'</f>
        <v>32.43</v>
      </c>
      <c r="L208">
        <v>61.3</v>
      </c>
      <c r="M208">
        <v>-0.97</v>
      </c>
      <c r="N208" t="str">
        <v>14.84%</v>
      </c>
      <c r="O208" t="str">
        <v>799萬</v>
      </c>
      <c r="P208" t="str">
        <v>-35.39</v>
      </c>
      <c r="Q208" t="str">
        <v>+3.92</v>
      </c>
      <c r="R208" t="str">
        <v>+0.28</v>
      </c>
      <c r="S208">
        <v>-27</v>
      </c>
      <c r="T208">
        <v>0</v>
      </c>
      <c r="U208">
        <f t="array" ref="U208:AD208">[1]!'3556.TW-ChipsField3,ChipsField1,ChipsField25,CashAndStockDividend,CashDividendYieldRate,ProfitFourSeason,ProfitSingle,CName,ExchangeIndustry,CompanyPos'</f>
        <v>-1</v>
      </c>
      <c r="V208">
        <v>2</v>
      </c>
      <c r="W208" t="str">
        <v>2022/07/28</v>
      </c>
      <c r="X208" t="str">
        <v>5.40</v>
      </c>
      <c r="Y208">
        <v>8.81</v>
      </c>
      <c r="Z208" t="str">
        <v>7.22</v>
      </c>
      <c r="AA208" t="str">
        <v>2.22</v>
      </c>
      <c r="AB208" t="str">
        <v>禾瑞亞</v>
      </c>
      <c r="AC208" t="str">
        <v>上櫃半導體</v>
      </c>
      <c r="AD208" t="str">
        <v>禾伸堂旗下觸控面板IC設計廠</v>
      </c>
      <c r="AE208" t="str">
        <f t="array" ref="AE208:AH208">[1]!'3556.TW-CName,InvestorConferenceDate,DateofMeetingofShareHolders,TradingDate'</f>
        <v>禾瑞亞</v>
      </c>
      <c r="AF208" t="str">
        <v>--</v>
      </c>
      <c r="AG208" t="str">
        <v>2022/06/08</v>
      </c>
      <c r="AH208" t="str">
        <v>2022/08/01</v>
      </c>
    </row>
    <row r="209" spans="1:34" x14ac:dyDescent="0.3">
      <c r="A209" t="str">
        <f t="array" ref="A209:J209">[1]!'3567.TW-ID,Name,MarketValue,Capital,NetIncomeGrowthRate,OperIncomeGrowthRate,FinancialStatementsTime,TFXRatio,MonthlyNetSalesYoY,RevenueMonth'</f>
        <v>3567</v>
      </c>
      <c r="B209" t="str">
        <v>逸昌</v>
      </c>
      <c r="C209" t="str">
        <v>9.6</v>
      </c>
      <c r="D209" t="str">
        <v>3.41</v>
      </c>
      <c r="E209" t="str">
        <v>41.83</v>
      </c>
      <c r="F209" t="str">
        <v>36.12</v>
      </c>
      <c r="G209" t="str">
        <v>2022/03</v>
      </c>
      <c r="H209" t="str">
        <v>-7.41</v>
      </c>
      <c r="I209" t="str">
        <v>-12.21</v>
      </c>
      <c r="J209" t="str">
        <v>2022/06</v>
      </c>
      <c r="K209" t="str">
        <f t="array" ref="K209:T209">[1]!'3567.TW-OperatingProfitRatio,Price,PriceChangeRatio,InOutRatioNumber,Value,YearReturn,MonthReturn,WeekReturn,FinanceBalanceDif,ChipsField2'</f>
        <v>29.55</v>
      </c>
      <c r="L209">
        <v>28</v>
      </c>
      <c r="M209">
        <v>0</v>
      </c>
      <c r="N209" t="str">
        <v>45.71%</v>
      </c>
      <c r="O209" t="str">
        <v>100萬</v>
      </c>
      <c r="P209" t="str">
        <v>-10.59</v>
      </c>
      <c r="Q209" t="str">
        <v>+1.92</v>
      </c>
      <c r="R209" t="str">
        <v>-0.24</v>
      </c>
      <c r="S209">
        <v>-2</v>
      </c>
      <c r="T209">
        <v>-18</v>
      </c>
      <c r="U209">
        <f t="array" ref="U209:AD209">[1]!'3567.TW-ChipsField3,ChipsField1,ChipsField25,CashAndStockDividend,CashDividendYieldRate,ProfitFourSeason,ProfitSingle,CName,ExchangeIndustry,CompanyPos'</f>
        <v>0</v>
      </c>
      <c r="V209">
        <v>0</v>
      </c>
      <c r="W209" t="str">
        <v>2022/07/27</v>
      </c>
      <c r="X209" t="str">
        <v>2.60</v>
      </c>
      <c r="Y209">
        <v>9.2899999999999991</v>
      </c>
      <c r="Z209" t="str">
        <v>3.32</v>
      </c>
      <c r="AA209" t="str">
        <v>0.80</v>
      </c>
      <c r="AB209" t="str">
        <v>逸昌</v>
      </c>
      <c r="AC209" t="str">
        <v>上櫃半導體</v>
      </c>
      <c r="AD209" t="str">
        <v>專注類比與混合訊號IC測試廠</v>
      </c>
      <c r="AE209" t="str">
        <f t="array" ref="AE209:AH209">[1]!'3567.TW-CName,InvestorConferenceDate,DateofMeetingofShareHolders,TradingDate'</f>
        <v>逸昌</v>
      </c>
      <c r="AF209" t="str">
        <v>--</v>
      </c>
      <c r="AG209" t="str">
        <v>2022/06/14</v>
      </c>
      <c r="AH209" t="str">
        <v>2022/08/01</v>
      </c>
    </row>
    <row r="210" spans="1:34" x14ac:dyDescent="0.3">
      <c r="A210" t="str">
        <f t="array" ref="A210:J210">[1]!'3581.TW-ID,Name,MarketValue,Capital,NetIncomeGrowthRate,OperIncomeGrowthRate,FinancialStatementsTime,TFXRatio,MonthlyNetSalesYoY,RevenueMonth'</f>
        <v>3581</v>
      </c>
      <c r="B210" t="str">
        <v>博磊</v>
      </c>
      <c r="C210" t="str">
        <v>11.0</v>
      </c>
      <c r="D210" t="str">
        <v>5.10</v>
      </c>
      <c r="E210" t="str">
        <v>12.84</v>
      </c>
      <c r="F210" t="str">
        <v>105.39</v>
      </c>
      <c r="G210" t="str">
        <v>2022/03</v>
      </c>
      <c r="H210" t="str">
        <v>4.28</v>
      </c>
      <c r="I210" t="str">
        <v>15.22</v>
      </c>
      <c r="J210" t="str">
        <v>2022/06</v>
      </c>
      <c r="K210" t="str">
        <f t="array" ref="K210:T210">[1]!'3581.TW-OperatingProfitRatio,Price,PriceChangeRatio,InOutRatioNumber,Value,YearReturn,MonthReturn,WeekReturn,FinanceBalanceDif,ChipsField2'</f>
        <v>11.87</v>
      </c>
      <c r="L210">
        <v>21.5</v>
      </c>
      <c r="M210">
        <v>0.7</v>
      </c>
      <c r="N210" t="str">
        <v>28.57%</v>
      </c>
      <c r="O210" t="str">
        <v>15.0萬</v>
      </c>
      <c r="P210" t="str">
        <v>-16.34</v>
      </c>
      <c r="Q210" t="str">
        <v>+6.44</v>
      </c>
      <c r="R210" t="str">
        <v>+1.42</v>
      </c>
      <c r="S210">
        <v>-5</v>
      </c>
      <c r="T210">
        <v>0</v>
      </c>
      <c r="U210">
        <f t="array" ref="U210:AD210">[1]!'3581.TW-ChipsField3,ChipsField1,ChipsField25,CashAndStockDividend,CashDividendYieldRate,ProfitFourSeason,ProfitSingle,CName,ExchangeIndustry,CompanyPos'</f>
        <v>0</v>
      </c>
      <c r="V210">
        <v>1</v>
      </c>
      <c r="W210" t="str">
        <v>2022/08/10</v>
      </c>
      <c r="X210" t="str">
        <v>1.00</v>
      </c>
      <c r="Y210">
        <v>4.6500000000000004</v>
      </c>
      <c r="Z210" t="str">
        <v>2.09</v>
      </c>
      <c r="AA210" t="str">
        <v>0.31</v>
      </c>
      <c r="AB210" t="str">
        <v>博磊</v>
      </c>
      <c r="AC210" t="str">
        <v>上櫃半導體</v>
      </c>
      <c r="AD210" t="str">
        <v>國內提供封裝測試設備及治具之專業製造商</v>
      </c>
      <c r="AE210" t="str">
        <f t="array" ref="AE210:AH210">[1]!'3581.TW-CName,InvestorConferenceDate,DateofMeetingofShareHolders,TradingDate'</f>
        <v>博磊</v>
      </c>
      <c r="AF210" t="str">
        <v>--</v>
      </c>
      <c r="AG210" t="str">
        <v>2022/06/22</v>
      </c>
      <c r="AH210" t="str">
        <v>2022/08/01</v>
      </c>
    </row>
    <row r="211" spans="1:34" x14ac:dyDescent="0.3">
      <c r="A211" t="str">
        <f t="array" ref="A211:J211">[1]!'3675.TW-ID,Name,MarketValue,Capital,NetIncomeGrowthRate,OperIncomeGrowthRate,FinancialStatementsTime,TFXRatio,MonthlyNetSalesYoY,RevenueMonth'</f>
        <v>3675</v>
      </c>
      <c r="B211" t="str">
        <v>德微</v>
      </c>
      <c r="C211" t="str">
        <v>96.6</v>
      </c>
      <c r="D211" t="str">
        <v>4.44</v>
      </c>
      <c r="E211" t="str">
        <v>80.71</v>
      </c>
      <c r="F211" t="str">
        <v>50.76</v>
      </c>
      <c r="G211" t="str">
        <v>2022/06</v>
      </c>
      <c r="H211" t="str">
        <v>3.20</v>
      </c>
      <c r="I211" t="str">
        <v>12.15</v>
      </c>
      <c r="J211" t="str">
        <v>2022/06</v>
      </c>
      <c r="K211" t="str">
        <f t="array" ref="K211:T211">[1]!'3675.TW-OperatingProfitRatio,Price,PriceChangeRatio,InOutRatioNumber,Value,YearReturn,MonthReturn,WeekReturn,FinanceBalanceDif,ChipsField2'</f>
        <v>19.49</v>
      </c>
      <c r="L211">
        <v>217.5</v>
      </c>
      <c r="M211">
        <v>-0.23</v>
      </c>
      <c r="N211" t="str">
        <v>47.12%</v>
      </c>
      <c r="O211" t="str">
        <v>3.25億</v>
      </c>
      <c r="P211" t="str">
        <v>+41.06</v>
      </c>
      <c r="Q211" t="str">
        <v>+1.64</v>
      </c>
      <c r="R211" t="str">
        <v>-0.91</v>
      </c>
      <c r="S211">
        <v>58</v>
      </c>
      <c r="T211">
        <v>130</v>
      </c>
      <c r="U211">
        <f t="array" ref="U211:AD211">[1]!'3675.TW-ChipsField3,ChipsField1,ChipsField25,CashAndStockDividend,CashDividendYieldRate,ProfitFourSeason,ProfitSingle,CName,ExchangeIndustry,CompanyPos'</f>
        <v>-23</v>
      </c>
      <c r="V211">
        <v>308</v>
      </c>
      <c r="W211" t="str">
        <v>--</v>
      </c>
      <c r="X211" t="str">
        <v>5.00</v>
      </c>
      <c r="Y211">
        <v>2.2999999999999998</v>
      </c>
      <c r="Z211" t="str">
        <v>9.73</v>
      </c>
      <c r="AA211" t="str">
        <v>2.85</v>
      </c>
      <c r="AB211" t="str">
        <v>德微</v>
      </c>
      <c r="AC211" t="str">
        <v>上櫃半導體</v>
      </c>
      <c r="AD211" t="str">
        <v>台灣整流二極體供應商</v>
      </c>
      <c r="AE211" t="str">
        <f t="array" ref="AE211:AH211">[1]!'3675.TW-CName,InvestorConferenceDate,DateofMeetingofShareHolders,TradingDate'</f>
        <v>德微</v>
      </c>
      <c r="AF211" t="str">
        <v>2021/12/30</v>
      </c>
      <c r="AG211" t="str">
        <v>2022/05/16</v>
      </c>
      <c r="AH211" t="str">
        <v>2022/08/01</v>
      </c>
    </row>
    <row r="212" spans="1:34" x14ac:dyDescent="0.3">
      <c r="A212" t="str">
        <f t="array" ref="A212:J212">[1]!'3680.TW-ID,Name,MarketValue,Capital,NetIncomeGrowthRate,OperIncomeGrowthRate,FinancialStatementsTime,TFXRatio,MonthlyNetSalesYoY,RevenueMonth'</f>
        <v>3680</v>
      </c>
      <c r="B212" t="str">
        <v>家登</v>
      </c>
      <c r="C212" t="str">
        <v>207.3</v>
      </c>
      <c r="D212" t="str">
        <v>8.41</v>
      </c>
      <c r="E212" t="str">
        <v>363.67</v>
      </c>
      <c r="F212" t="str">
        <v>394.66</v>
      </c>
      <c r="G212" t="str">
        <v>2022/03</v>
      </c>
      <c r="H212" t="str">
        <v>18.70</v>
      </c>
      <c r="I212" t="str">
        <v>87.75</v>
      </c>
      <c r="J212" t="str">
        <v>2022/06</v>
      </c>
      <c r="K212" t="str">
        <f t="array" ref="K212:T212">[1]!'3680.TW-OperatingProfitRatio,Price,PriceChangeRatio,InOutRatioNumber,Value,YearReturn,MonthReturn,WeekReturn,FinanceBalanceDif,ChipsField2'</f>
        <v>23.50</v>
      </c>
      <c r="L212">
        <v>246.5</v>
      </c>
      <c r="M212">
        <v>1.02</v>
      </c>
      <c r="N212" t="str">
        <v>50.46%</v>
      </c>
      <c r="O212" t="str">
        <v>6.24億</v>
      </c>
      <c r="P212" t="str">
        <v>-7.03</v>
      </c>
      <c r="Q212" t="str">
        <v>+25.45</v>
      </c>
      <c r="R212" t="str">
        <v>+11.79</v>
      </c>
      <c r="S212">
        <v>126</v>
      </c>
      <c r="T212">
        <v>289</v>
      </c>
      <c r="U212">
        <f t="array" ref="U212:AD212">[1]!'3680.TW-ChipsField3,ChipsField1,ChipsField25,CashAndStockDividend,CashDividendYieldRate,ProfitFourSeason,ProfitSingle,CName,ExchangeIndustry,CompanyPos'</f>
        <v>-56</v>
      </c>
      <c r="V212">
        <v>-542</v>
      </c>
      <c r="W212" t="str">
        <v>2022/06/16</v>
      </c>
      <c r="X212" t="str">
        <v>2.00</v>
      </c>
      <c r="Y212">
        <v>1.1399999999999999</v>
      </c>
      <c r="Z212" t="str">
        <v>5.99</v>
      </c>
      <c r="AA212" t="str">
        <v>2.32</v>
      </c>
      <c r="AB212" t="str">
        <v>家登</v>
      </c>
      <c r="AC212" t="str">
        <v>上櫃半導體</v>
      </c>
      <c r="AD212" t="str">
        <v>全球第一大半導體光罩載具廠</v>
      </c>
      <c r="AE212" t="str">
        <f t="array" ref="AE212:AH212">[1]!'3680.TW-CName,InvestorConferenceDate,DateofMeetingofShareHolders,TradingDate'</f>
        <v>家登</v>
      </c>
      <c r="AF212" t="str">
        <v>2022/03/03</v>
      </c>
      <c r="AG212" t="str">
        <v>2022/05/27</v>
      </c>
      <c r="AH212" t="str">
        <v>2022/08/01</v>
      </c>
    </row>
    <row r="213" spans="1:34" x14ac:dyDescent="0.3">
      <c r="A213" t="str">
        <f t="array" ref="A213:J213">[1]!'3707.TW-ID,Name,MarketValue,Capital,NetIncomeGrowthRate,OperIncomeGrowthRate,FinancialStatementsTime,TFXRatio,MonthlyNetSalesYoY,RevenueMonth'</f>
        <v>3707</v>
      </c>
      <c r="B213" t="str">
        <v>漢磊</v>
      </c>
      <c r="C213" t="str">
        <v>334.9</v>
      </c>
      <c r="D213" t="str">
        <v>33.32</v>
      </c>
      <c r="E213" t="str">
        <v>22806.77</v>
      </c>
      <c r="F213" t="str">
        <v>1855.19</v>
      </c>
      <c r="G213" t="str">
        <v>2022/03</v>
      </c>
      <c r="H213" t="str">
        <v>1.76</v>
      </c>
      <c r="I213" t="str">
        <v>26.51</v>
      </c>
      <c r="J213" t="str">
        <v>2022/06</v>
      </c>
      <c r="K213" t="str">
        <f t="array" ref="K213:T213">[1]!'3707.TW-OperatingProfitRatio,Price,PriceChangeRatio,InOutRatioNumber,Value,YearReturn,MonthReturn,WeekReturn,FinanceBalanceDif,ChipsField2'</f>
        <v>14.83</v>
      </c>
      <c r="L213">
        <v>100.5</v>
      </c>
      <c r="M213">
        <v>-1.95</v>
      </c>
      <c r="N213" t="str">
        <v>50.96%</v>
      </c>
      <c r="O213" t="str">
        <v>7.04億</v>
      </c>
      <c r="P213" t="str">
        <v>-1.56</v>
      </c>
      <c r="Q213" t="str">
        <v>-0.10</v>
      </c>
      <c r="R213" t="str">
        <v>0.00</v>
      </c>
      <c r="S213">
        <v>-842</v>
      </c>
      <c r="T213">
        <v>206</v>
      </c>
      <c r="U213">
        <f t="array" ref="U213:AD213">[1]!'3707.TW-ChipsField3,ChipsField1,ChipsField25,CashAndStockDividend,CashDividendYieldRate,ProfitFourSeason,ProfitSingle,CName,ExchangeIndustry,CompanyPos'</f>
        <v>202</v>
      </c>
      <c r="V213">
        <v>3527</v>
      </c>
      <c r="W213" t="str">
        <v>2022/07/15</v>
      </c>
      <c r="X213" t="str">
        <v>0.35</v>
      </c>
      <c r="Y213">
        <v>0.35</v>
      </c>
      <c r="Z213" t="str">
        <v>1.46</v>
      </c>
      <c r="AA213" t="str">
        <v>0.65</v>
      </c>
      <c r="AB213" t="str">
        <v>漢磊</v>
      </c>
      <c r="AC213" t="str">
        <v>上櫃半導體</v>
      </c>
      <c r="AD213" t="str">
        <v>中小型晶圓代工與磊晶供應商</v>
      </c>
      <c r="AE213" t="str">
        <f t="array" ref="AE213:AH213">[1]!'3707.TW-CName,InvestorConferenceDate,DateofMeetingofShareHolders,TradingDate'</f>
        <v>漢磊</v>
      </c>
      <c r="AF213" t="str">
        <v>2021/11/05</v>
      </c>
      <c r="AG213" t="str">
        <v>2022/06/17</v>
      </c>
      <c r="AH213" t="str">
        <v>2022/08/01</v>
      </c>
    </row>
    <row r="214" spans="1:34" x14ac:dyDescent="0.3">
      <c r="A214" t="str">
        <f t="array" ref="A214:J214">[1]!'4923.TW-ID,Name,MarketValue,Capital,NetIncomeGrowthRate,OperIncomeGrowthRate,FinancialStatementsTime,TFXRatio,MonthlyNetSalesYoY,RevenueMonth'</f>
        <v>4923</v>
      </c>
      <c r="B214" t="str">
        <v>力士</v>
      </c>
      <c r="C214" t="str">
        <v>17.1</v>
      </c>
      <c r="D214" t="str">
        <v>2.83</v>
      </c>
      <c r="E214" t="str">
        <v>241.19</v>
      </c>
      <c r="F214" t="str">
        <v>136.06</v>
      </c>
      <c r="G214" t="str">
        <v>2022/03</v>
      </c>
      <c r="H214" t="str">
        <v>-1.77</v>
      </c>
      <c r="I214" t="str">
        <v>10.02</v>
      </c>
      <c r="J214" t="str">
        <v>2022/06</v>
      </c>
      <c r="K214" t="str">
        <f t="array" ref="K214:T214">[1]!'4923.TW-OperatingProfitRatio,Price,PriceChangeRatio,InOutRatioNumber,Value,YearReturn,MonthReturn,WeekReturn,FinanceBalanceDif,ChipsField2'</f>
        <v>17.94</v>
      </c>
      <c r="L214">
        <v>60.3</v>
      </c>
      <c r="M214">
        <v>-2.11</v>
      </c>
      <c r="N214" t="str">
        <v>30.56%</v>
      </c>
      <c r="O214" t="str">
        <v>1359萬</v>
      </c>
      <c r="P214" t="str">
        <v>--</v>
      </c>
      <c r="Q214" t="str">
        <v>+6.35</v>
      </c>
      <c r="R214" t="str">
        <v>+2.03</v>
      </c>
      <c r="S214">
        <v>0</v>
      </c>
      <c r="T214">
        <v>0</v>
      </c>
      <c r="U214">
        <f t="array" ref="U214:AD214">[1]!'4923.TW-ChipsField3,ChipsField1,ChipsField25,CashAndStockDividend,CashDividendYieldRate,ProfitFourSeason,ProfitSingle,CName,ExchangeIndustry,CompanyPos'</f>
        <v>0</v>
      </c>
      <c r="V214">
        <v>16</v>
      </c>
      <c r="W214" t="str">
        <v>2022/06/28</v>
      </c>
      <c r="X214" t="str">
        <v>4.51</v>
      </c>
      <c r="Y214">
        <v>7.48</v>
      </c>
      <c r="Z214" t="str">
        <v>7.36</v>
      </c>
      <c r="AA214" t="str">
        <v>2.30</v>
      </c>
      <c r="AB214" t="str">
        <v>力士</v>
      </c>
      <c r="AC214" t="str">
        <v>上櫃半導體</v>
      </c>
      <c r="AD214" t="str">
        <v>斐成轉投資的Power MOSFET廠</v>
      </c>
      <c r="AE214" t="str">
        <f t="array" ref="AE214:AH214">[1]!'4923.TW-CName,InvestorConferenceDate,DateofMeetingofShareHolders,TradingDate'</f>
        <v>力士</v>
      </c>
      <c r="AF214" t="str">
        <v>--</v>
      </c>
      <c r="AG214" t="str">
        <v>2022/06/09</v>
      </c>
      <c r="AH214" t="str">
        <v>2022/08/01</v>
      </c>
    </row>
    <row r="215" spans="1:34" x14ac:dyDescent="0.3">
      <c r="A215" t="str">
        <f t="array" ref="A215:J215">[1]!'4945.TW-ID,Name,MarketValue,Capital,NetIncomeGrowthRate,OperIncomeGrowthRate,FinancialStatementsTime,TFXRatio,MonthlyNetSalesYoY,RevenueMonth'</f>
        <v>4945</v>
      </c>
      <c r="B215" t="str">
        <v>陞達科技</v>
      </c>
      <c r="C215" t="str">
        <v>21.5</v>
      </c>
      <c r="D215" t="str">
        <v>3.00</v>
      </c>
      <c r="E215" t="str">
        <v>69.32</v>
      </c>
      <c r="F215" t="str">
        <v>31.79</v>
      </c>
      <c r="G215" t="str">
        <v>2022/03</v>
      </c>
      <c r="H215" t="str">
        <v>-22.92</v>
      </c>
      <c r="I215" t="str">
        <v>12.38</v>
      </c>
      <c r="J215" t="str">
        <v>2022/06</v>
      </c>
      <c r="K215" t="str">
        <f t="array" ref="K215:T215">[1]!'4945.TW-OperatingProfitRatio,Price,PriceChangeRatio,InOutRatioNumber,Value,YearReturn,MonthReturn,WeekReturn,FinanceBalanceDif,ChipsField2'</f>
        <v>25.44</v>
      </c>
      <c r="L215">
        <v>71.7</v>
      </c>
      <c r="M215">
        <v>0</v>
      </c>
      <c r="N215" t="str">
        <v>17.67%</v>
      </c>
      <c r="O215" t="str">
        <v>2001萬</v>
      </c>
      <c r="P215" t="str">
        <v>+0.20</v>
      </c>
      <c r="Q215" t="str">
        <v>+19.90</v>
      </c>
      <c r="R215" t="str">
        <v>+12.91</v>
      </c>
      <c r="S215">
        <v>-62</v>
      </c>
      <c r="T215">
        <v>0</v>
      </c>
      <c r="U215">
        <f t="array" ref="U215:AD215">[1]!'4945.TW-ChipsField3,ChipsField1,ChipsField25,CashAndStockDividend,CashDividendYieldRate,ProfitFourSeason,ProfitSingle,CName,ExchangeIndustry,CompanyPos'</f>
        <v>-45</v>
      </c>
      <c r="V215">
        <v>-34</v>
      </c>
      <c r="W215" t="str">
        <v>2022/06/14</v>
      </c>
      <c r="X215" t="str">
        <v>3.20</v>
      </c>
      <c r="Y215">
        <v>4.46</v>
      </c>
      <c r="Z215" t="str">
        <v>4.16</v>
      </c>
      <c r="AA215" t="str">
        <v>1.60</v>
      </c>
      <c r="AB215" t="str">
        <v>陞達科技</v>
      </c>
      <c r="AC215" t="str">
        <v>上櫃半導體</v>
      </c>
      <c r="AD215" t="str">
        <v>台灣風扇馬達驅動控制IC設計公司</v>
      </c>
      <c r="AE215" t="str">
        <f t="array" ref="AE215:AH215">[1]!'4945.TW-CName,InvestorConferenceDate,DateofMeetingofShareHolders,TradingDate'</f>
        <v>陞達科技</v>
      </c>
      <c r="AF215" t="str">
        <v>--</v>
      </c>
      <c r="AG215" t="str">
        <v>2022/05/26</v>
      </c>
      <c r="AH215" t="str">
        <v>2022/08/01</v>
      </c>
    </row>
    <row r="216" spans="1:34" x14ac:dyDescent="0.3">
      <c r="A216" t="str">
        <f t="array" ref="A216:J216">[1]!'4966.TW-ID,Name,MarketValue,Capital,NetIncomeGrowthRate,OperIncomeGrowthRate,FinancialStatementsTime,TFXRatio,MonthlyNetSalesYoY,RevenueMonth'</f>
        <v>4966</v>
      </c>
      <c r="B216" t="str">
        <v>譜瑞-KY</v>
      </c>
      <c r="C216" t="str">
        <v>889.0</v>
      </c>
      <c r="D216" t="str">
        <v>8.12</v>
      </c>
      <c r="E216" t="str">
        <v>60.27</v>
      </c>
      <c r="F216" t="str">
        <v>61.61</v>
      </c>
      <c r="G216" t="str">
        <v>2022/03</v>
      </c>
      <c r="H216" t="str">
        <v>0.45</v>
      </c>
      <c r="I216" t="str">
        <v>42.65</v>
      </c>
      <c r="J216" t="str">
        <v>2022/06</v>
      </c>
      <c r="K216" t="str">
        <f t="array" ref="K216:T216">[1]!'4966.TW-OperatingProfitRatio,Price,PriceChangeRatio,InOutRatioNumber,Value,YearReturn,MonthReturn,WeekReturn,FinanceBalanceDif,ChipsField2'</f>
        <v>30.79</v>
      </c>
      <c r="L216">
        <v>1095</v>
      </c>
      <c r="M216">
        <v>-2.67</v>
      </c>
      <c r="N216" t="str">
        <v>54.99%</v>
      </c>
      <c r="O216" t="str">
        <v>10.9億</v>
      </c>
      <c r="P216" t="str">
        <v>-34.98</v>
      </c>
      <c r="Q216" t="str">
        <v>+1.39</v>
      </c>
      <c r="R216" t="str">
        <v>-3.52</v>
      </c>
      <c r="S216">
        <v>3</v>
      </c>
      <c r="T216">
        <v>1</v>
      </c>
      <c r="U216">
        <f t="array" ref="U216:AD216">[1]!'4966.TW-ChipsField3,ChipsField1,ChipsField25,CashAndStockDividend,CashDividendYieldRate,ProfitFourSeason,ProfitSingle,CName,ExchangeIndustry,CompanyPos'</f>
        <v>-10</v>
      </c>
      <c r="V216">
        <v>-34</v>
      </c>
      <c r="W216" t="str">
        <v>2022/08/23</v>
      </c>
      <c r="X216" t="str">
        <v>18.23</v>
      </c>
      <c r="Y216">
        <v>2.97</v>
      </c>
      <c r="Z216" t="str">
        <v>74.12</v>
      </c>
      <c r="AA216" t="str">
        <v>20.91</v>
      </c>
      <c r="AB216" t="str">
        <v>譜瑞-KY</v>
      </c>
      <c r="AC216" t="str">
        <v>上櫃半導體</v>
      </c>
      <c r="AD216" t="str">
        <v>專攻高速訊號傳輸介面及顯示晶片廠商</v>
      </c>
      <c r="AE216" t="str">
        <f t="array" ref="AE216:AH216">[1]!'4966.TW-CName,InvestorConferenceDate,DateofMeetingofShareHolders,TradingDate'</f>
        <v>譜瑞-KY</v>
      </c>
      <c r="AF216" t="str">
        <v>2022/08/03</v>
      </c>
      <c r="AG216" t="str">
        <v>2022/06/15</v>
      </c>
      <c r="AH216" t="str">
        <v>2022/08/01</v>
      </c>
    </row>
    <row r="217" spans="1:34" x14ac:dyDescent="0.3">
      <c r="A217" t="str">
        <f t="array" ref="A217:J217">[1]!'4971.TW-ID,Name,MarketValue,Capital,NetIncomeGrowthRate,OperIncomeGrowthRate,FinancialStatementsTime,TFXRatio,MonthlyNetSalesYoY,RevenueMonth'</f>
        <v>4971</v>
      </c>
      <c r="B217" t="str">
        <v>IET-KY</v>
      </c>
      <c r="C217" t="str">
        <v>25.4</v>
      </c>
      <c r="D217" t="str">
        <v>3.65</v>
      </c>
      <c r="E217" t="str">
        <v>2090.17</v>
      </c>
      <c r="F217" t="str">
        <v>2188.41</v>
      </c>
      <c r="G217" t="str">
        <v>2022/03</v>
      </c>
      <c r="H217" t="str">
        <v>-3.71</v>
      </c>
      <c r="I217" t="str">
        <v>20.69</v>
      </c>
      <c r="J217" t="str">
        <v>2022/06</v>
      </c>
      <c r="K217" t="str">
        <f t="array" ref="K217:T217">[1]!'4971.TW-OperatingProfitRatio,Price,PriceChangeRatio,InOutRatioNumber,Value,YearReturn,MonthReturn,WeekReturn,FinanceBalanceDif,ChipsField2'</f>
        <v>24.07</v>
      </c>
      <c r="L217">
        <v>69.5</v>
      </c>
      <c r="M217">
        <v>-0.28999999999999998</v>
      </c>
      <c r="N217" t="str">
        <v>71.74%</v>
      </c>
      <c r="O217" t="str">
        <v>321萬</v>
      </c>
      <c r="P217" t="str">
        <v>+25.05</v>
      </c>
      <c r="Q217" t="str">
        <v>+6.97</v>
      </c>
      <c r="R217" t="str">
        <v>-1.35</v>
      </c>
      <c r="S217">
        <v>7</v>
      </c>
      <c r="T217">
        <v>0</v>
      </c>
      <c r="U217">
        <f t="array" ref="U217:AD217">[1]!'4971.TW-ChipsField3,ChipsField1,ChipsField25,CashAndStockDividend,CashDividendYieldRate,ProfitFourSeason,ProfitSingle,CName,ExchangeIndustry,CompanyPos'</f>
        <v>0</v>
      </c>
      <c r="V217">
        <v>-8</v>
      </c>
      <c r="W217" t="str">
        <v>2022/07/28</v>
      </c>
      <c r="X217" t="str">
        <v>1.50</v>
      </c>
      <c r="Y217">
        <v>2.16</v>
      </c>
      <c r="Z217" t="str">
        <v>3.56</v>
      </c>
      <c r="AA217" t="str">
        <v>1.16</v>
      </c>
      <c r="AB217" t="str">
        <v>IET-KY</v>
      </c>
      <c r="AC217" t="str">
        <v>上櫃半導體</v>
      </c>
      <c r="AD217" t="str">
        <v>以MBE技術製造III-V族磊晶廠</v>
      </c>
      <c r="AE217" t="str">
        <f t="array" ref="AE217:AH217">[1]!'4971.TW-CName,InvestorConferenceDate,DateofMeetingofShareHolders,TradingDate'</f>
        <v>IET-KY</v>
      </c>
      <c r="AF217" t="str">
        <v>2022/06/23</v>
      </c>
      <c r="AG217" t="str">
        <v>2022/06/29</v>
      </c>
      <c r="AH217" t="str">
        <v>2022/08/01</v>
      </c>
    </row>
    <row r="218" spans="1:34" x14ac:dyDescent="0.3">
      <c r="A218" t="str">
        <f t="array" ref="A218:J218">[1]!'4973.TW-ID,Name,MarketValue,Capital,NetIncomeGrowthRate,OperIncomeGrowthRate,FinancialStatementsTime,TFXRatio,MonthlyNetSalesYoY,RevenueMonth'</f>
        <v>4973</v>
      </c>
      <c r="B218" t="str">
        <v>廣穎</v>
      </c>
      <c r="C218" t="str">
        <v>12.4</v>
      </c>
      <c r="D218" t="str">
        <v>6.35</v>
      </c>
      <c r="E218" t="str">
        <v>17.60</v>
      </c>
      <c r="F218" t="str">
        <v>-67.31</v>
      </c>
      <c r="G218" t="str">
        <v>2022/03</v>
      </c>
      <c r="H218" t="str">
        <v>2.29</v>
      </c>
      <c r="I218" t="str">
        <v>-13.29</v>
      </c>
      <c r="J218" t="str">
        <v>2022/06</v>
      </c>
      <c r="K218" t="str">
        <f t="array" ref="K218:T218">[1]!'4973.TW-OperatingProfitRatio,Price,PriceChangeRatio,InOutRatioNumber,Value,YearReturn,MonthReturn,WeekReturn,FinanceBalanceDif,ChipsField2'</f>
        <v>0.89</v>
      </c>
      <c r="L218">
        <v>19.55</v>
      </c>
      <c r="M218">
        <v>-0.26</v>
      </c>
      <c r="N218" t="str">
        <v>14.63%</v>
      </c>
      <c r="O218" t="str">
        <v>85.5萬</v>
      </c>
      <c r="P218" t="str">
        <v>-25.99</v>
      </c>
      <c r="Q218" t="str">
        <v>+2.89</v>
      </c>
      <c r="R218" t="str">
        <v>+0.51</v>
      </c>
      <c r="S218">
        <v>0</v>
      </c>
      <c r="T218">
        <v>0</v>
      </c>
      <c r="U218">
        <f t="array" ref="U218:AD218">[1]!'4973.TW-ChipsField3,ChipsField1,ChipsField25,CashAndStockDividend,CashDividendYieldRate,ProfitFourSeason,ProfitSingle,CName,ExchangeIndustry,CompanyPos'</f>
        <v>0</v>
      </c>
      <c r="V218">
        <v>2</v>
      </c>
      <c r="W218" t="str">
        <v>2022/04/14</v>
      </c>
      <c r="X218" t="str">
        <v>1.00</v>
      </c>
      <c r="Y218">
        <v>5.12</v>
      </c>
      <c r="Z218" t="str">
        <v>0.39</v>
      </c>
      <c r="AA218" t="str">
        <v>0.26</v>
      </c>
      <c r="AB218" t="str">
        <v>廣穎</v>
      </c>
      <c r="AC218" t="str">
        <v>上櫃半導體</v>
      </c>
      <c r="AD218" t="str">
        <v>兆豐及矽創轉投資之記憶體產品廠</v>
      </c>
      <c r="AE218" t="str">
        <f t="array" ref="AE218:AH218">[1]!'4973.TW-CName,InvestorConferenceDate,DateofMeetingofShareHolders,TradingDate'</f>
        <v>廣穎</v>
      </c>
      <c r="AF218" t="str">
        <v>--</v>
      </c>
      <c r="AG218" t="str">
        <v>2022/06/24</v>
      </c>
      <c r="AH218" t="str">
        <v>2022/08/01</v>
      </c>
    </row>
    <row r="219" spans="1:34" x14ac:dyDescent="0.3">
      <c r="A219" t="str">
        <f t="array" ref="A219:J219">[1]!'4991.TW-ID,Name,MarketValue,Capital,NetIncomeGrowthRate,OperIncomeGrowthRate,FinancialStatementsTime,TFXRatio,MonthlyNetSalesYoY,RevenueMonth'</f>
        <v>4991</v>
      </c>
      <c r="B219" t="str">
        <v>環宇-KY</v>
      </c>
      <c r="C219" t="str">
        <v>45.4</v>
      </c>
      <c r="D219" t="str">
        <v>11.10</v>
      </c>
      <c r="E219" t="str">
        <v>-93.52</v>
      </c>
      <c r="F219" t="str">
        <v>-2044.39</v>
      </c>
      <c r="G219" t="str">
        <v>2022/03</v>
      </c>
      <c r="H219" t="str">
        <v>64.47</v>
      </c>
      <c r="I219" t="str">
        <v>32.34</v>
      </c>
      <c r="J219" t="str">
        <v>2022/06</v>
      </c>
      <c r="K219" t="str">
        <f t="array" ref="K219:T219">[1]!'4991.TW-OperatingProfitRatio,Price,PriceChangeRatio,InOutRatioNumber,Value,YearReturn,MonthReturn,WeekReturn,FinanceBalanceDif,ChipsField2'</f>
        <v>-5.12</v>
      </c>
      <c r="L219">
        <v>40.950000000000003</v>
      </c>
      <c r="M219">
        <v>0.12</v>
      </c>
      <c r="N219" t="str">
        <v>41.67%</v>
      </c>
      <c r="O219" t="str">
        <v>104萬</v>
      </c>
      <c r="P219" t="str">
        <v>-14.95</v>
      </c>
      <c r="Q219" t="str">
        <v>+28.77</v>
      </c>
      <c r="R219" t="str">
        <v>+1.11</v>
      </c>
      <c r="S219">
        <v>-3</v>
      </c>
      <c r="T219">
        <v>0</v>
      </c>
      <c r="U219">
        <f t="array" ref="U219:AD219">[1]!'4991.TW-ChipsField3,ChipsField1,ChipsField25,CashAndStockDividend,CashDividendYieldRate,ProfitFourSeason,ProfitSingle,CName,ExchangeIndustry,CompanyPos'</f>
        <v>0</v>
      </c>
      <c r="V219">
        <v>1</v>
      </c>
      <c r="W219" t="str">
        <v>--</v>
      </c>
      <c r="X219" t="str">
        <v>0.00</v>
      </c>
      <c r="Y219">
        <v>0</v>
      </c>
      <c r="Z219" t="str">
        <v>-4.85</v>
      </c>
      <c r="AA219" t="str">
        <v>-1.55</v>
      </c>
      <c r="AB219" t="str">
        <v>環宇-KY</v>
      </c>
      <c r="AC219" t="str">
        <v>上櫃半導體</v>
      </c>
      <c r="AD219" t="str">
        <v>全球III-V族專業晶圓代工廠</v>
      </c>
      <c r="AE219" t="str">
        <f t="array" ref="AE219:AH219">[1]!'4991.TW-CName,InvestorConferenceDate,DateofMeetingofShareHolders,TradingDate'</f>
        <v>環宇-KY</v>
      </c>
      <c r="AF219" t="str">
        <v>2022/08/02</v>
      </c>
      <c r="AG219" t="str">
        <v>2022/05/20</v>
      </c>
      <c r="AH219" t="str">
        <v>2022/08/01</v>
      </c>
    </row>
    <row r="220" spans="1:34" x14ac:dyDescent="0.3">
      <c r="A220" t="str">
        <f t="array" ref="A220:J220">[1]!'5236.TW-ID,Name,MarketValue,Capital,NetIncomeGrowthRate,OperIncomeGrowthRate,FinancialStatementsTime,TFXRatio,MonthlyNetSalesYoY,RevenueMonth'</f>
        <v>5236</v>
      </c>
      <c r="B220" t="str">
        <v>凌陽創新</v>
      </c>
      <c r="C220" t="str">
        <v>45.9</v>
      </c>
      <c r="D220" t="str">
        <v>5.85</v>
      </c>
      <c r="E220" t="str">
        <v>11.15</v>
      </c>
      <c r="F220" t="str">
        <v>9.31</v>
      </c>
      <c r="G220" t="str">
        <v>2022/03</v>
      </c>
      <c r="H220" t="str">
        <v>-17.64</v>
      </c>
      <c r="I220" t="str">
        <v>-38.55</v>
      </c>
      <c r="J220" t="str">
        <v>2022/06</v>
      </c>
      <c r="K220" t="str">
        <f t="array" ref="K220:T220">[1]!'5236.TW-OperatingProfitRatio,Price,PriceChangeRatio,InOutRatioNumber,Value,YearReturn,MonthReturn,WeekReturn,FinanceBalanceDif,ChipsField2'</f>
        <v>36.82</v>
      </c>
      <c r="L220">
        <v>78.5</v>
      </c>
      <c r="M220">
        <v>-1.63</v>
      </c>
      <c r="N220" t="str">
        <v>42.86%</v>
      </c>
      <c r="O220" t="str">
        <v>1365萬</v>
      </c>
      <c r="P220" t="str">
        <v>-58.80</v>
      </c>
      <c r="Q220" t="str">
        <v>-7.65</v>
      </c>
      <c r="R220" t="str">
        <v>-7.86</v>
      </c>
      <c r="S220">
        <v>11</v>
      </c>
      <c r="T220">
        <v>0</v>
      </c>
      <c r="U220">
        <f t="array" ref="U220:AD220">[1]!'5236.TW-ChipsField3,ChipsField1,ChipsField25,CashAndStockDividend,CashDividendYieldRate,ProfitFourSeason,ProfitSingle,CName,ExchangeIndustry,CompanyPos'</f>
        <v>-1</v>
      </c>
      <c r="V220">
        <v>-45</v>
      </c>
      <c r="W220" t="str">
        <v>2022/06/30</v>
      </c>
      <c r="X220" t="str">
        <v>10.00</v>
      </c>
      <c r="Y220">
        <v>12.74</v>
      </c>
      <c r="Z220" t="str">
        <v>12.00</v>
      </c>
      <c r="AA220" t="str">
        <v>2.81</v>
      </c>
      <c r="AB220" t="str">
        <v>凌陽創新</v>
      </c>
      <c r="AC220" t="str">
        <v>上櫃半導體</v>
      </c>
      <c r="AD220" t="str">
        <v>凌陽旗下MCU與網路攝影機晶片廠</v>
      </c>
      <c r="AE220" t="str">
        <f t="array" ref="AE220:AH220">[1]!'5236.TW-CName,InvestorConferenceDate,DateofMeetingofShareHolders,TradingDate'</f>
        <v>凌陽創新</v>
      </c>
      <c r="AF220" t="str">
        <v>2022/04/28</v>
      </c>
      <c r="AG220" t="str">
        <v>2022/06/14</v>
      </c>
      <c r="AH220" t="str">
        <v>2022/08/01</v>
      </c>
    </row>
    <row r="221" spans="1:34" x14ac:dyDescent="0.3">
      <c r="A221" t="str">
        <f t="array" ref="A221:J221">[1]!'5272.TW-ID,Name,MarketValue,Capital,NetIncomeGrowthRate,OperIncomeGrowthRate,FinancialStatementsTime,TFXRatio,MonthlyNetSalesYoY,RevenueMonth'</f>
        <v>5272</v>
      </c>
      <c r="B221" t="str">
        <v>笙科</v>
      </c>
      <c r="C221" t="str">
        <v>18.9</v>
      </c>
      <c r="D221" t="str">
        <v>5.60</v>
      </c>
      <c r="E221" t="str">
        <v>206.59</v>
      </c>
      <c r="F221" t="str">
        <v>127.65</v>
      </c>
      <c r="G221" t="str">
        <v>2022/06</v>
      </c>
      <c r="H221" t="str">
        <v>-4.55</v>
      </c>
      <c r="I221" t="str">
        <v>10.25</v>
      </c>
      <c r="J221" t="str">
        <v>2022/06</v>
      </c>
      <c r="K221" t="str">
        <f t="array" ref="K221:T221">[1]!'5272.TW-OperatingProfitRatio,Price,PriceChangeRatio,InOutRatioNumber,Value,YearReturn,MonthReturn,WeekReturn,FinanceBalanceDif,ChipsField2'</f>
        <v>12.06</v>
      </c>
      <c r="L221">
        <v>33.700000000000003</v>
      </c>
      <c r="M221">
        <v>-0.15</v>
      </c>
      <c r="N221" t="str">
        <v>46.06%</v>
      </c>
      <c r="O221" t="str">
        <v>1593萬</v>
      </c>
      <c r="P221" t="str">
        <v>-8.05</v>
      </c>
      <c r="Q221" t="str">
        <v>+0.30</v>
      </c>
      <c r="R221" t="str">
        <v>-3.85</v>
      </c>
      <c r="S221">
        <v>-63</v>
      </c>
      <c r="T221">
        <v>0</v>
      </c>
      <c r="U221">
        <f t="array" ref="U221:AD221">[1]!'5272.TW-ChipsField3,ChipsField1,ChipsField25,CashAndStockDividend,CashDividendYieldRate,ProfitFourSeason,ProfitSingle,CName,ExchangeIndustry,CompanyPos'</f>
        <v>0</v>
      </c>
      <c r="V221">
        <v>15</v>
      </c>
      <c r="W221" t="str">
        <v>2022/06/21</v>
      </c>
      <c r="X221" t="str">
        <v>0.86</v>
      </c>
      <c r="Y221">
        <v>2.5499999999999998</v>
      </c>
      <c r="Z221" t="str">
        <v>1.61</v>
      </c>
      <c r="AA221" t="str">
        <v>0.50</v>
      </c>
      <c r="AB221" t="str">
        <v>笙科</v>
      </c>
      <c r="AC221" t="str">
        <v>上櫃半導體</v>
      </c>
      <c r="AD221" t="str">
        <v>台灣專注於無線通訊射頻(RF)晶片廠</v>
      </c>
      <c r="AE221" t="str">
        <f t="array" ref="AE221:AH221">[1]!'5272.TW-CName,InvestorConferenceDate,DateofMeetingofShareHolders,TradingDate'</f>
        <v>笙科</v>
      </c>
      <c r="AF221" t="str">
        <v>--</v>
      </c>
      <c r="AG221" t="str">
        <v>2022/06/06</v>
      </c>
      <c r="AH221" t="str">
        <v>2022/08/01</v>
      </c>
    </row>
    <row r="222" spans="1:34" x14ac:dyDescent="0.3">
      <c r="A222" t="str">
        <f t="array" ref="A222:J222">[1]!'5274.TW-ID,Name,MarketValue,Capital,NetIncomeGrowthRate,OperIncomeGrowthRate,FinancialStatementsTime,TFXRatio,MonthlyNetSalesYoY,RevenueMonth'</f>
        <v>5274</v>
      </c>
      <c r="B222" t="str">
        <v>信驊</v>
      </c>
      <c r="C222" t="str">
        <v>689.7</v>
      </c>
      <c r="D222" t="str">
        <v>3.78</v>
      </c>
      <c r="E222" t="str">
        <v>89.63</v>
      </c>
      <c r="F222" t="str">
        <v>78.21</v>
      </c>
      <c r="G222" t="str">
        <v>2022/03</v>
      </c>
      <c r="H222" t="str">
        <v>8.54</v>
      </c>
      <c r="I222" t="str">
        <v>53.67</v>
      </c>
      <c r="J222" t="str">
        <v>2022/06</v>
      </c>
      <c r="K222" t="str">
        <f t="array" ref="K222:T222">[1]!'5274.TW-OperatingProfitRatio,Price,PriceChangeRatio,InOutRatioNumber,Value,YearReturn,MonthReturn,WeekReturn,FinanceBalanceDif,ChipsField2'</f>
        <v>47.37</v>
      </c>
      <c r="L222">
        <v>1825</v>
      </c>
      <c r="M222">
        <v>-5.19</v>
      </c>
      <c r="N222" t="str">
        <v>37.89%</v>
      </c>
      <c r="O222" t="str">
        <v>7.35億</v>
      </c>
      <c r="P222" t="str">
        <v>-9.24</v>
      </c>
      <c r="Q222" t="str">
        <v>+5.80</v>
      </c>
      <c r="R222" t="str">
        <v>+1.11</v>
      </c>
      <c r="S222">
        <v>-28</v>
      </c>
      <c r="T222">
        <v>53</v>
      </c>
      <c r="U222">
        <f t="array" ref="U222:AD222">[1]!'5274.TW-ChipsField3,ChipsField1,ChipsField25,CashAndStockDividend,CashDividendYieldRate,ProfitFourSeason,ProfitSingle,CName,ExchangeIndustry,CompanyPos'</f>
        <v>-10</v>
      </c>
      <c r="V222">
        <v>31</v>
      </c>
      <c r="W222" t="str">
        <v>2022/06/28</v>
      </c>
      <c r="X222" t="str">
        <v>36.00</v>
      </c>
      <c r="Y222">
        <v>1.97</v>
      </c>
      <c r="Z222" t="str">
        <v>44.75</v>
      </c>
      <c r="AA222" t="str">
        <v>13.64</v>
      </c>
      <c r="AB222" t="str">
        <v>信驊</v>
      </c>
      <c r="AC222" t="str">
        <v>上櫃半導體</v>
      </c>
      <c r="AD222" t="str">
        <v>宏正轉投資之全球伺服器管理晶片龍頭</v>
      </c>
      <c r="AE222" t="str">
        <f t="array" ref="AE222:AH222">[1]!'5274.TW-CName,InvestorConferenceDate,DateofMeetingofShareHolders,TradingDate'</f>
        <v>信驊</v>
      </c>
      <c r="AF222" t="str">
        <v>2021/10/20</v>
      </c>
      <c r="AG222" t="str">
        <v>2022/05/31</v>
      </c>
      <c r="AH222" t="str">
        <v>2022/08/01</v>
      </c>
    </row>
    <row r="223" spans="1:34" x14ac:dyDescent="0.3">
      <c r="A223" t="str">
        <f t="array" ref="A223:J223">[1]!'5299.TW-ID,Name,MarketValue,Capital,NetIncomeGrowthRate,OperIncomeGrowthRate,FinancialStatementsTime,TFXRatio,MonthlyNetSalesYoY,RevenueMonth'</f>
        <v>5299</v>
      </c>
      <c r="B223" t="str">
        <v>杰力</v>
      </c>
      <c r="C223" t="str">
        <v>48.0</v>
      </c>
      <c r="D223" t="str">
        <v>3.59</v>
      </c>
      <c r="E223" t="str">
        <v>34.43</v>
      </c>
      <c r="F223" t="str">
        <v>20.21</v>
      </c>
      <c r="G223" t="str">
        <v>2022/06</v>
      </c>
      <c r="H223" t="str">
        <v>-9.19</v>
      </c>
      <c r="I223" t="str">
        <v>-5.62</v>
      </c>
      <c r="J223" t="str">
        <v>2022/06</v>
      </c>
      <c r="K223" t="str">
        <f t="array" ref="K223:T223">[1]!'5299.TW-OperatingProfitRatio,Price,PriceChangeRatio,InOutRatioNumber,Value,YearReturn,MonthReturn,WeekReturn,FinanceBalanceDif,ChipsField2'</f>
        <v>29.06</v>
      </c>
      <c r="L223">
        <v>134</v>
      </c>
      <c r="M223">
        <v>-1.83</v>
      </c>
      <c r="N223" t="str">
        <v>27.79%</v>
      </c>
      <c r="O223" t="str">
        <v>9732萬</v>
      </c>
      <c r="P223" t="str">
        <v>-38.27</v>
      </c>
      <c r="Q223" t="str">
        <v>+7.29</v>
      </c>
      <c r="R223" t="str">
        <v>-0.76</v>
      </c>
      <c r="S223">
        <v>-9</v>
      </c>
      <c r="T223">
        <v>0</v>
      </c>
      <c r="U223">
        <f t="array" ref="U223:AD223">[1]!'5299.TW-ChipsField3,ChipsField1,ChipsField25,CashAndStockDividend,CashDividendYieldRate,ProfitFourSeason,ProfitSingle,CName,ExchangeIndustry,CompanyPos'</f>
        <v>35</v>
      </c>
      <c r="V223">
        <v>136</v>
      </c>
      <c r="W223" t="str">
        <v>2022/08/01</v>
      </c>
      <c r="X223" t="str">
        <v>11.59</v>
      </c>
      <c r="Y223">
        <v>8.65</v>
      </c>
      <c r="Z223" t="str">
        <v>20.30</v>
      </c>
      <c r="AA223" t="str">
        <v>4.97</v>
      </c>
      <c r="AB223" t="str">
        <v>杰力</v>
      </c>
      <c r="AC223" t="str">
        <v>上櫃半導體</v>
      </c>
      <c r="AD223" t="str">
        <v>華碩轉投資的功率元件設計公司</v>
      </c>
      <c r="AE223" t="str">
        <f t="array" ref="AE223:AH223">[1]!'5299.TW-CName,InvestorConferenceDate,DateofMeetingofShareHolders,TradingDate'</f>
        <v>杰力</v>
      </c>
      <c r="AF223" t="str">
        <v>--</v>
      </c>
      <c r="AG223" t="str">
        <v>2022/05/26</v>
      </c>
      <c r="AH223" t="str">
        <v>2022/08/01</v>
      </c>
    </row>
    <row r="224" spans="1:34" x14ac:dyDescent="0.3">
      <c r="A224" t="str">
        <f t="array" ref="A224:J224">[1]!'5302.TW-ID,Name,MarketValue,Capital,NetIncomeGrowthRate,OperIncomeGrowthRate,FinancialStatementsTime,TFXRatio,MonthlyNetSalesYoY,RevenueMonth'</f>
        <v>5302</v>
      </c>
      <c r="B224" t="str">
        <v>太欣</v>
      </c>
      <c r="C224" t="str">
        <v>15.4</v>
      </c>
      <c r="D224" t="str">
        <v>15.99</v>
      </c>
      <c r="E224" t="str">
        <v>-47.00</v>
      </c>
      <c r="F224" t="str">
        <v>-41.48</v>
      </c>
      <c r="G224" t="str">
        <v>2022/03</v>
      </c>
      <c r="H224" t="str">
        <v>9.48</v>
      </c>
      <c r="I224" t="str">
        <v>-66.60</v>
      </c>
      <c r="J224" t="str">
        <v>2022/06</v>
      </c>
      <c r="K224" t="str">
        <f t="array" ref="K224:T224">[1]!'5302.TW-OperatingProfitRatio,Price,PriceChangeRatio,InOutRatioNumber,Value,YearReturn,MonthReturn,WeekReturn,FinanceBalanceDif,ChipsField2'</f>
        <v>-728.37</v>
      </c>
      <c r="L224">
        <v>9.6199999999999992</v>
      </c>
      <c r="M224">
        <v>-1.74</v>
      </c>
      <c r="N224" t="str">
        <v>54.92%</v>
      </c>
      <c r="O224" t="str">
        <v>187萬</v>
      </c>
      <c r="P224" t="str">
        <v>-37.53</v>
      </c>
      <c r="Q224" t="str">
        <v>+9.07</v>
      </c>
      <c r="R224" t="str">
        <v>-0.93</v>
      </c>
      <c r="S224">
        <v>0</v>
      </c>
      <c r="T224">
        <v>0</v>
      </c>
      <c r="U224">
        <f t="array" ref="U224:AD224">[1]!'5302.TW-ChipsField3,ChipsField1,ChipsField25,CashAndStockDividend,CashDividendYieldRate,ProfitFourSeason,ProfitSingle,CName,ExchangeIndustry,CompanyPos'</f>
        <v>0</v>
      </c>
      <c r="V224">
        <v>2</v>
      </c>
      <c r="W224" t="str">
        <v>--</v>
      </c>
      <c r="X224" t="str">
        <v>0.00</v>
      </c>
      <c r="Y224">
        <v>0</v>
      </c>
      <c r="Z224" t="str">
        <v>-0.29</v>
      </c>
      <c r="AA224" t="str">
        <v>-0.07</v>
      </c>
      <c r="AB224" t="str">
        <v>太欣</v>
      </c>
      <c r="AC224" t="str">
        <v>上櫃半導體</v>
      </c>
      <c r="AD224" t="str">
        <v>台灣第一家IC設計廠商，現專注影像擷取錄影之單晶片開發</v>
      </c>
      <c r="AE224" t="str">
        <f t="array" ref="AE224:AH224">[1]!'5302.TW-CName,InvestorConferenceDate,DateofMeetingofShareHolders,TradingDate'</f>
        <v>太欣</v>
      </c>
      <c r="AF224" t="str">
        <v>--</v>
      </c>
      <c r="AG224" t="str">
        <v>2022/06/27</v>
      </c>
      <c r="AH224" t="str">
        <v>2022/08/01</v>
      </c>
    </row>
    <row r="225" spans="1:34" x14ac:dyDescent="0.3">
      <c r="A225" t="str">
        <f t="array" ref="A225:J225">[1]!'5314.TW-ID,Name,MarketValue,Capital,NetIncomeGrowthRate,OperIncomeGrowthRate,FinancialStatementsTime,TFXRatio,MonthlyNetSalesYoY,RevenueMonth'</f>
        <v>5314</v>
      </c>
      <c r="B225" t="str">
        <v>世紀</v>
      </c>
      <c r="C225" t="str">
        <v>2.5</v>
      </c>
      <c r="D225" t="str">
        <v>6.00</v>
      </c>
      <c r="E225" t="str">
        <v>26.28</v>
      </c>
      <c r="F225" t="str">
        <v>27.26</v>
      </c>
      <c r="G225" t="str">
        <v>2022/03</v>
      </c>
      <c r="H225" t="str">
        <v>-97.69</v>
      </c>
      <c r="I225" t="str">
        <v>-99.06</v>
      </c>
      <c r="J225" t="str">
        <v>2022/06</v>
      </c>
      <c r="K225" t="str">
        <f t="array" ref="K225:T225">[1]!'5314.TW-OperatingProfitRatio,Price,PriceChangeRatio,InOutRatioNumber,Value,YearReturn,MonthReturn,WeekReturn,FinanceBalanceDif,ChipsField2'</f>
        <v>-458.63</v>
      </c>
      <c r="L225">
        <v>4.0999999999999996</v>
      </c>
      <c r="M225">
        <v>-1.2</v>
      </c>
      <c r="N225" t="str">
        <v>75.00%</v>
      </c>
      <c r="O225" t="str">
        <v>34.8萬</v>
      </c>
      <c r="P225" t="str">
        <v>-36.92</v>
      </c>
      <c r="Q225" t="str">
        <v>-6.82</v>
      </c>
      <c r="R225" t="str">
        <v>-1.20</v>
      </c>
      <c r="S225">
        <v>0</v>
      </c>
      <c r="T225">
        <v>0</v>
      </c>
      <c r="U225">
        <f t="array" ref="U225:AD225">[1]!'5314.TW-ChipsField3,ChipsField1,ChipsField25,CashAndStockDividend,CashDividendYieldRate,ProfitFourSeason,ProfitSingle,CName,ExchangeIndustry,CompanyPos'</f>
        <v>0</v>
      </c>
      <c r="V225">
        <v>0</v>
      </c>
      <c r="W225" t="str">
        <v>--</v>
      </c>
      <c r="X225" t="str">
        <v>0.00</v>
      </c>
      <c r="Y225">
        <v>0</v>
      </c>
      <c r="Z225" t="str">
        <v>-0.47</v>
      </c>
      <c r="AA225" t="str">
        <v>-0.09</v>
      </c>
      <c r="AB225" t="str">
        <v>世紀</v>
      </c>
      <c r="AC225" t="str">
        <v>上櫃半導體</v>
      </c>
      <c r="AD225" t="str">
        <v>裕隆旗下的MCU及多媒體通訊IC設計廠商</v>
      </c>
      <c r="AE225" t="str">
        <f t="array" ref="AE225:AH225">[1]!'5314.TW-CName,InvestorConferenceDate,DateofMeetingofShareHolders,TradingDate'</f>
        <v>世紀</v>
      </c>
      <c r="AF225" t="str">
        <v>--</v>
      </c>
      <c r="AG225" t="str">
        <v>2022/05/31</v>
      </c>
      <c r="AH225" t="str">
        <v>2022/08/01</v>
      </c>
    </row>
    <row r="226" spans="1:34" x14ac:dyDescent="0.3">
      <c r="A226" t="str">
        <f t="array" ref="A226:J226">[1]!'5344.TW-ID,Name,MarketValue,Capital,NetIncomeGrowthRate,OperIncomeGrowthRate,FinancialStatementsTime,TFXRatio,MonthlyNetSalesYoY,RevenueMonth'</f>
        <v>5344</v>
      </c>
      <c r="B226" t="str">
        <v>立衛</v>
      </c>
      <c r="C226" t="str">
        <v>19.6</v>
      </c>
      <c r="D226" t="str">
        <v>7.94</v>
      </c>
      <c r="E226" t="str">
        <v>-73.56</v>
      </c>
      <c r="F226" t="str">
        <v>-96.90</v>
      </c>
      <c r="G226" t="str">
        <v>2022/06</v>
      </c>
      <c r="H226" t="str">
        <v>6.17</v>
      </c>
      <c r="I226" t="str">
        <v>-16.12</v>
      </c>
      <c r="J226" t="str">
        <v>2022/06</v>
      </c>
      <c r="K226" t="str">
        <f t="array" ref="K226:T226">[1]!'5344.TW-OperatingProfitRatio,Price,PriceChangeRatio,InOutRatioNumber,Value,YearReturn,MonthReturn,WeekReturn,FinanceBalanceDif,ChipsField2'</f>
        <v>0.66</v>
      </c>
      <c r="L226">
        <v>24.7</v>
      </c>
      <c r="M226">
        <v>-0.6</v>
      </c>
      <c r="N226" t="str">
        <v>41.70%</v>
      </c>
      <c r="O226" t="str">
        <v>1181萬</v>
      </c>
      <c r="P226" t="str">
        <v>+5.78</v>
      </c>
      <c r="Q226" t="str">
        <v>+33.51</v>
      </c>
      <c r="R226" t="str">
        <v>-1.59</v>
      </c>
      <c r="S226">
        <v>0</v>
      </c>
      <c r="T226">
        <v>0</v>
      </c>
      <c r="U226">
        <f t="array" ref="U226:AD226">[1]!'5344.TW-ChipsField3,ChipsField1,ChipsField25,CashAndStockDividend,CashDividendYieldRate,ProfitFourSeason,ProfitSingle,CName,ExchangeIndustry,CompanyPos'</f>
        <v>0</v>
      </c>
      <c r="V226">
        <v>6</v>
      </c>
      <c r="W226" t="str">
        <v>--</v>
      </c>
      <c r="X226" t="str">
        <v>0.00</v>
      </c>
      <c r="Y226">
        <v>0</v>
      </c>
      <c r="Z226" t="str">
        <v>0.44</v>
      </c>
      <c r="AA226" t="str">
        <v>0.09</v>
      </c>
      <c r="AB226" t="str">
        <v>立衛</v>
      </c>
      <c r="AC226" t="str">
        <v>上櫃半導體</v>
      </c>
      <c r="AD226" t="str">
        <v>威盛轉投資之邏輯IC及CPU測試廠商</v>
      </c>
      <c r="AE226" t="str">
        <f t="array" ref="AE226:AH226">[1]!'5344.TW-CName,InvestorConferenceDate,DateofMeetingofShareHolders,TradingDate'</f>
        <v>立衛</v>
      </c>
      <c r="AF226" t="str">
        <v>--</v>
      </c>
      <c r="AG226" t="str">
        <v>2022/06/21</v>
      </c>
      <c r="AH226" t="str">
        <v>2022/08/01</v>
      </c>
    </row>
    <row r="227" spans="1:34" x14ac:dyDescent="0.3">
      <c r="A227" t="str">
        <f t="array" ref="A227:J227">[1]!'5347.TW-ID,Name,MarketValue,Capital,NetIncomeGrowthRate,OperIncomeGrowthRate,FinancialStatementsTime,TFXRatio,MonthlyNetSalesYoY,RevenueMonth'</f>
        <v>5347</v>
      </c>
      <c r="B227" t="str">
        <v>世界</v>
      </c>
      <c r="C227" t="str">
        <v>1158.8</v>
      </c>
      <c r="D227" t="str">
        <v>163.90</v>
      </c>
      <c r="E227" t="str">
        <v>84.85</v>
      </c>
      <c r="F227" t="str">
        <v>103.51</v>
      </c>
      <c r="G227" t="str">
        <v>2022/03</v>
      </c>
      <c r="H227" t="str">
        <v>3.29</v>
      </c>
      <c r="I227" t="str">
        <v>53.70</v>
      </c>
      <c r="J227" t="str">
        <v>2022/06</v>
      </c>
      <c r="K227" t="str">
        <f t="array" ref="K227:T227">[1]!'5347.TW-OperatingProfitRatio,Price,PriceChangeRatio,InOutRatioNumber,Value,YearReturn,MonthReturn,WeekReturn,FinanceBalanceDif,ChipsField2'</f>
        <v>36.97</v>
      </c>
      <c r="L227">
        <v>70.7</v>
      </c>
      <c r="M227">
        <v>-1.81</v>
      </c>
      <c r="N227" t="str">
        <v>37.67%</v>
      </c>
      <c r="O227" t="str">
        <v>4.55億</v>
      </c>
      <c r="P227" t="str">
        <v>-33.06</v>
      </c>
      <c r="Q227" t="str">
        <v>+2.76</v>
      </c>
      <c r="R227" t="str">
        <v>-2.88</v>
      </c>
      <c r="S227">
        <v>156</v>
      </c>
      <c r="T227">
        <v>53</v>
      </c>
      <c r="U227">
        <f t="array" ref="U227:AD227">[1]!'5347.TW-ChipsField3,ChipsField1,ChipsField25,CashAndStockDividend,CashDividendYieldRate,ProfitFourSeason,ProfitSingle,CName,ExchangeIndustry,CompanyPos'</f>
        <v>-69</v>
      </c>
      <c r="V227">
        <v>-88</v>
      </c>
      <c r="W227" t="str">
        <v>2022/07/04</v>
      </c>
      <c r="X227" t="str">
        <v>4.50</v>
      </c>
      <c r="Y227">
        <v>6.36</v>
      </c>
      <c r="Z227" t="str">
        <v>8.36</v>
      </c>
      <c r="AA227" t="str">
        <v>2.50</v>
      </c>
      <c r="AB227" t="str">
        <v>世界</v>
      </c>
      <c r="AC227" t="str">
        <v>上櫃半導體</v>
      </c>
      <c r="AD227" t="str">
        <v>台積電轉投資之晶圓代工廠</v>
      </c>
      <c r="AE227" t="str">
        <f t="array" ref="AE227:AH227">[1]!'5347.TW-CName,InvestorConferenceDate,DateofMeetingofShareHolders,TradingDate'</f>
        <v>世界</v>
      </c>
      <c r="AF227" t="str">
        <v>2022/08/02</v>
      </c>
      <c r="AG227" t="str">
        <v>2022/06/14</v>
      </c>
      <c r="AH227" t="str">
        <v>2022/08/01</v>
      </c>
    </row>
    <row r="228" spans="1:34" x14ac:dyDescent="0.3">
      <c r="A228" t="str">
        <f t="array" ref="A228:J228">[1]!'5351.TW-ID,Name,MarketValue,Capital,NetIncomeGrowthRate,OperIncomeGrowthRate,FinancialStatementsTime,TFXRatio,MonthlyNetSalesYoY,RevenueMonth'</f>
        <v>5351</v>
      </c>
      <c r="B228" t="str">
        <v>鈺創</v>
      </c>
      <c r="C228" t="str">
        <v>140.0</v>
      </c>
      <c r="D228" t="str">
        <v>27.04</v>
      </c>
      <c r="E228" t="str">
        <v>314.68</v>
      </c>
      <c r="F228" t="str">
        <v>297.83</v>
      </c>
      <c r="G228" t="str">
        <v>2022/03</v>
      </c>
      <c r="H228" t="str">
        <v>-3.57</v>
      </c>
      <c r="I228" t="str">
        <v>-1.77</v>
      </c>
      <c r="J228" t="str">
        <v>2022/06</v>
      </c>
      <c r="K228" t="str">
        <f t="array" ref="K228:T228">[1]!'5351.TW-OperatingProfitRatio,Price,PriceChangeRatio,InOutRatioNumber,Value,YearReturn,MonthReturn,WeekReturn,FinanceBalanceDif,ChipsField2'</f>
        <v>11.78</v>
      </c>
      <c r="L228">
        <v>51.8</v>
      </c>
      <c r="M228">
        <v>0.97</v>
      </c>
      <c r="N228" t="str">
        <v>50.14%</v>
      </c>
      <c r="O228" t="str">
        <v>1.84億</v>
      </c>
      <c r="P228" t="str">
        <v>+5.07</v>
      </c>
      <c r="Q228" t="str">
        <v>+4.65</v>
      </c>
      <c r="R228" t="str">
        <v>-2.45</v>
      </c>
      <c r="S228">
        <v>59</v>
      </c>
      <c r="T228">
        <v>0</v>
      </c>
      <c r="U228">
        <f t="array" ref="U228:AD228">[1]!'5351.TW-ChipsField3,ChipsField1,ChipsField25,CashAndStockDividend,CashDividendYieldRate,ProfitFourSeason,ProfitSingle,CName,ExchangeIndustry,CompanyPos'</f>
        <v>10</v>
      </c>
      <c r="V228">
        <v>456</v>
      </c>
      <c r="W228" t="str">
        <v>--</v>
      </c>
      <c r="X228" t="str">
        <v>1.30</v>
      </c>
      <c r="Y228">
        <v>2.5099999999999998</v>
      </c>
      <c r="Z228" t="str">
        <v>4.52</v>
      </c>
      <c r="AA228" t="str">
        <v>0.81</v>
      </c>
      <c r="AB228" t="str">
        <v>鈺創</v>
      </c>
      <c r="AC228" t="str">
        <v>上櫃半導體</v>
      </c>
      <c r="AD228" t="str">
        <v>台灣利基型記憶體IC設計廠商</v>
      </c>
      <c r="AE228" t="str">
        <f t="array" ref="AE228:AH228">[1]!'5351.TW-CName,InvestorConferenceDate,DateofMeetingofShareHolders,TradingDate'</f>
        <v>鈺創</v>
      </c>
      <c r="AF228" t="str">
        <v>--</v>
      </c>
      <c r="AG228" t="str">
        <v>2022/06/08</v>
      </c>
      <c r="AH228" t="str">
        <v>2022/08/01</v>
      </c>
    </row>
    <row r="229" spans="1:34" x14ac:dyDescent="0.3">
      <c r="A229" t="str">
        <f t="array" ref="A229:J229">[1]!'5425.TW-ID,Name,MarketValue,Capital,NetIncomeGrowthRate,OperIncomeGrowthRate,FinancialStatementsTime,TFXRatio,MonthlyNetSalesYoY,RevenueMonth'</f>
        <v>5425</v>
      </c>
      <c r="B229" t="str">
        <v>台半</v>
      </c>
      <c r="C229" t="str">
        <v>212.9</v>
      </c>
      <c r="D229" t="str">
        <v>26.35</v>
      </c>
      <c r="E229" t="str">
        <v>65.60</v>
      </c>
      <c r="F229" t="str">
        <v>58.95</v>
      </c>
      <c r="G229" t="str">
        <v>2022/03</v>
      </c>
      <c r="H229" t="str">
        <v>6.27</v>
      </c>
      <c r="I229" t="str">
        <v>26.92</v>
      </c>
      <c r="J229" t="str">
        <v>2022/06</v>
      </c>
      <c r="K229" t="str">
        <f t="array" ref="K229:T229">[1]!'5425.TW-OperatingProfitRatio,Price,PriceChangeRatio,InOutRatioNumber,Value,YearReturn,MonthReturn,WeekReturn,FinanceBalanceDif,ChipsField2'</f>
        <v>16.69</v>
      </c>
      <c r="L229">
        <v>80.8</v>
      </c>
      <c r="M229">
        <v>0.37</v>
      </c>
      <c r="N229" t="str">
        <v>52.71%</v>
      </c>
      <c r="O229" t="str">
        <v>4.28億</v>
      </c>
      <c r="P229" t="str">
        <v>+5.92</v>
      </c>
      <c r="Q229" t="str">
        <v>+30.09</v>
      </c>
      <c r="R229" t="str">
        <v>+2.70</v>
      </c>
      <c r="S229">
        <v>91</v>
      </c>
      <c r="T229">
        <v>501</v>
      </c>
      <c r="U229">
        <f t="array" ref="U229:AD229">[1]!'5425.TW-ChipsField3,ChipsField1,ChipsField25,CashAndStockDividend,CashDividendYieldRate,ProfitFourSeason,ProfitSingle,CName,ExchangeIndustry,CompanyPos'</f>
        <v>569</v>
      </c>
      <c r="V229">
        <v>966</v>
      </c>
      <c r="W229" t="str">
        <v>2022/07/28</v>
      </c>
      <c r="X229" t="str">
        <v>2.50</v>
      </c>
      <c r="Y229">
        <v>3.09</v>
      </c>
      <c r="Z229" t="str">
        <v>4.36</v>
      </c>
      <c r="AA229" t="str">
        <v>1.55</v>
      </c>
      <c r="AB229" t="str">
        <v>台半</v>
      </c>
      <c r="AC229" t="str">
        <v>上櫃半導體</v>
      </c>
      <c r="AD229" t="str">
        <v>台灣整流二極體大廠</v>
      </c>
      <c r="AE229" t="str">
        <f t="array" ref="AE229:AH229">[1]!'5425.TW-CName,InvestorConferenceDate,DateofMeetingofShareHolders,TradingDate'</f>
        <v>台半</v>
      </c>
      <c r="AF229" t="str">
        <v>2022/05/20</v>
      </c>
      <c r="AG229" t="str">
        <v>2022/06/21</v>
      </c>
      <c r="AH229" t="str">
        <v>2022/08/01</v>
      </c>
    </row>
    <row r="230" spans="1:34" x14ac:dyDescent="0.3">
      <c r="A230" t="str">
        <f t="array" ref="A230:J230">[1]!'5468.TW-ID,Name,MarketValue,Capital,NetIncomeGrowthRate,OperIncomeGrowthRate,FinancialStatementsTime,TFXRatio,MonthlyNetSalesYoY,RevenueMonth'</f>
        <v>5468</v>
      </c>
      <c r="B230" t="str">
        <v>凱鈺</v>
      </c>
      <c r="C230" t="str">
        <v>7.5</v>
      </c>
      <c r="D230" t="str">
        <v>3.58</v>
      </c>
      <c r="E230" t="str">
        <v>300.07</v>
      </c>
      <c r="F230" t="str">
        <v>382.31</v>
      </c>
      <c r="G230" t="str">
        <v>2022/03</v>
      </c>
      <c r="H230" t="str">
        <v>-38.87</v>
      </c>
      <c r="I230" t="str">
        <v>-7.33</v>
      </c>
      <c r="J230" t="str">
        <v>2022/06</v>
      </c>
      <c r="K230" t="str">
        <f t="array" ref="K230:T230">[1]!'5468.TW-OperatingProfitRatio,Price,PriceChangeRatio,InOutRatioNumber,Value,YearReturn,MonthReturn,WeekReturn,FinanceBalanceDif,ChipsField2'</f>
        <v>23.49</v>
      </c>
      <c r="L230">
        <v>21.05</v>
      </c>
      <c r="M230">
        <v>0.48</v>
      </c>
      <c r="N230" t="str">
        <v>42.72%</v>
      </c>
      <c r="O230" t="str">
        <v>217萬</v>
      </c>
      <c r="P230" t="str">
        <v>+21.68</v>
      </c>
      <c r="Q230" t="str">
        <v>-21.01</v>
      </c>
      <c r="R230" t="str">
        <v>-1.41</v>
      </c>
      <c r="S230">
        <v>0</v>
      </c>
      <c r="T230">
        <v>0</v>
      </c>
      <c r="U230">
        <f t="array" ref="U230:AD230">[1]!'5468.TW-ChipsField3,ChipsField1,ChipsField25,CashAndStockDividend,CashDividendYieldRate,ProfitFourSeason,ProfitSingle,CName,ExchangeIndustry,CompanyPos'</f>
        <v>0</v>
      </c>
      <c r="V230">
        <v>5</v>
      </c>
      <c r="W230" t="str">
        <v>--</v>
      </c>
      <c r="X230" t="str">
        <v>0.00</v>
      </c>
      <c r="Y230">
        <v>0</v>
      </c>
      <c r="Z230" t="str">
        <v>0.85</v>
      </c>
      <c r="AA230" t="str">
        <v>0.44</v>
      </c>
      <c r="AB230" t="str">
        <v>凱鈺</v>
      </c>
      <c r="AC230" t="str">
        <v>上櫃半導體</v>
      </c>
      <c r="AD230" t="str">
        <v>鈺創轉投資的LED驅動IC及光通訊IC廠</v>
      </c>
      <c r="AE230" t="str">
        <f t="array" ref="AE230:AH230">[1]!'5468.TW-CName,InvestorConferenceDate,DateofMeetingofShareHolders,TradingDate'</f>
        <v>凱鈺</v>
      </c>
      <c r="AF230" t="str">
        <v>2021/11/18</v>
      </c>
      <c r="AG230" t="str">
        <v>2022/04/28</v>
      </c>
      <c r="AH230" t="str">
        <v>2022/08/01</v>
      </c>
    </row>
    <row r="231" spans="1:34" x14ac:dyDescent="0.3">
      <c r="A231" t="str">
        <f t="array" ref="A231:J231">[1]!'5483.TW-ID,Name,MarketValue,Capital,NetIncomeGrowthRate,OperIncomeGrowthRate,FinancialStatementsTime,TFXRatio,MonthlyNetSalesYoY,RevenueMonth'</f>
        <v>5483</v>
      </c>
      <c r="B231" t="str">
        <v>中美晶</v>
      </c>
      <c r="C231" t="str">
        <v>829.5</v>
      </c>
      <c r="D231" t="str">
        <v>58.62</v>
      </c>
      <c r="E231" t="str">
        <v>-22.40</v>
      </c>
      <c r="F231" t="str">
        <v>56.67</v>
      </c>
      <c r="G231" t="str">
        <v>2022/03</v>
      </c>
      <c r="H231" t="str">
        <v>4.93</v>
      </c>
      <c r="I231" t="str">
        <v>16.50</v>
      </c>
      <c r="J231" t="str">
        <v>2022/06</v>
      </c>
      <c r="K231" t="str">
        <f t="array" ref="K231:T231">[1]!'5483.TW-OperatingProfitRatio,Price,PriceChangeRatio,InOutRatioNumber,Value,YearReturn,MonthReturn,WeekReturn,FinanceBalanceDif,ChipsField2'</f>
        <v>33.06</v>
      </c>
      <c r="L231">
        <v>141.5</v>
      </c>
      <c r="M231">
        <v>-0.7</v>
      </c>
      <c r="N231" t="str">
        <v>26.66%</v>
      </c>
      <c r="O231" t="str">
        <v>2.91億</v>
      </c>
      <c r="P231" t="str">
        <v>-21.54</v>
      </c>
      <c r="Q231" t="str">
        <v>+5.07</v>
      </c>
      <c r="R231" t="str">
        <v>-2.41</v>
      </c>
      <c r="S231">
        <v>96</v>
      </c>
      <c r="T231">
        <v>55</v>
      </c>
      <c r="U231">
        <f t="array" ref="U231:AD231">[1]!'5483.TW-ChipsField3,ChipsField1,ChipsField25,CashAndStockDividend,CashDividendYieldRate,ProfitFourSeason,ProfitSingle,CName,ExchangeIndustry,CompanyPos'</f>
        <v>-8</v>
      </c>
      <c r="V231">
        <v>-178</v>
      </c>
      <c r="W231" t="str">
        <v>2022/07/19</v>
      </c>
      <c r="X231" t="str">
        <v>4.50</v>
      </c>
      <c r="Y231">
        <v>5.65</v>
      </c>
      <c r="Z231" t="str">
        <v>11.28</v>
      </c>
      <c r="AA231" t="str">
        <v>2.16</v>
      </c>
      <c r="AB231" t="str">
        <v>中美晶</v>
      </c>
      <c r="AC231" t="str">
        <v>上櫃半導體</v>
      </c>
      <c r="AD231" t="str">
        <v>台灣第二大太陽能長晶廠</v>
      </c>
      <c r="AE231" t="str">
        <f t="array" ref="AE231:AH231">[1]!'5483.TW-CName,InvestorConferenceDate,DateofMeetingofShareHolders,TradingDate'</f>
        <v>中美晶</v>
      </c>
      <c r="AF231" t="str">
        <v>2022/08/04</v>
      </c>
      <c r="AG231" t="str">
        <v>2022/06/23</v>
      </c>
      <c r="AH231" t="str">
        <v>2022/08/01</v>
      </c>
    </row>
    <row r="232" spans="1:34" x14ac:dyDescent="0.3">
      <c r="A232" t="str">
        <f t="array" ref="A232:J232">[1]!'5487.TW-ID,Name,MarketValue,Capital,NetIncomeGrowthRate,OperIncomeGrowthRate,FinancialStatementsTime,TFXRatio,MonthlyNetSalesYoY,RevenueMonth'</f>
        <v>5487</v>
      </c>
      <c r="B232" t="str">
        <v>通泰</v>
      </c>
      <c r="C232" t="str">
        <v>6.6</v>
      </c>
      <c r="D232" t="str">
        <v>2.41</v>
      </c>
      <c r="E232" t="str">
        <v>-43.45</v>
      </c>
      <c r="F232" t="str">
        <v>-55.42</v>
      </c>
      <c r="G232" t="str">
        <v>2022/03</v>
      </c>
      <c r="H232" t="str">
        <v>-14.00</v>
      </c>
      <c r="I232" t="str">
        <v>-58.01</v>
      </c>
      <c r="J232" t="str">
        <v>2022/06</v>
      </c>
      <c r="K232" t="str">
        <f t="array" ref="K232:T232">[1]!'5487.TW-OperatingProfitRatio,Price,PriceChangeRatio,InOutRatioNumber,Value,YearReturn,MonthReturn,WeekReturn,FinanceBalanceDif,ChipsField2'</f>
        <v>7.99</v>
      </c>
      <c r="L232">
        <v>27.3</v>
      </c>
      <c r="M232">
        <v>0.92</v>
      </c>
      <c r="N232" t="str">
        <v>33.33%</v>
      </c>
      <c r="O232" t="str">
        <v>8.09萬</v>
      </c>
      <c r="P232" t="str">
        <v>-27.02</v>
      </c>
      <c r="Q232" t="str">
        <v>-3.06</v>
      </c>
      <c r="R232" t="str">
        <v>-2.85</v>
      </c>
      <c r="S232">
        <v>0</v>
      </c>
      <c r="T232">
        <v>0</v>
      </c>
      <c r="U232">
        <f t="array" ref="U232:AD232">[1]!'5487.TW-ChipsField3,ChipsField1,ChipsField25,CashAndStockDividend,CashDividendYieldRate,ProfitFourSeason,ProfitSingle,CName,ExchangeIndustry,CompanyPos'</f>
        <v>0</v>
      </c>
      <c r="V232">
        <v>0</v>
      </c>
      <c r="W232" t="str">
        <v>2022/07/12</v>
      </c>
      <c r="X232" t="str">
        <v>1.35</v>
      </c>
      <c r="Y232">
        <v>4.95</v>
      </c>
      <c r="Z232" t="str">
        <v>1.83</v>
      </c>
      <c r="AA232" t="str">
        <v>0.24</v>
      </c>
      <c r="AB232" t="str">
        <v>通泰</v>
      </c>
      <c r="AC232" t="str">
        <v>上櫃半導體</v>
      </c>
      <c r="AD232" t="str">
        <v>老牌消費性IC設計廠商</v>
      </c>
      <c r="AE232" t="str">
        <f t="array" ref="AE232:AH232">[1]!'5487.TW-CName,InvestorConferenceDate,DateofMeetingofShareHolders,TradingDate'</f>
        <v>通泰</v>
      </c>
      <c r="AF232" t="str">
        <v>--</v>
      </c>
      <c r="AG232" t="str">
        <v>2022/06/15</v>
      </c>
      <c r="AH232" t="str">
        <v>2022/08/01</v>
      </c>
    </row>
    <row r="233" spans="1:34" x14ac:dyDescent="0.3">
      <c r="A233" t="str">
        <f t="array" ref="A233:J233">[1]!'6103.TW-ID,Name,MarketValue,Capital,NetIncomeGrowthRate,OperIncomeGrowthRate,FinancialStatementsTime,TFXRatio,MonthlyNetSalesYoY,RevenueMonth'</f>
        <v>6103</v>
      </c>
      <c r="B233" t="str">
        <v>合邦</v>
      </c>
      <c r="C233" t="str">
        <v>4.7</v>
      </c>
      <c r="D233" t="str">
        <v>8.94</v>
      </c>
      <c r="E233" t="str">
        <v>-0.19</v>
      </c>
      <c r="F233" t="str">
        <v>1.42</v>
      </c>
      <c r="G233" t="str">
        <v>2022/03</v>
      </c>
      <c r="H233" t="str">
        <v>12.90</v>
      </c>
      <c r="I233" t="str">
        <v>322.94</v>
      </c>
      <c r="J233" t="str">
        <v>2022/06</v>
      </c>
      <c r="K233" t="str">
        <f t="array" ref="K233:T233">[1]!'6103.TW-OperatingProfitRatio,Price,PriceChangeRatio,InOutRatioNumber,Value,YearReturn,MonthReturn,WeekReturn,FinanceBalanceDif,ChipsField2'</f>
        <v>-27.75</v>
      </c>
      <c r="L233">
        <v>5.22</v>
      </c>
      <c r="M233">
        <v>-8.42</v>
      </c>
      <c r="N233" t="str">
        <v>0.00%</v>
      </c>
      <c r="O233" t="str">
        <v>1.57萬</v>
      </c>
      <c r="P233" t="str">
        <v>-33.92</v>
      </c>
      <c r="Q233" t="str">
        <v>+5.45</v>
      </c>
      <c r="R233" t="str">
        <v>-6.79</v>
      </c>
      <c r="S233">
        <v>0</v>
      </c>
      <c r="T233">
        <v>0</v>
      </c>
      <c r="U233">
        <f t="array" ref="U233:AD233">[1]!'6103.TW-ChipsField3,ChipsField1,ChipsField25,CashAndStockDividend,CashDividendYieldRate,ProfitFourSeason,ProfitSingle,CName,ExchangeIndustry,CompanyPos'</f>
        <v>0</v>
      </c>
      <c r="V233">
        <v>0</v>
      </c>
      <c r="W233" t="str">
        <v>--</v>
      </c>
      <c r="X233" t="str">
        <v>0.00</v>
      </c>
      <c r="Y233">
        <v>0</v>
      </c>
      <c r="Z233" t="str">
        <v>-0.04</v>
      </c>
      <c r="AA233" t="str">
        <v>-0.05</v>
      </c>
      <c r="AB233" t="str">
        <v>合邦</v>
      </c>
      <c r="AC233" t="str">
        <v>上櫃半導體</v>
      </c>
      <c r="AD233" t="str">
        <v>全球最大的CD Discman IC供應商</v>
      </c>
      <c r="AE233" t="str">
        <f t="array" ref="AE233:AH233">[1]!'6103.TW-CName,InvestorConferenceDate,DateofMeetingofShareHolders,TradingDate'</f>
        <v>合邦</v>
      </c>
      <c r="AF233" t="str">
        <v>--</v>
      </c>
      <c r="AG233" t="str">
        <v>2022/06/16</v>
      </c>
      <c r="AH233" t="str">
        <v>2022/08/01</v>
      </c>
    </row>
    <row r="234" spans="1:34" x14ac:dyDescent="0.3">
      <c r="A234" t="str">
        <f t="array" ref="A234:J234">[1]!'6104.TW-ID,Name,MarketValue,Capital,NetIncomeGrowthRate,OperIncomeGrowthRate,FinancialStatementsTime,TFXRatio,MonthlyNetSalesYoY,RevenueMonth'</f>
        <v>6104</v>
      </c>
      <c r="B234" t="str">
        <v>創惟</v>
      </c>
      <c r="C234" t="str">
        <v>108.8</v>
      </c>
      <c r="D234" t="str">
        <v>9.03</v>
      </c>
      <c r="E234" t="str">
        <v>669.32</v>
      </c>
      <c r="F234" t="str">
        <v>622.09</v>
      </c>
      <c r="G234" t="str">
        <v>2022/03</v>
      </c>
      <c r="H234" t="str">
        <v>-16.25</v>
      </c>
      <c r="I234" t="str">
        <v>-6.59</v>
      </c>
      <c r="J234" t="str">
        <v>2022/06</v>
      </c>
      <c r="K234" t="str">
        <f t="array" ref="K234:T234">[1]!'6104.TW-OperatingProfitRatio,Price,PriceChangeRatio,InOutRatioNumber,Value,YearReturn,MonthReturn,WeekReturn,FinanceBalanceDif,ChipsField2'</f>
        <v>32.39</v>
      </c>
      <c r="L234">
        <v>120.5</v>
      </c>
      <c r="M234">
        <v>0</v>
      </c>
      <c r="N234" t="str">
        <v>48.60%</v>
      </c>
      <c r="O234" t="str">
        <v>9.36億</v>
      </c>
      <c r="P234" t="str">
        <v>-7.98</v>
      </c>
      <c r="Q234" t="str">
        <v>-14.23</v>
      </c>
      <c r="R234" t="str">
        <v>-12.04</v>
      </c>
      <c r="S234">
        <v>0</v>
      </c>
      <c r="T234">
        <v>0</v>
      </c>
      <c r="U234">
        <f t="array" ref="U234:AD234">[1]!'6104.TW-ChipsField3,ChipsField1,ChipsField25,CashAndStockDividend,CashDividendYieldRate,ProfitFourSeason,ProfitSingle,CName,ExchangeIndustry,CompanyPos'</f>
        <v>15</v>
      </c>
      <c r="V234">
        <v>237</v>
      </c>
      <c r="W234" t="str">
        <v>2022/03/28</v>
      </c>
      <c r="X234" t="str">
        <v>4.50</v>
      </c>
      <c r="Y234">
        <v>3.73</v>
      </c>
      <c r="Z234" t="str">
        <v>9.83</v>
      </c>
      <c r="AA234" t="str">
        <v>3.93</v>
      </c>
      <c r="AB234" t="str">
        <v>創惟</v>
      </c>
      <c r="AC234" t="str">
        <v>上櫃半導體</v>
      </c>
      <c r="AD234" t="str">
        <v>儲存設備USB控制晶片設計專業大廠</v>
      </c>
      <c r="AE234" t="str">
        <f t="array" ref="AE234:AH234">[1]!'6104.TW-CName,InvestorConferenceDate,DateofMeetingofShareHolders,TradingDate'</f>
        <v>創惟</v>
      </c>
      <c r="AF234" t="str">
        <v>2021/09/17</v>
      </c>
      <c r="AG234" t="str">
        <v>2022/06/15</v>
      </c>
      <c r="AH234" t="str">
        <v>2022/08/01</v>
      </c>
    </row>
    <row r="235" spans="1:34" x14ac:dyDescent="0.3">
      <c r="A235" t="str">
        <f t="array" ref="A235:J235">[1]!'6129.TW-ID,Name,MarketValue,Capital,NetIncomeGrowthRate,OperIncomeGrowthRate,FinancialStatementsTime,TFXRatio,MonthlyNetSalesYoY,RevenueMonth'</f>
        <v>6129</v>
      </c>
      <c r="B235" t="str">
        <v>普誠</v>
      </c>
      <c r="C235" t="str">
        <v>65.6</v>
      </c>
      <c r="D235" t="str">
        <v>18.09</v>
      </c>
      <c r="E235" t="str">
        <v>77.49</v>
      </c>
      <c r="F235" t="str">
        <v>67.78</v>
      </c>
      <c r="G235" t="str">
        <v>2022/03</v>
      </c>
      <c r="H235" t="str">
        <v>-6.70</v>
      </c>
      <c r="I235" t="str">
        <v>7.47</v>
      </c>
      <c r="J235" t="str">
        <v>2022/06</v>
      </c>
      <c r="K235" t="str">
        <f t="array" ref="K235:T235">[1]!'6129.TW-OperatingProfitRatio,Price,PriceChangeRatio,InOutRatioNumber,Value,YearReturn,MonthReturn,WeekReturn,FinanceBalanceDif,ChipsField2'</f>
        <v>6.85</v>
      </c>
      <c r="L235">
        <v>36.25</v>
      </c>
      <c r="M235">
        <v>0.69</v>
      </c>
      <c r="N235" t="str">
        <v>49.00%</v>
      </c>
      <c r="O235" t="str">
        <v>2.98億</v>
      </c>
      <c r="P235" t="str">
        <v>-4.48</v>
      </c>
      <c r="Q235" t="str">
        <v>+22.88</v>
      </c>
      <c r="R235" t="str">
        <v>+6.46</v>
      </c>
      <c r="S235">
        <v>1752</v>
      </c>
      <c r="T235">
        <v>0</v>
      </c>
      <c r="U235">
        <f t="array" ref="U235:AD235">[1]!'6129.TW-ChipsField3,ChipsField1,ChipsField25,CashAndStockDividend,CashDividendYieldRate,ProfitFourSeason,ProfitSingle,CName,ExchangeIndustry,CompanyPos'</f>
        <v>414</v>
      </c>
      <c r="V235">
        <v>-612</v>
      </c>
      <c r="W235" t="str">
        <v>--</v>
      </c>
      <c r="X235" t="str">
        <v>0.00</v>
      </c>
      <c r="Y235">
        <v>0</v>
      </c>
      <c r="Z235" t="str">
        <v>0.76</v>
      </c>
      <c r="AA235" t="str">
        <v>0.22</v>
      </c>
      <c r="AB235" t="str">
        <v>普誠</v>
      </c>
      <c r="AC235" t="str">
        <v>上櫃半導體</v>
      </c>
      <c r="AD235" t="str">
        <v>台灣消費性IC設計廠商，及車用IC設計公司</v>
      </c>
      <c r="AE235" t="str">
        <f t="array" ref="AE235:AH235">[1]!'6129.TW-CName,InvestorConferenceDate,DateofMeetingofShareHolders,TradingDate'</f>
        <v>普誠</v>
      </c>
      <c r="AF235" t="str">
        <v>2022/03/10</v>
      </c>
      <c r="AG235" t="str">
        <v>2022/06/16</v>
      </c>
      <c r="AH235" t="str">
        <v>2022/08/01</v>
      </c>
    </row>
    <row r="236" spans="1:34" x14ac:dyDescent="0.3">
      <c r="A236" t="str">
        <f t="array" ref="A236:J236">[1]!'6138.TW-ID,Name,MarketValue,Capital,NetIncomeGrowthRate,OperIncomeGrowthRate,FinancialStatementsTime,TFXRatio,MonthlyNetSalesYoY,RevenueMonth'</f>
        <v>6138</v>
      </c>
      <c r="B236" t="str">
        <v>茂達</v>
      </c>
      <c r="C236" t="str">
        <v>93.0</v>
      </c>
      <c r="D236" t="str">
        <v>7.41</v>
      </c>
      <c r="E236" t="str">
        <v>99.84</v>
      </c>
      <c r="F236" t="str">
        <v>98.44</v>
      </c>
      <c r="G236" t="str">
        <v>2022/03</v>
      </c>
      <c r="H236" t="str">
        <v>-17.56</v>
      </c>
      <c r="I236" t="str">
        <v>15.56</v>
      </c>
      <c r="J236" t="str">
        <v>2022/06</v>
      </c>
      <c r="K236" t="str">
        <f t="array" ref="K236:T236">[1]!'6138.TW-OperatingProfitRatio,Price,PriceChangeRatio,InOutRatioNumber,Value,YearReturn,MonthReturn,WeekReturn,FinanceBalanceDif,ChipsField2'</f>
        <v>23.65</v>
      </c>
      <c r="L236">
        <v>125.5</v>
      </c>
      <c r="M236">
        <v>0</v>
      </c>
      <c r="N236" t="str">
        <v>33.04%</v>
      </c>
      <c r="O236" t="str">
        <v>7245萬</v>
      </c>
      <c r="P236" t="str">
        <v>-22.68</v>
      </c>
      <c r="Q236" t="str">
        <v>-3.32</v>
      </c>
      <c r="R236" t="str">
        <v>-5.70</v>
      </c>
      <c r="S236">
        <v>-34</v>
      </c>
      <c r="T236">
        <v>1</v>
      </c>
      <c r="U236">
        <f t="array" ref="U236:AD236">[1]!'6138.TW-ChipsField3,ChipsField1,ChipsField25,CashAndStockDividend,CashDividendYieldRate,ProfitFourSeason,ProfitSingle,CName,ExchangeIndustry,CompanyPos'</f>
        <v>11</v>
      </c>
      <c r="V236">
        <v>217</v>
      </c>
      <c r="W236" t="str">
        <v>2022/07/28</v>
      </c>
      <c r="X236" t="str">
        <v>9.02</v>
      </c>
      <c r="Y236">
        <v>7.19</v>
      </c>
      <c r="Z236" t="str">
        <v>14.88</v>
      </c>
      <c r="AA236" t="str">
        <v>4.27</v>
      </c>
      <c r="AB236" t="str">
        <v>茂達</v>
      </c>
      <c r="AC236" t="str">
        <v>上櫃半導體</v>
      </c>
      <c r="AD236" t="str">
        <v>以主機板客戶為主的電源管理IC大廠</v>
      </c>
      <c r="AE236" t="str">
        <f t="array" ref="AE236:AH236">[1]!'6138.TW-CName,InvestorConferenceDate,DateofMeetingofShareHolders,TradingDate'</f>
        <v>茂達</v>
      </c>
      <c r="AF236" t="str">
        <v>2021/03/24</v>
      </c>
      <c r="AG236" t="str">
        <v>2022/06/23</v>
      </c>
      <c r="AH236" t="str">
        <v>2022/08/01</v>
      </c>
    </row>
    <row r="237" spans="1:34" x14ac:dyDescent="0.3">
      <c r="A237" t="str">
        <f t="array" ref="A237:J237">[1]!'6147.TW-ID,Name,MarketValue,Capital,NetIncomeGrowthRate,OperIncomeGrowthRate,FinancialStatementsTime,TFXRatio,MonthlyNetSalesYoY,RevenueMonth'</f>
        <v>6147</v>
      </c>
      <c r="B237" t="str">
        <v>頎邦</v>
      </c>
      <c r="C237" t="str">
        <v>410.7</v>
      </c>
      <c r="D237" t="str">
        <v>73.87</v>
      </c>
      <c r="E237" t="str">
        <v>31.98</v>
      </c>
      <c r="F237" t="str">
        <v>2.78</v>
      </c>
      <c r="G237" t="str">
        <v>2022/06</v>
      </c>
      <c r="H237" t="str">
        <v>-6.05</v>
      </c>
      <c r="I237" t="str">
        <v>-9.92</v>
      </c>
      <c r="J237" t="str">
        <v>2022/06</v>
      </c>
      <c r="K237" t="str">
        <f t="array" ref="K237:T237">[1]!'6147.TW-OperatingProfitRatio,Price,PriceChangeRatio,InOutRatioNumber,Value,YearReturn,MonthReturn,WeekReturn,FinanceBalanceDif,ChipsField2'</f>
        <v>25.27</v>
      </c>
      <c r="L237">
        <v>55.6</v>
      </c>
      <c r="M237">
        <v>1.65</v>
      </c>
      <c r="N237" t="str">
        <v>47.02%</v>
      </c>
      <c r="O237" t="str">
        <v>2.20億</v>
      </c>
      <c r="P237" t="str">
        <v>-17.61</v>
      </c>
      <c r="Q237" t="str">
        <v>+7.46</v>
      </c>
      <c r="R237" t="str">
        <v>+0.36</v>
      </c>
      <c r="S237">
        <v>180</v>
      </c>
      <c r="T237">
        <v>74</v>
      </c>
      <c r="U237">
        <f t="array" ref="U237:AD237">[1]!'6147.TW-ChipsField3,ChipsField1,ChipsField25,CashAndStockDividend,CashDividendYieldRate,ProfitFourSeason,ProfitSingle,CName,ExchangeIndustry,CompanyPos'</f>
        <v>91</v>
      </c>
      <c r="V237">
        <v>-165</v>
      </c>
      <c r="W237" t="str">
        <v>2022/07/20</v>
      </c>
      <c r="X237" t="str">
        <v>6.00</v>
      </c>
      <c r="Y237">
        <v>10.79</v>
      </c>
      <c r="Z237" t="str">
        <v>9.87</v>
      </c>
      <c r="AA237" t="str">
        <v>2.42</v>
      </c>
      <c r="AB237" t="str">
        <v>頎邦</v>
      </c>
      <c r="AC237" t="str">
        <v>上櫃半導體</v>
      </c>
      <c r="AD237" t="str">
        <v>全球最大LCD驅動IC封裝及金凸塊供應商</v>
      </c>
      <c r="AE237" t="str">
        <f t="array" ref="AE237:AH237">[1]!'6147.TW-CName,InvestorConferenceDate,DateofMeetingofShareHolders,TradingDate'</f>
        <v>頎邦</v>
      </c>
      <c r="AF237" t="str">
        <v>2021/01/06</v>
      </c>
      <c r="AG237" t="str">
        <v>2022/05/27</v>
      </c>
      <c r="AH237" t="str">
        <v>2022/08/01</v>
      </c>
    </row>
    <row r="238" spans="1:34" x14ac:dyDescent="0.3">
      <c r="A238" t="str">
        <f t="array" ref="A238:J238">[1]!'6182.TW-ID,Name,MarketValue,Capital,NetIncomeGrowthRate,OperIncomeGrowthRate,FinancialStatementsTime,TFXRatio,MonthlyNetSalesYoY,RevenueMonth'</f>
        <v>6182</v>
      </c>
      <c r="B238" t="str">
        <v>合晶</v>
      </c>
      <c r="C238" t="str">
        <v>255.1</v>
      </c>
      <c r="D238" t="str">
        <v>54.09</v>
      </c>
      <c r="E238" t="str">
        <v>243.97</v>
      </c>
      <c r="F238" t="str">
        <v>175.14</v>
      </c>
      <c r="G238" t="str">
        <v>2022/03</v>
      </c>
      <c r="H238" t="str">
        <v>11.42</v>
      </c>
      <c r="I238" t="str">
        <v>37.53</v>
      </c>
      <c r="J238" t="str">
        <v>2022/06</v>
      </c>
      <c r="K238" t="str">
        <f t="array" ref="K238:T238">[1]!'6182.TW-OperatingProfitRatio,Price,PriceChangeRatio,InOutRatioNumber,Value,YearReturn,MonthReturn,WeekReturn,FinanceBalanceDif,ChipsField2'</f>
        <v>28.33</v>
      </c>
      <c r="L238">
        <v>47.15</v>
      </c>
      <c r="M238">
        <v>-1.26</v>
      </c>
      <c r="N238" t="str">
        <v>42.97%</v>
      </c>
      <c r="O238" t="str">
        <v>2.10億</v>
      </c>
      <c r="P238" t="str">
        <v>-29.38</v>
      </c>
      <c r="Q238" t="str">
        <v>+7.68</v>
      </c>
      <c r="R238" t="str">
        <v>-0.84</v>
      </c>
      <c r="S238">
        <v>-224</v>
      </c>
      <c r="T238">
        <v>0</v>
      </c>
      <c r="U238">
        <f t="array" ref="U238:AD238">[1]!'6182.TW-ChipsField3,ChipsField1,ChipsField25,CashAndStockDividend,CashDividendYieldRate,ProfitFourSeason,ProfitSingle,CName,ExchangeIndustry,CompanyPos'</f>
        <v>125</v>
      </c>
      <c r="V238">
        <v>1447</v>
      </c>
      <c r="W238" t="str">
        <v>2022/07/19</v>
      </c>
      <c r="X238" t="str">
        <v>1.35</v>
      </c>
      <c r="Y238">
        <v>2.86</v>
      </c>
      <c r="Z238" t="str">
        <v>2.66</v>
      </c>
      <c r="AA238" t="str">
        <v>0.90</v>
      </c>
      <c r="AB238" t="str">
        <v>合晶</v>
      </c>
      <c r="AC238" t="str">
        <v>上櫃半導體</v>
      </c>
      <c r="AD238" t="str">
        <v>台灣6吋及8吋矽晶圓製造商</v>
      </c>
      <c r="AE238" t="str">
        <f t="array" ref="AE238:AH238">[1]!'6182.TW-CName,InvestorConferenceDate,DateofMeetingofShareHolders,TradingDate'</f>
        <v>合晶</v>
      </c>
      <c r="AF238" t="str">
        <v>2021/03/05</v>
      </c>
      <c r="AG238" t="str">
        <v>2022/06/21</v>
      </c>
      <c r="AH238" t="str">
        <v>2022/08/01</v>
      </c>
    </row>
    <row r="239" spans="1:34" x14ac:dyDescent="0.3">
      <c r="A239" t="str">
        <f t="array" ref="A239:J239">[1]!'6198.TW-ID,Name,MarketValue,Capital,NetIncomeGrowthRate,OperIncomeGrowthRate,FinancialStatementsTime,TFXRatio,MonthlyNetSalesYoY,RevenueMonth'</f>
        <v>6198</v>
      </c>
      <c r="B239" t="str">
        <v>凌泰</v>
      </c>
      <c r="C239" t="str">
        <v>6.8</v>
      </c>
      <c r="D239" t="str">
        <v>2.26</v>
      </c>
      <c r="E239" t="str">
        <v>-173.11</v>
      </c>
      <c r="F239" t="str">
        <v>-212.94</v>
      </c>
      <c r="G239" t="str">
        <v>2022/03</v>
      </c>
      <c r="H239" t="str">
        <v>--</v>
      </c>
      <c r="I239" t="str">
        <v>-100.00</v>
      </c>
      <c r="J239" t="str">
        <v>2022/06</v>
      </c>
      <c r="K239" t="str">
        <f t="array" ref="K239:T239">[1]!'6198.TW-OperatingProfitRatio,Price,PriceChangeRatio,InOutRatioNumber,Value,YearReturn,MonthReturn,WeekReturn,FinanceBalanceDif,ChipsField2'</f>
        <v>-371.73</v>
      </c>
      <c r="L239">
        <v>29.95</v>
      </c>
      <c r="M239">
        <v>-0.66</v>
      </c>
      <c r="N239" t="str">
        <v>100.00%</v>
      </c>
      <c r="O239" t="str">
        <v>3.00萬</v>
      </c>
      <c r="P239" t="str">
        <v>-13.06</v>
      </c>
      <c r="Q239" t="str">
        <v>-3.07</v>
      </c>
      <c r="R239" t="str">
        <v>-2.60</v>
      </c>
      <c r="S239">
        <v>0</v>
      </c>
      <c r="T239">
        <v>0</v>
      </c>
      <c r="U239">
        <f t="array" ref="U239:AD239">[1]!'6198.TW-ChipsField3,ChipsField1,ChipsField25,CashAndStockDividend,CashDividendYieldRate,ProfitFourSeason,ProfitSingle,CName,ExchangeIndustry,CompanyPos'</f>
        <v>0</v>
      </c>
      <c r="V239">
        <v>0</v>
      </c>
      <c r="W239" t="str">
        <v>--</v>
      </c>
      <c r="X239" t="str">
        <v>0.00</v>
      </c>
      <c r="Y239">
        <v>0</v>
      </c>
      <c r="Z239" t="str">
        <v>-0.49</v>
      </c>
      <c r="AA239" t="str">
        <v>-0.14</v>
      </c>
      <c r="AB239" t="str">
        <v>凌泰</v>
      </c>
      <c r="AC239" t="str">
        <v>上櫃半導體</v>
      </c>
      <c r="AD239" t="str">
        <v>視訊暫存記憶體及訊號轉換IC設計廠商</v>
      </c>
      <c r="AE239" t="str">
        <f t="array" ref="AE239:AH239">[1]!'6198.TW-CName,InvestorConferenceDate,DateofMeetingofShareHolders,TradingDate'</f>
        <v>凌泰</v>
      </c>
      <c r="AF239" t="str">
        <v>--</v>
      </c>
      <c r="AG239" t="str">
        <v>2022/06/29</v>
      </c>
      <c r="AH239" t="str">
        <v>2022/08/01</v>
      </c>
    </row>
    <row r="240" spans="1:34" x14ac:dyDescent="0.3">
      <c r="A240" t="str">
        <f t="array" ref="A240:J240">[1]!'6223.TW-ID,Name,MarketValue,Capital,NetIncomeGrowthRate,OperIncomeGrowthRate,FinancialStatementsTime,TFXRatio,MonthlyNetSalesYoY,RevenueMonth'</f>
        <v>6223</v>
      </c>
      <c r="B240" t="str">
        <v>旺矽</v>
      </c>
      <c r="C240" t="str">
        <v>86.6</v>
      </c>
      <c r="D240" t="str">
        <v>9.41</v>
      </c>
      <c r="E240" t="str">
        <v>121.06</v>
      </c>
      <c r="F240" t="str">
        <v>95.20</v>
      </c>
      <c r="G240" t="str">
        <v>2022/03</v>
      </c>
      <c r="H240" t="str">
        <v>2.18</v>
      </c>
      <c r="I240" t="str">
        <v>15.50</v>
      </c>
      <c r="J240" t="str">
        <v>2022/06</v>
      </c>
      <c r="K240" t="str">
        <f t="array" ref="K240:T240">[1]!'6223.TW-OperatingProfitRatio,Price,PriceChangeRatio,InOutRatioNumber,Value,YearReturn,MonthReturn,WeekReturn,FinanceBalanceDif,ChipsField2'</f>
        <v>17.04</v>
      </c>
      <c r="L240">
        <v>92</v>
      </c>
      <c r="M240">
        <v>0.55000000000000004</v>
      </c>
      <c r="N240" t="str">
        <v>53.88%</v>
      </c>
      <c r="O240" t="str">
        <v>6566萬</v>
      </c>
      <c r="P240" t="str">
        <v>-37.71</v>
      </c>
      <c r="Q240" t="str">
        <v>+22.77</v>
      </c>
      <c r="R240" t="str">
        <v>+1.32</v>
      </c>
      <c r="S240">
        <v>-26</v>
      </c>
      <c r="T240">
        <v>0</v>
      </c>
      <c r="U240">
        <f t="array" ref="U240:AD240">[1]!'6223.TW-ChipsField3,ChipsField1,ChipsField25,CashAndStockDividend,CashDividendYieldRate,ProfitFourSeason,ProfitSingle,CName,ExchangeIndustry,CompanyPos'</f>
        <v>134</v>
      </c>
      <c r="V240">
        <v>38</v>
      </c>
      <c r="W240" t="str">
        <v>2022/07/14</v>
      </c>
      <c r="X240" t="str">
        <v>4.00</v>
      </c>
      <c r="Y240">
        <v>4.3499999999999996</v>
      </c>
      <c r="Z240" t="str">
        <v>9.21</v>
      </c>
      <c r="AA240" t="str">
        <v>3.25</v>
      </c>
      <c r="AB240" t="str">
        <v>旺矽</v>
      </c>
      <c r="AC240" t="str">
        <v>上櫃半導體</v>
      </c>
      <c r="AD240" t="str">
        <v>全球第一大懸臂式探針卡廠</v>
      </c>
      <c r="AE240" t="str">
        <f t="array" ref="AE240:AH240">[1]!'6223.TW-CName,InvestorConferenceDate,DateofMeetingofShareHolders,TradingDate'</f>
        <v>旺矽</v>
      </c>
      <c r="AF240" t="str">
        <v>2021/06/09</v>
      </c>
      <c r="AG240" t="str">
        <v>2022/06/15</v>
      </c>
      <c r="AH240" t="str">
        <v>2022/08/01</v>
      </c>
    </row>
    <row r="241" spans="1:34" x14ac:dyDescent="0.3">
      <c r="A241" t="str">
        <f t="array" ref="A241:J241">[1]!'6229.TW-ID,Name,MarketValue,Capital,NetIncomeGrowthRate,OperIncomeGrowthRate,FinancialStatementsTime,TFXRatio,MonthlyNetSalesYoY,RevenueMonth'</f>
        <v>6229</v>
      </c>
      <c r="B241" t="str">
        <v>研通</v>
      </c>
      <c r="C241" t="str">
        <v>10.2</v>
      </c>
      <c r="D241" t="str">
        <v>3.56</v>
      </c>
      <c r="E241" t="str">
        <v>76.14</v>
      </c>
      <c r="F241" t="str">
        <v>7.55</v>
      </c>
      <c r="G241" t="str">
        <v>2022/03</v>
      </c>
      <c r="H241" t="str">
        <v>-7.47</v>
      </c>
      <c r="I241" t="str">
        <v>-26.30</v>
      </c>
      <c r="J241" t="str">
        <v>2022/06</v>
      </c>
      <c r="K241" t="str">
        <f t="array" ref="K241:T241">[1]!'6229.TW-OperatingProfitRatio,Price,PriceChangeRatio,InOutRatioNumber,Value,YearReturn,MonthReturn,WeekReturn,FinanceBalanceDif,ChipsField2'</f>
        <v>4.17</v>
      </c>
      <c r="L241">
        <v>28.5</v>
      </c>
      <c r="M241">
        <v>1.79</v>
      </c>
      <c r="N241" t="str">
        <v>61.90%</v>
      </c>
      <c r="O241" t="str">
        <v>418萬</v>
      </c>
      <c r="P241" t="str">
        <v>-34.57</v>
      </c>
      <c r="Q241" t="str">
        <v>+11.90</v>
      </c>
      <c r="R241" t="str">
        <v>-0.87</v>
      </c>
      <c r="S241">
        <v>-5</v>
      </c>
      <c r="T241">
        <v>0</v>
      </c>
      <c r="U241">
        <f t="array" ref="U241:AD241">[1]!'6229.TW-ChipsField3,ChipsField1,ChipsField25,CashAndStockDividend,CashDividendYieldRate,ProfitFourSeason,ProfitSingle,CName,ExchangeIndustry,CompanyPos'</f>
        <v>0</v>
      </c>
      <c r="V241">
        <v>7</v>
      </c>
      <c r="W241" t="str">
        <v>2022/07/13</v>
      </c>
      <c r="X241" t="str">
        <v>2.50</v>
      </c>
      <c r="Y241">
        <v>8.77</v>
      </c>
      <c r="Z241" t="str">
        <v>4.91</v>
      </c>
      <c r="AA241" t="str">
        <v>0.98</v>
      </c>
      <c r="AB241" t="str">
        <v>研通</v>
      </c>
      <c r="AC241" t="str">
        <v>上櫃半導體</v>
      </c>
      <c r="AD241" t="str">
        <v>台灣消費性IC韌體設計領導廠商</v>
      </c>
      <c r="AE241" t="str">
        <f t="array" ref="AE241:AH241">[1]!'6229.TW-CName,InvestorConferenceDate,DateofMeetingofShareHolders,TradingDate'</f>
        <v>研通</v>
      </c>
      <c r="AF241" t="str">
        <v>2022/07/25</v>
      </c>
      <c r="AG241" t="str">
        <v>2022/06/20</v>
      </c>
      <c r="AH241" t="str">
        <v>2022/08/01</v>
      </c>
    </row>
    <row r="242" spans="1:34" x14ac:dyDescent="0.3">
      <c r="A242" t="str">
        <f t="array" ref="A242:J242">[1]!'6233.TW-ID,Name,MarketValue,Capital,NetIncomeGrowthRate,OperIncomeGrowthRate,FinancialStatementsTime,TFXRatio,MonthlyNetSalesYoY,RevenueMonth'</f>
        <v>6233</v>
      </c>
      <c r="B242" t="str">
        <v>旺玖</v>
      </c>
      <c r="C242" t="str">
        <v>19.1</v>
      </c>
      <c r="D242" t="str">
        <v>7.96</v>
      </c>
      <c r="E242" t="str">
        <v>-18.01</v>
      </c>
      <c r="F242" t="str">
        <v>-55.60</v>
      </c>
      <c r="G242" t="str">
        <v>2022/03</v>
      </c>
      <c r="H242" t="str">
        <v>0.66</v>
      </c>
      <c r="I242" t="str">
        <v>7.90</v>
      </c>
      <c r="J242" t="str">
        <v>2022/06</v>
      </c>
      <c r="K242" t="str">
        <f t="array" ref="K242:T242">[1]!'6233.TW-OperatingProfitRatio,Price,PriceChangeRatio,InOutRatioNumber,Value,YearReturn,MonthReturn,WeekReturn,FinanceBalanceDif,ChipsField2'</f>
        <v>5.54</v>
      </c>
      <c r="L242">
        <v>23.95</v>
      </c>
      <c r="M242">
        <v>0.42</v>
      </c>
      <c r="N242" t="str">
        <v>36.67%</v>
      </c>
      <c r="O242" t="str">
        <v>502萬</v>
      </c>
      <c r="P242" t="str">
        <v>-50.21</v>
      </c>
      <c r="Q242" t="str">
        <v>+9.86</v>
      </c>
      <c r="R242" t="str">
        <v>-1.84</v>
      </c>
      <c r="S242">
        <v>-25</v>
      </c>
      <c r="T242">
        <v>0</v>
      </c>
      <c r="U242">
        <f t="array" ref="U242:AD242">[1]!'6233.TW-ChipsField3,ChipsField1,ChipsField25,CashAndStockDividend,CashDividendYieldRate,ProfitFourSeason,ProfitSingle,CName,ExchangeIndustry,CompanyPos'</f>
        <v>0</v>
      </c>
      <c r="V242">
        <v>128</v>
      </c>
      <c r="W242" t="str">
        <v>--</v>
      </c>
      <c r="X242" t="str">
        <v>0.00</v>
      </c>
      <c r="Y242">
        <v>0</v>
      </c>
      <c r="Z242" t="str">
        <v>0.72</v>
      </c>
      <c r="AA242" t="str">
        <v>0.17</v>
      </c>
      <c r="AB242" t="str">
        <v>旺玖</v>
      </c>
      <c r="AC242" t="str">
        <v>上櫃半導體</v>
      </c>
      <c r="AD242" t="str">
        <v>USB控制IC設計廠商，並切入MEMS領域</v>
      </c>
      <c r="AE242" t="str">
        <f t="array" ref="AE242:AH242">[1]!'6233.TW-CName,InvestorConferenceDate,DateofMeetingofShareHolders,TradingDate'</f>
        <v>旺玖</v>
      </c>
      <c r="AF242" t="str">
        <v>--</v>
      </c>
      <c r="AG242" t="str">
        <v>2022/06/08</v>
      </c>
      <c r="AH242" t="str">
        <v>2022/08/01</v>
      </c>
    </row>
    <row r="243" spans="1:34" x14ac:dyDescent="0.3">
      <c r="A243" t="str">
        <f t="array" ref="A243:J243">[1]!'6237.TW-ID,Name,MarketValue,Capital,NetIncomeGrowthRate,OperIncomeGrowthRate,FinancialStatementsTime,TFXRatio,MonthlyNetSalesYoY,RevenueMonth'</f>
        <v>6237</v>
      </c>
      <c r="B243" t="str">
        <v>驊訊</v>
      </c>
      <c r="C243" t="str">
        <v>47.8</v>
      </c>
      <c r="D243" t="str">
        <v>7.86</v>
      </c>
      <c r="E243" t="str">
        <v>-103.99</v>
      </c>
      <c r="F243" t="str">
        <v>-121.68</v>
      </c>
      <c r="G243" t="str">
        <v>2022/03</v>
      </c>
      <c r="H243" t="str">
        <v>9.49</v>
      </c>
      <c r="I243" t="str">
        <v>-44.00</v>
      </c>
      <c r="J243" t="str">
        <v>2022/06</v>
      </c>
      <c r="K243" t="str">
        <f t="array" ref="K243:T243">[1]!'6237.TW-OperatingProfitRatio,Price,PriceChangeRatio,InOutRatioNumber,Value,YearReturn,MonthReturn,WeekReturn,FinanceBalanceDif,ChipsField2'</f>
        <v>-7.94</v>
      </c>
      <c r="L243">
        <v>60.8</v>
      </c>
      <c r="M243">
        <v>0.5</v>
      </c>
      <c r="N243" t="str">
        <v>50.36%</v>
      </c>
      <c r="O243" t="str">
        <v>6.44億</v>
      </c>
      <c r="P243" t="str">
        <v>-56.61</v>
      </c>
      <c r="Q243" t="str">
        <v>+33.02</v>
      </c>
      <c r="R243" t="str">
        <v>+13.43</v>
      </c>
      <c r="S243">
        <v>-142</v>
      </c>
      <c r="T243">
        <v>0</v>
      </c>
      <c r="U243">
        <f t="array" ref="U243:AD243">[1]!'6237.TW-ChipsField3,ChipsField1,ChipsField25,CashAndStockDividend,CashDividendYieldRate,ProfitFourSeason,ProfitSingle,CName,ExchangeIndustry,CompanyPos'</f>
        <v>-1</v>
      </c>
      <c r="V243">
        <v>-433</v>
      </c>
      <c r="W243" t="str">
        <v>2022/07/05</v>
      </c>
      <c r="X243" t="str">
        <v>1.00</v>
      </c>
      <c r="Y243">
        <v>1.64</v>
      </c>
      <c r="Z243" t="str">
        <v>4.58</v>
      </c>
      <c r="AA243" t="str">
        <v>-0.05</v>
      </c>
      <c r="AB243" t="str">
        <v>驊訊</v>
      </c>
      <c r="AC243" t="str">
        <v>上櫃半導體</v>
      </c>
      <c r="AD243" t="str">
        <v>全球前三大音效晶片設計廠商</v>
      </c>
      <c r="AE243" t="str">
        <f t="array" ref="AE243:AH243">[1]!'6237.TW-CName,InvestorConferenceDate,DateofMeetingofShareHolders,TradingDate'</f>
        <v>驊訊</v>
      </c>
      <c r="AF243" t="str">
        <v>--</v>
      </c>
      <c r="AG243" t="str">
        <v>2022/06/17</v>
      </c>
      <c r="AH243" t="str">
        <v>2022/08/01</v>
      </c>
    </row>
    <row r="244" spans="1:34" x14ac:dyDescent="0.3">
      <c r="A244" t="str">
        <f t="array" ref="A244:J244">[1]!'6261.TW-ID,Name,MarketValue,Capital,NetIncomeGrowthRate,OperIncomeGrowthRate,FinancialStatementsTime,TFXRatio,MonthlyNetSalesYoY,RevenueMonth'</f>
        <v>6261</v>
      </c>
      <c r="B244" t="str">
        <v>久元</v>
      </c>
      <c r="C244" t="str">
        <v>87.9</v>
      </c>
      <c r="D244" t="str">
        <v>12.85</v>
      </c>
      <c r="E244" t="str">
        <v>12.02</v>
      </c>
      <c r="F244" t="str">
        <v>29.47</v>
      </c>
      <c r="G244" t="str">
        <v>2022/03</v>
      </c>
      <c r="H244" t="str">
        <v>6.77</v>
      </c>
      <c r="I244" t="str">
        <v>-2.53</v>
      </c>
      <c r="J244" t="str">
        <v>2022/06</v>
      </c>
      <c r="K244" t="str">
        <f t="array" ref="K244:T244">[1]!'6261.TW-OperatingProfitRatio,Price,PriceChangeRatio,InOutRatioNumber,Value,YearReturn,MonthReturn,WeekReturn,FinanceBalanceDif,ChipsField2'</f>
        <v>31.13</v>
      </c>
      <c r="L244">
        <v>68.400000000000006</v>
      </c>
      <c r="M244">
        <v>0.74</v>
      </c>
      <c r="N244" t="str">
        <v>41.94%</v>
      </c>
      <c r="O244" t="str">
        <v>641萬</v>
      </c>
      <c r="P244" t="str">
        <v>-21.70</v>
      </c>
      <c r="Q244" t="str">
        <v>+9.44</v>
      </c>
      <c r="R244" t="str">
        <v>+0.44</v>
      </c>
      <c r="S244">
        <v>-9</v>
      </c>
      <c r="T244">
        <v>0</v>
      </c>
      <c r="U244">
        <f t="array" ref="U244:AD244">[1]!'6261.TW-ChipsField3,ChipsField1,ChipsField25,CashAndStockDividend,CashDividendYieldRate,ProfitFourSeason,ProfitSingle,CName,ExchangeIndustry,CompanyPos'</f>
        <v>-2</v>
      </c>
      <c r="V244">
        <v>17</v>
      </c>
      <c r="W244" t="str">
        <v>--</v>
      </c>
      <c r="X244" t="str">
        <v>5.00</v>
      </c>
      <c r="Y244">
        <v>7.31</v>
      </c>
      <c r="Z244" t="str">
        <v>8.65</v>
      </c>
      <c r="AA244" t="str">
        <v>2.24</v>
      </c>
      <c r="AB244" t="str">
        <v>久元</v>
      </c>
      <c r="AC244" t="str">
        <v>上櫃半導體</v>
      </c>
      <c r="AD244" t="str">
        <v>專業半導體及光電產品切割、研磨、挑揀、測試代工廠</v>
      </c>
      <c r="AE244" t="str">
        <f t="array" ref="AE244:AH244">[1]!'6261.TW-CName,InvestorConferenceDate,DateofMeetingofShareHolders,TradingDate'</f>
        <v>久元</v>
      </c>
      <c r="AF244" t="str">
        <v>2021/12/23</v>
      </c>
      <c r="AG244" t="str">
        <v>2022/06/15</v>
      </c>
      <c r="AH244" t="str">
        <v>2022/08/01</v>
      </c>
    </row>
    <row r="245" spans="1:34" x14ac:dyDescent="0.3">
      <c r="A245" t="str">
        <f t="array" ref="A245:J245">[1]!'6287.TW-ID,Name,MarketValue,Capital,NetIncomeGrowthRate,OperIncomeGrowthRate,FinancialStatementsTime,TFXRatio,MonthlyNetSalesYoY,RevenueMonth'</f>
        <v>6287</v>
      </c>
      <c r="B245" t="str">
        <v>元隆</v>
      </c>
      <c r="C245" t="str">
        <v>32.9</v>
      </c>
      <c r="D245" t="str">
        <v>43.81</v>
      </c>
      <c r="E245" t="str">
        <v>378.17</v>
      </c>
      <c r="F245" t="str">
        <v>403.28</v>
      </c>
      <c r="G245" t="str">
        <v>2022/03</v>
      </c>
      <c r="H245" t="str">
        <v>-12.73</v>
      </c>
      <c r="I245" t="str">
        <v>13.87</v>
      </c>
      <c r="J245" t="str">
        <v>2022/06</v>
      </c>
      <c r="K245" t="str">
        <f t="array" ref="K245:T245">[1]!'6287.TW-OperatingProfitRatio,Price,PriceChangeRatio,InOutRatioNumber,Value,YearReturn,MonthReturn,WeekReturn,FinanceBalanceDif,ChipsField2'</f>
        <v>11.13</v>
      </c>
      <c r="L245">
        <v>7.52</v>
      </c>
      <c r="M245">
        <v>0.4</v>
      </c>
      <c r="N245" t="str">
        <v>25.00%</v>
      </c>
      <c r="O245" t="str">
        <v>3.01萬</v>
      </c>
      <c r="P245" t="str">
        <v>-55.76</v>
      </c>
      <c r="Q245" t="str">
        <v>+0.27</v>
      </c>
      <c r="R245" t="str">
        <v>-0.40</v>
      </c>
      <c r="S245">
        <v>0</v>
      </c>
      <c r="T245">
        <v>0</v>
      </c>
      <c r="U245">
        <f t="array" ref="U245:AD245">[1]!'6287.TW-ChipsField3,ChipsField1,ChipsField25,CashAndStockDividend,CashDividendYieldRate,ProfitFourSeason,ProfitSingle,CName,ExchangeIndustry,CompanyPos'</f>
        <v>0</v>
      </c>
      <c r="V245">
        <v>0</v>
      </c>
      <c r="W245" t="str">
        <v>--</v>
      </c>
      <c r="X245" t="str">
        <v>0.00</v>
      </c>
      <c r="Y245">
        <v>0</v>
      </c>
      <c r="Z245" t="str">
        <v>0.45</v>
      </c>
      <c r="AA245" t="str">
        <v>0.15</v>
      </c>
      <c r="AB245" t="str">
        <v>元隆</v>
      </c>
      <c r="AC245" t="str">
        <v>上櫃半導體</v>
      </c>
      <c r="AD245" t="str">
        <v>台灣功率半導體及類比IC晶圓代工廠</v>
      </c>
      <c r="AE245" t="str">
        <f t="array" ref="AE245:AH245">[1]!'6287.TW-CName,InvestorConferenceDate,DateofMeetingofShareHolders,TradingDate'</f>
        <v>元隆</v>
      </c>
      <c r="AF245" t="str">
        <v>--</v>
      </c>
      <c r="AG245" t="str">
        <v>2022/06/10</v>
      </c>
      <c r="AH245" t="str">
        <v>2022/08/01</v>
      </c>
    </row>
    <row r="246" spans="1:34" x14ac:dyDescent="0.3">
      <c r="A246" t="str">
        <f t="array" ref="A246:J246">[1]!'6291.TW-ID,Name,MarketValue,Capital,NetIncomeGrowthRate,OperIncomeGrowthRate,FinancialStatementsTime,TFXRatio,MonthlyNetSalesYoY,RevenueMonth'</f>
        <v>6291</v>
      </c>
      <c r="B246" t="str">
        <v>沛亨</v>
      </c>
      <c r="C246" t="str">
        <v>31.5</v>
      </c>
      <c r="D246" t="str">
        <v>6.30</v>
      </c>
      <c r="E246" t="str">
        <v>70.44</v>
      </c>
      <c r="F246" t="str">
        <v>150.50</v>
      </c>
      <c r="G246" t="str">
        <v>2022/03</v>
      </c>
      <c r="H246" t="str">
        <v>5.62</v>
      </c>
      <c r="I246" t="str">
        <v>64.17</v>
      </c>
      <c r="J246" t="str">
        <v>2022/06</v>
      </c>
      <c r="K246" t="str">
        <f t="array" ref="K246:T246">[1]!'6291.TW-OperatingProfitRatio,Price,PriceChangeRatio,InOutRatioNumber,Value,YearReturn,MonthReturn,WeekReturn,FinanceBalanceDif,ChipsField2'</f>
        <v>14.03</v>
      </c>
      <c r="L246">
        <v>50</v>
      </c>
      <c r="M246">
        <v>0</v>
      </c>
      <c r="N246" t="str">
        <v>42.86%</v>
      </c>
      <c r="O246" t="str">
        <v>70.0萬</v>
      </c>
      <c r="P246" t="str">
        <v>+18.48</v>
      </c>
      <c r="Q246" t="str">
        <v>-6.54</v>
      </c>
      <c r="R246" t="str">
        <v>0.00</v>
      </c>
      <c r="S246">
        <v>5</v>
      </c>
      <c r="T246">
        <v>0</v>
      </c>
      <c r="U246">
        <f t="array" ref="U246:AD246">[1]!'6291.TW-ChipsField3,ChipsField1,ChipsField25,CashAndStockDividend,CashDividendYieldRate,ProfitFourSeason,ProfitSingle,CName,ExchangeIndustry,CompanyPos'</f>
        <v>0</v>
      </c>
      <c r="V246">
        <v>0</v>
      </c>
      <c r="W246" t="str">
        <v>--</v>
      </c>
      <c r="X246" t="str">
        <v>0.00</v>
      </c>
      <c r="Y246">
        <v>0</v>
      </c>
      <c r="Z246" t="str">
        <v>2.39</v>
      </c>
      <c r="AA246" t="str">
        <v>1.07</v>
      </c>
      <c r="AB246" t="str">
        <v>沛亨</v>
      </c>
      <c r="AC246" t="str">
        <v>上櫃半導體</v>
      </c>
      <c r="AD246" t="str">
        <v>台灣老牌電源管理IC業者</v>
      </c>
      <c r="AE246" t="str">
        <f t="array" ref="AE246:AH246">[1]!'6291.TW-CName,InvestorConferenceDate,DateofMeetingofShareHolders,TradingDate'</f>
        <v>沛亨</v>
      </c>
      <c r="AF246" t="str">
        <v>--</v>
      </c>
      <c r="AG246" t="str">
        <v>2022/05/20</v>
      </c>
      <c r="AH246" t="str">
        <v>2022/08/01</v>
      </c>
    </row>
    <row r="247" spans="1:34" x14ac:dyDescent="0.3">
      <c r="A247" t="str">
        <f t="array" ref="A247:J247">[1]!'6411.TW-ID,Name,MarketValue,Capital,NetIncomeGrowthRate,OperIncomeGrowthRate,FinancialStatementsTime,TFXRatio,MonthlyNetSalesYoY,RevenueMonth'</f>
        <v>6411</v>
      </c>
      <c r="B247" t="str">
        <v>晶焱</v>
      </c>
      <c r="C247" t="str">
        <v>111.9</v>
      </c>
      <c r="D247" t="str">
        <v>9.25</v>
      </c>
      <c r="E247" t="str">
        <v>1.89</v>
      </c>
      <c r="F247" t="str">
        <v>-20.42</v>
      </c>
      <c r="G247" t="str">
        <v>2022/03</v>
      </c>
      <c r="H247" t="str">
        <v>-2.08</v>
      </c>
      <c r="I247" t="str">
        <v>-0.23</v>
      </c>
      <c r="J247" t="str">
        <v>2022/06</v>
      </c>
      <c r="K247" t="str">
        <f t="array" ref="K247:T247">[1]!'6411.TW-OperatingProfitRatio,Price,PriceChangeRatio,InOutRatioNumber,Value,YearReturn,MonthReturn,WeekReturn,FinanceBalanceDif,ChipsField2'</f>
        <v>21.37</v>
      </c>
      <c r="L247">
        <v>115</v>
      </c>
      <c r="M247">
        <v>-1.71</v>
      </c>
      <c r="N247" t="str">
        <v>34.67%</v>
      </c>
      <c r="O247" t="str">
        <v>5339萬</v>
      </c>
      <c r="P247" t="str">
        <v>-20.12</v>
      </c>
      <c r="Q247" t="str">
        <v>+9.00</v>
      </c>
      <c r="R247" t="str">
        <v>-4.17</v>
      </c>
      <c r="S247">
        <v>-19</v>
      </c>
      <c r="T247">
        <v>0</v>
      </c>
      <c r="U247">
        <f t="array" ref="U247:AD247">[1]!'6411.TW-ChipsField3,ChipsField1,ChipsField25,CashAndStockDividend,CashDividendYieldRate,ProfitFourSeason,ProfitSingle,CName,ExchangeIndustry,CompanyPos'</f>
        <v>14</v>
      </c>
      <c r="V247">
        <v>59</v>
      </c>
      <c r="W247" t="str">
        <v>2022/08/15</v>
      </c>
      <c r="X247" t="str">
        <v>7.16</v>
      </c>
      <c r="Y247">
        <v>6.23</v>
      </c>
      <c r="Z247" t="str">
        <v>10.31</v>
      </c>
      <c r="AA247" t="str">
        <v>2.23</v>
      </c>
      <c r="AB247" t="str">
        <v>晶焱</v>
      </c>
      <c r="AC247" t="str">
        <v>上櫃半導體</v>
      </c>
      <c r="AD247" t="str">
        <v>台灣首家靜電放電防護IC設計公司</v>
      </c>
      <c r="AE247" t="str">
        <f t="array" ref="AE247:AH247">[1]!'6411.TW-CName,InvestorConferenceDate,DateofMeetingofShareHolders,TradingDate'</f>
        <v>晶焱</v>
      </c>
      <c r="AF247" t="str">
        <v>--</v>
      </c>
      <c r="AG247" t="str">
        <v>2022/06/08</v>
      </c>
      <c r="AH247" t="str">
        <v>2022/08/01</v>
      </c>
    </row>
    <row r="248" spans="1:34" x14ac:dyDescent="0.3">
      <c r="A248" t="str">
        <f t="array" ref="A248:J248">[1]!'6435.TW-ID,Name,MarketValue,Capital,NetIncomeGrowthRate,OperIncomeGrowthRate,FinancialStatementsTime,TFXRatio,MonthlyNetSalesYoY,RevenueMonth'</f>
        <v>6435</v>
      </c>
      <c r="B248" t="str">
        <v>大中</v>
      </c>
      <c r="C248" t="str">
        <v>38.4</v>
      </c>
      <c r="D248" t="str">
        <v>3.34</v>
      </c>
      <c r="E248" t="str">
        <v>151.73</v>
      </c>
      <c r="F248" t="str">
        <v>157.20</v>
      </c>
      <c r="G248" t="str">
        <v>2022/03</v>
      </c>
      <c r="H248" t="str">
        <v>-24.01</v>
      </c>
      <c r="I248" t="str">
        <v>16.45</v>
      </c>
      <c r="J248" t="str">
        <v>2022/06</v>
      </c>
      <c r="K248" t="str">
        <f t="array" ref="K248:T248">[1]!'6435.TW-OperatingProfitRatio,Price,PriceChangeRatio,InOutRatioNumber,Value,YearReturn,MonthReturn,WeekReturn,FinanceBalanceDif,ChipsField2'</f>
        <v>20.29</v>
      </c>
      <c r="L248">
        <v>115</v>
      </c>
      <c r="M248">
        <v>-0.86</v>
      </c>
      <c r="N248" t="str">
        <v>46.08%</v>
      </c>
      <c r="O248" t="str">
        <v>4539萬</v>
      </c>
      <c r="P248" t="str">
        <v>-6.78</v>
      </c>
      <c r="Q248" t="str">
        <v>+3.49</v>
      </c>
      <c r="R248" t="str">
        <v>-0.86</v>
      </c>
      <c r="S248">
        <v>-124</v>
      </c>
      <c r="T248">
        <v>0</v>
      </c>
      <c r="U248">
        <f t="array" ref="U248:AD248">[1]!'6435.TW-ChipsField3,ChipsField1,ChipsField25,CashAndStockDividend,CashDividendYieldRate,ProfitFourSeason,ProfitSingle,CName,ExchangeIndustry,CompanyPos'</f>
        <v>0</v>
      </c>
      <c r="V248">
        <v>-5</v>
      </c>
      <c r="W248" t="str">
        <v>2022/07/25</v>
      </c>
      <c r="X248" t="str">
        <v>7.20</v>
      </c>
      <c r="Y248">
        <v>6.26</v>
      </c>
      <c r="Z248" t="str">
        <v>16.25</v>
      </c>
      <c r="AA248" t="str">
        <v>5.26</v>
      </c>
      <c r="AB248" t="str">
        <v>大中</v>
      </c>
      <c r="AC248" t="str">
        <v>上櫃半導體</v>
      </c>
      <c r="AD248" t="str">
        <v>茂達旗下功率半導體元件及HV IC設計公司</v>
      </c>
      <c r="AE248" t="str">
        <f t="array" ref="AE248:AH248">[1]!'6435.TW-CName,InvestorConferenceDate,DateofMeetingofShareHolders,TradingDate'</f>
        <v>大中</v>
      </c>
      <c r="AF248" t="str">
        <v>2022/05/19</v>
      </c>
      <c r="AG248" t="str">
        <v>2022/06/24</v>
      </c>
      <c r="AH248" t="str">
        <v>2022/08/01</v>
      </c>
    </row>
    <row r="249" spans="1:34" x14ac:dyDescent="0.3">
      <c r="A249" t="str">
        <f t="array" ref="A249:J249">[1]!'6457.TW-ID,Name,MarketValue,Capital,NetIncomeGrowthRate,OperIncomeGrowthRate,FinancialStatementsTime,TFXRatio,MonthlyNetSalesYoY,RevenueMonth'</f>
        <v>6457</v>
      </c>
      <c r="B249" t="str">
        <v>紘康</v>
      </c>
      <c r="C249" t="str">
        <v>27.0</v>
      </c>
      <c r="D249" t="str">
        <v>3.19</v>
      </c>
      <c r="E249" t="str">
        <v>-8.96</v>
      </c>
      <c r="F249" t="str">
        <v>-38.87</v>
      </c>
      <c r="G249" t="str">
        <v>2022/03</v>
      </c>
      <c r="H249" t="str">
        <v>-13.04</v>
      </c>
      <c r="I249" t="str">
        <v>-40.01</v>
      </c>
      <c r="J249" t="str">
        <v>2022/06</v>
      </c>
      <c r="K249" t="str">
        <f t="array" ref="K249:T249">[1]!'6457.TW-OperatingProfitRatio,Price,PriceChangeRatio,InOutRatioNumber,Value,YearReturn,MonthReturn,WeekReturn,FinanceBalanceDif,ChipsField2'</f>
        <v>24.60</v>
      </c>
      <c r="L249">
        <v>84.8</v>
      </c>
      <c r="M249">
        <v>1.68</v>
      </c>
      <c r="N249" t="str">
        <v>54.19%</v>
      </c>
      <c r="O249" t="str">
        <v>1320萬</v>
      </c>
      <c r="P249" t="str">
        <v>-51.26</v>
      </c>
      <c r="Q249" t="str">
        <v>+11.43</v>
      </c>
      <c r="R249" t="str">
        <v>0.00</v>
      </c>
      <c r="S249">
        <v>2</v>
      </c>
      <c r="T249">
        <v>0</v>
      </c>
      <c r="U249">
        <f t="array" ref="U249:AD249">[1]!'6457.TW-ChipsField3,ChipsField1,ChipsField25,CashAndStockDividend,CashDividendYieldRate,ProfitFourSeason,ProfitSingle,CName,ExchangeIndustry,CompanyPos'</f>
        <v>1</v>
      </c>
      <c r="V249">
        <v>24</v>
      </c>
      <c r="W249" t="str">
        <v>2022/08/04</v>
      </c>
      <c r="X249" t="str">
        <v>10.89</v>
      </c>
      <c r="Y249">
        <v>12.84</v>
      </c>
      <c r="Z249" t="str">
        <v>12.36</v>
      </c>
      <c r="AA249" t="str">
        <v>2.51</v>
      </c>
      <c r="AB249" t="str">
        <v>紘康</v>
      </c>
      <c r="AC249" t="str">
        <v>上櫃半導體</v>
      </c>
      <c r="AD249" t="str">
        <v>台灣MCU暨電池管理IC設計廠</v>
      </c>
      <c r="AE249" t="str">
        <f t="array" ref="AE249:AH249">[1]!'6457.TW-CName,InvestorConferenceDate,DateofMeetingofShareHolders,TradingDate'</f>
        <v>紘康</v>
      </c>
      <c r="AF249" t="str">
        <v>2021/04/08</v>
      </c>
      <c r="AG249" t="str">
        <v>2022/06/24</v>
      </c>
      <c r="AH249" t="str">
        <v>2022/08/01</v>
      </c>
    </row>
    <row r="250" spans="1:34" x14ac:dyDescent="0.3">
      <c r="A250" t="str">
        <f t="array" ref="A250:J250">[1]!'6462.TW-ID,Name,MarketValue,Capital,NetIncomeGrowthRate,OperIncomeGrowthRate,FinancialStatementsTime,TFXRatio,MonthlyNetSalesYoY,RevenueMonth'</f>
        <v>6462</v>
      </c>
      <c r="B250" t="str">
        <v>神盾</v>
      </c>
      <c r="C250" t="str">
        <v>56.7</v>
      </c>
      <c r="D250" t="str">
        <v>6.93</v>
      </c>
      <c r="E250" t="str">
        <v>-108.68</v>
      </c>
      <c r="F250" t="str">
        <v>-309.15</v>
      </c>
      <c r="G250" t="str">
        <v>2022/03</v>
      </c>
      <c r="H250" t="str">
        <v>-43.13</v>
      </c>
      <c r="I250" t="str">
        <v>-17.48</v>
      </c>
      <c r="J250" t="str">
        <v>2022/06</v>
      </c>
      <c r="K250" t="str">
        <f t="array" ref="K250:T250">[1]!'6462.TW-OperatingProfitRatio,Price,PriceChangeRatio,InOutRatioNumber,Value,YearReturn,MonthReturn,WeekReturn,FinanceBalanceDif,ChipsField2'</f>
        <v>-5.66</v>
      </c>
      <c r="L250">
        <v>81.900000000000006</v>
      </c>
      <c r="M250">
        <v>1.24</v>
      </c>
      <c r="N250" t="str">
        <v>63.22%</v>
      </c>
      <c r="O250" t="str">
        <v>708萬</v>
      </c>
      <c r="P250" t="str">
        <v>-38.82</v>
      </c>
      <c r="Q250" t="str">
        <v>+9.05</v>
      </c>
      <c r="R250" t="str">
        <v>-0.36</v>
      </c>
      <c r="S250">
        <v>-2</v>
      </c>
      <c r="T250">
        <v>0</v>
      </c>
      <c r="U250">
        <f t="array" ref="U250:AD250">[1]!'6462.TW-ChipsField3,ChipsField1,ChipsField25,CashAndStockDividend,CashDividendYieldRate,ProfitFourSeason,ProfitSingle,CName,ExchangeIndustry,CompanyPos'</f>
        <v>-1</v>
      </c>
      <c r="V250">
        <v>39</v>
      </c>
      <c r="W250" t="str">
        <v>2022/07/14</v>
      </c>
      <c r="X250" t="str">
        <v>10.00</v>
      </c>
      <c r="Y250">
        <v>12.21</v>
      </c>
      <c r="Z250" t="str">
        <v>-4.10</v>
      </c>
      <c r="AA250" t="str">
        <v>-0.04</v>
      </c>
      <c r="AB250" t="str">
        <v>神盾</v>
      </c>
      <c r="AC250" t="str">
        <v>上櫃半導體</v>
      </c>
      <c r="AD250" t="str">
        <v>台灣指紋辨識晶片龍頭</v>
      </c>
      <c r="AE250" t="str">
        <f t="array" ref="AE250:AH250">[1]!'6462.TW-CName,InvestorConferenceDate,DateofMeetingofShareHolders,TradingDate'</f>
        <v>神盾</v>
      </c>
      <c r="AF250" t="str">
        <v>2022/05/13</v>
      </c>
      <c r="AG250" t="str">
        <v>2022/06/22</v>
      </c>
      <c r="AH250" t="str">
        <v>2022/08/01</v>
      </c>
    </row>
    <row r="251" spans="1:34" x14ac:dyDescent="0.3">
      <c r="A251" t="str">
        <f t="array" ref="A251:J251">[1]!'6485.TW-ID,Name,MarketValue,Capital,NetIncomeGrowthRate,OperIncomeGrowthRate,FinancialStatementsTime,TFXRatio,MonthlyNetSalesYoY,RevenueMonth'</f>
        <v>6485</v>
      </c>
      <c r="B251" t="str">
        <v>點序</v>
      </c>
      <c r="C251" t="str">
        <v>36.6</v>
      </c>
      <c r="D251" t="str">
        <v>4.42</v>
      </c>
      <c r="E251" t="str">
        <v>194.69</v>
      </c>
      <c r="F251" t="str">
        <v>170.93</v>
      </c>
      <c r="G251" t="str">
        <v>2022/03</v>
      </c>
      <c r="H251" t="str">
        <v>-3.86</v>
      </c>
      <c r="I251" t="str">
        <v>-4.68</v>
      </c>
      <c r="J251" t="str">
        <v>2022/06</v>
      </c>
      <c r="K251" t="str">
        <f t="array" ref="K251:T251">[1]!'6485.TW-OperatingProfitRatio,Price,PriceChangeRatio,InOutRatioNumber,Value,YearReturn,MonthReturn,WeekReturn,FinanceBalanceDif,ChipsField2'</f>
        <v>32.71</v>
      </c>
      <c r="L251">
        <v>83.3</v>
      </c>
      <c r="M251">
        <v>-1.3</v>
      </c>
      <c r="N251" t="str">
        <v>28.83%</v>
      </c>
      <c r="O251" t="str">
        <v>1376萬</v>
      </c>
      <c r="P251" t="str">
        <v>-48.72</v>
      </c>
      <c r="Q251" t="str">
        <v>+8.32</v>
      </c>
      <c r="R251" t="str">
        <v>-4.69</v>
      </c>
      <c r="S251">
        <v>-42</v>
      </c>
      <c r="T251">
        <v>0</v>
      </c>
      <c r="U251">
        <f t="array" ref="U251:AD251">[1]!'6485.TW-ChipsField3,ChipsField1,ChipsField25,CashAndStockDividend,CashDividendYieldRate,ProfitFourSeason,ProfitSingle,CName,ExchangeIndustry,CompanyPos'</f>
        <v>0</v>
      </c>
      <c r="V251">
        <v>12</v>
      </c>
      <c r="W251" t="str">
        <v>--</v>
      </c>
      <c r="X251" t="str">
        <v>5.00</v>
      </c>
      <c r="Y251">
        <v>6</v>
      </c>
      <c r="Z251" t="str">
        <v>14.28</v>
      </c>
      <c r="AA251" t="str">
        <v>3.25</v>
      </c>
      <c r="AB251" t="str">
        <v>點序</v>
      </c>
      <c r="AC251" t="str">
        <v>上櫃半導體</v>
      </c>
      <c r="AD251" t="str">
        <v>金士頓轉投資之快閃記憶體控制IC設計廠商</v>
      </c>
      <c r="AE251" t="str">
        <f t="array" ref="AE251:AH251">[1]!'6485.TW-CName,InvestorConferenceDate,DateofMeetingofShareHolders,TradingDate'</f>
        <v>點序</v>
      </c>
      <c r="AF251" t="str">
        <v>--</v>
      </c>
      <c r="AG251" t="str">
        <v>2022/06/22</v>
      </c>
      <c r="AH251" t="str">
        <v>2022/08/01</v>
      </c>
    </row>
    <row r="252" spans="1:34" x14ac:dyDescent="0.3">
      <c r="A252" t="str">
        <f t="array" ref="A252:J252">[1]!'6488.TW-ID,Name,MarketValue,Capital,NetIncomeGrowthRate,OperIncomeGrowthRate,FinancialStatementsTime,TFXRatio,MonthlyNetSalesYoY,RevenueMonth'</f>
        <v>6488</v>
      </c>
      <c r="B252" t="str">
        <v>環球晶</v>
      </c>
      <c r="C252" t="str">
        <v>2022.3</v>
      </c>
      <c r="D252" t="str">
        <v>43.73</v>
      </c>
      <c r="E252" t="str">
        <v>-35.11</v>
      </c>
      <c r="F252" t="str">
        <v>49.08</v>
      </c>
      <c r="G252" t="str">
        <v>2022/03</v>
      </c>
      <c r="H252" t="str">
        <v>3.26</v>
      </c>
      <c r="I252" t="str">
        <v>15.40</v>
      </c>
      <c r="J252" t="str">
        <v>2022/06</v>
      </c>
      <c r="K252" t="str">
        <f t="array" ref="K252:T252">[1]!'6488.TW-OperatingProfitRatio,Price,PriceChangeRatio,InOutRatioNumber,Value,YearReturn,MonthReturn,WeekReturn,FinanceBalanceDif,ChipsField2'</f>
        <v>36.13</v>
      </c>
      <c r="L252">
        <v>462.5</v>
      </c>
      <c r="M252">
        <v>1.87</v>
      </c>
      <c r="N252" t="str">
        <v>48.95%</v>
      </c>
      <c r="O252" t="str">
        <v>8.06億</v>
      </c>
      <c r="P252" t="str">
        <v>-43.86</v>
      </c>
      <c r="Q252" t="str">
        <v>+7.94</v>
      </c>
      <c r="R252" t="str">
        <v>+0.33</v>
      </c>
      <c r="S252">
        <v>95</v>
      </c>
      <c r="T252">
        <v>1</v>
      </c>
      <c r="U252">
        <f t="array" ref="U252:AD252">[1]!'6488.TW-ChipsField3,ChipsField1,ChipsField25,CashAndStockDividend,CashDividendYieldRate,ProfitFourSeason,ProfitSingle,CName,ExchangeIndustry,CompanyPos'</f>
        <v>89</v>
      </c>
      <c r="V252">
        <v>-547</v>
      </c>
      <c r="W252" t="str">
        <v>2022/07/12</v>
      </c>
      <c r="X252" t="str">
        <v>8.00</v>
      </c>
      <c r="Y252">
        <v>3.46</v>
      </c>
      <c r="Z252" t="str">
        <v>25.10</v>
      </c>
      <c r="AA252" t="str">
        <v>4.01</v>
      </c>
      <c r="AB252" t="str">
        <v>環球晶</v>
      </c>
      <c r="AC252" t="str">
        <v>上櫃半導體</v>
      </c>
      <c r="AD252" t="str">
        <v>全球第三大、台灣最大的矽晶圓廠商，從中美晶分割成立</v>
      </c>
      <c r="AE252" t="str">
        <f t="array" ref="AE252:AH252">[1]!'6488.TW-CName,InvestorConferenceDate,DateofMeetingofShareHolders,TradingDate'</f>
        <v>環球晶</v>
      </c>
      <c r="AF252" t="str">
        <v>2022/08/02</v>
      </c>
      <c r="AG252" t="str">
        <v>2022/06/21</v>
      </c>
      <c r="AH252" t="str">
        <v>2022/08/01</v>
      </c>
    </row>
    <row r="253" spans="1:34" x14ac:dyDescent="0.3">
      <c r="A253" t="str">
        <f t="array" ref="A253:J253">[1]!'6494.TW-ID,Name,MarketValue,Capital,NetIncomeGrowthRate,OperIncomeGrowthRate,FinancialStatementsTime,TFXRatio,MonthlyNetSalesYoY,RevenueMonth'</f>
        <v>6494</v>
      </c>
      <c r="B253" t="str">
        <v>九齊</v>
      </c>
      <c r="C253" t="str">
        <v>25.1</v>
      </c>
      <c r="D253" t="str">
        <v>3.16</v>
      </c>
      <c r="E253" t="str">
        <v>174.02</v>
      </c>
      <c r="F253" t="str">
        <v>138.92</v>
      </c>
      <c r="G253" t="str">
        <v>2022/03</v>
      </c>
      <c r="H253" t="str">
        <v>-17.10</v>
      </c>
      <c r="I253" t="str">
        <v>-23.95</v>
      </c>
      <c r="J253" t="str">
        <v>2022/06</v>
      </c>
      <c r="K253" t="str">
        <f t="array" ref="K253:T253">[1]!'6494.TW-OperatingProfitRatio,Price,PriceChangeRatio,InOutRatioNumber,Value,YearReturn,MonthReturn,WeekReturn,FinanceBalanceDif,ChipsField2'</f>
        <v>30.43</v>
      </c>
      <c r="L253">
        <v>79.400000000000006</v>
      </c>
      <c r="M253">
        <v>0.38</v>
      </c>
      <c r="N253" t="str">
        <v>58.33%</v>
      </c>
      <c r="O253" t="str">
        <v>398萬</v>
      </c>
      <c r="P253" t="str">
        <v>-46.25</v>
      </c>
      <c r="Q253" t="str">
        <v>-1.49</v>
      </c>
      <c r="R253" t="str">
        <v>-7.57</v>
      </c>
      <c r="S253">
        <v>1</v>
      </c>
      <c r="T253">
        <v>0</v>
      </c>
      <c r="U253">
        <f t="array" ref="U253:AD253">[1]!'6494.TW-ChipsField3,ChipsField1,ChipsField25,CashAndStockDividend,CashDividendYieldRate,ProfitFourSeason,ProfitSingle,CName,ExchangeIndustry,CompanyPos'</f>
        <v>0</v>
      </c>
      <c r="V253">
        <v>6</v>
      </c>
      <c r="W253" t="str">
        <v>2022/06/17</v>
      </c>
      <c r="X253" t="str">
        <v>8.00</v>
      </c>
      <c r="Y253">
        <v>10.08</v>
      </c>
      <c r="Z253" t="str">
        <v>20.48</v>
      </c>
      <c r="AA253" t="str">
        <v>5.15</v>
      </c>
      <c r="AB253" t="str">
        <v>九齊</v>
      </c>
      <c r="AC253" t="str">
        <v>上櫃半導體</v>
      </c>
      <c r="AD253" t="str">
        <v>新唐轉投資的語音控制IC及MCU設計公司</v>
      </c>
      <c r="AE253" t="str">
        <f t="array" ref="AE253:AH253">[1]!'6494.TW-CName,InvestorConferenceDate,DateofMeetingofShareHolders,TradingDate'</f>
        <v>九齊</v>
      </c>
      <c r="AF253" t="str">
        <v>2021/03/03</v>
      </c>
      <c r="AG253" t="str">
        <v>2022/05/27</v>
      </c>
      <c r="AH253" t="str">
        <v>2022/08/01</v>
      </c>
    </row>
    <row r="254" spans="1:34" x14ac:dyDescent="0.3">
      <c r="A254" t="str">
        <f t="array" ref="A254:J254">[1]!'6510.TW-ID,Name,MarketValue,Capital,NetIncomeGrowthRate,OperIncomeGrowthRate,FinancialStatementsTime,TFXRatio,MonthlyNetSalesYoY,RevenueMonth'</f>
        <v>6510</v>
      </c>
      <c r="B254" t="str">
        <v>精測</v>
      </c>
      <c r="C254" t="str">
        <v>145.3</v>
      </c>
      <c r="D254" t="str">
        <v>3.28</v>
      </c>
      <c r="E254" t="str">
        <v>-5.85</v>
      </c>
      <c r="F254" t="str">
        <v>-4.87</v>
      </c>
      <c r="G254" t="str">
        <v>2022/06</v>
      </c>
      <c r="H254" t="str">
        <v>0.02</v>
      </c>
      <c r="I254" t="str">
        <v>22.91</v>
      </c>
      <c r="J254" t="str">
        <v>2022/06</v>
      </c>
      <c r="K254" t="str">
        <f t="array" ref="K254:T254">[1]!'6510.TW-OperatingProfitRatio,Price,PriceChangeRatio,InOutRatioNumber,Value,YearReturn,MonthReturn,WeekReturn,FinanceBalanceDif,ChipsField2'</f>
        <v>21.16</v>
      </c>
      <c r="L254">
        <v>443</v>
      </c>
      <c r="M254">
        <v>-3.06</v>
      </c>
      <c r="N254" t="str">
        <v>30.58%</v>
      </c>
      <c r="O254" t="str">
        <v>4.62億</v>
      </c>
      <c r="P254" t="str">
        <v>-29.81</v>
      </c>
      <c r="Q254" t="str">
        <v>+17.53</v>
      </c>
      <c r="R254" t="str">
        <v>+10.06</v>
      </c>
      <c r="S254">
        <v>-41</v>
      </c>
      <c r="T254">
        <v>0</v>
      </c>
      <c r="U254">
        <f t="array" ref="U254:AD254">[1]!'6510.TW-ChipsField3,ChipsField1,ChipsField25,CashAndStockDividend,CashDividendYieldRate,ProfitFourSeason,ProfitSingle,CName,ExchangeIndustry,CompanyPos'</f>
        <v>0</v>
      </c>
      <c r="V254">
        <v>95</v>
      </c>
      <c r="W254" t="str">
        <v>2022/07/07</v>
      </c>
      <c r="X254" t="str">
        <v>13.60</v>
      </c>
      <c r="Y254">
        <v>3.07</v>
      </c>
      <c r="Z254" t="str">
        <v>26.56</v>
      </c>
      <c r="AA254" t="str">
        <v>7.65</v>
      </c>
      <c r="AB254" t="str">
        <v>精測</v>
      </c>
      <c r="AC254" t="str">
        <v>上櫃半導體</v>
      </c>
      <c r="AD254" t="str">
        <v>中華電信旗下晶圓測試介面板廠</v>
      </c>
      <c r="AE254" t="str">
        <f t="array" ref="AE254:AH254">[1]!'6510.TW-CName,InvestorConferenceDate,DateofMeetingofShareHolders,TradingDate'</f>
        <v>精測</v>
      </c>
      <c r="AF254" t="str">
        <v>2022/07/28</v>
      </c>
      <c r="AG254" t="str">
        <v>2022/06/08</v>
      </c>
      <c r="AH254" t="str">
        <v>2022/08/01</v>
      </c>
    </row>
    <row r="255" spans="1:34" x14ac:dyDescent="0.3">
      <c r="A255" t="str">
        <f t="array" ref="A255:J255">[1]!'6532.TW-ID,Name,MarketValue,Capital,NetIncomeGrowthRate,OperIncomeGrowthRate,FinancialStatementsTime,TFXRatio,MonthlyNetSalesYoY,RevenueMonth'</f>
        <v>6532</v>
      </c>
      <c r="B255" t="str">
        <v>瑞耘</v>
      </c>
      <c r="C255" t="str">
        <v>16.2</v>
      </c>
      <c r="D255" t="str">
        <v>3.61</v>
      </c>
      <c r="E255" t="str">
        <v>90.11</v>
      </c>
      <c r="F255" t="str">
        <v>70.27</v>
      </c>
      <c r="G255" t="str">
        <v>2022/03</v>
      </c>
      <c r="H255" t="str">
        <v>15.77</v>
      </c>
      <c r="I255" t="str">
        <v>60.16</v>
      </c>
      <c r="J255" t="str">
        <v>2022/06</v>
      </c>
      <c r="K255" t="str">
        <f t="array" ref="K255:T255">[1]!'6532.TW-OperatingProfitRatio,Price,PriceChangeRatio,InOutRatioNumber,Value,YearReturn,MonthReturn,WeekReturn,FinanceBalanceDif,ChipsField2'</f>
        <v>32.54</v>
      </c>
      <c r="L255">
        <v>45</v>
      </c>
      <c r="M255">
        <v>0.33</v>
      </c>
      <c r="N255" t="str">
        <v>30.77%</v>
      </c>
      <c r="O255" t="str">
        <v>179萬</v>
      </c>
      <c r="P255" t="str">
        <v>+14.22</v>
      </c>
      <c r="Q255" t="str">
        <v>+14.50</v>
      </c>
      <c r="R255" t="str">
        <v>-0.66</v>
      </c>
      <c r="S255">
        <v>5</v>
      </c>
      <c r="T255">
        <v>0</v>
      </c>
      <c r="U255">
        <f t="array" ref="U255:AD255">[1]!'6532.TW-ChipsField3,ChipsField1,ChipsField25,CashAndStockDividend,CashDividendYieldRate,ProfitFourSeason,ProfitSingle,CName,ExchangeIndustry,CompanyPos'</f>
        <v>0</v>
      </c>
      <c r="V255">
        <v>5</v>
      </c>
      <c r="W255" t="str">
        <v>2022/07/14</v>
      </c>
      <c r="X255" t="str">
        <v>1.80</v>
      </c>
      <c r="Y255">
        <v>4</v>
      </c>
      <c r="Z255" t="str">
        <v>3.12</v>
      </c>
      <c r="AA255" t="str">
        <v>1.05</v>
      </c>
      <c r="AB255" t="str">
        <v>瑞耘</v>
      </c>
      <c r="AC255" t="str">
        <v>上櫃半導體</v>
      </c>
      <c r="AD255" t="str">
        <v>半導體前段製程設備及零件供應商</v>
      </c>
      <c r="AE255" t="str">
        <f t="array" ref="AE255:AH255">[1]!'6532.TW-CName,InvestorConferenceDate,DateofMeetingofShareHolders,TradingDate'</f>
        <v>瑞耘</v>
      </c>
      <c r="AF255" t="str">
        <v>--</v>
      </c>
      <c r="AG255" t="str">
        <v>2022/06/14</v>
      </c>
      <c r="AH255" t="str">
        <v>2022/08/01</v>
      </c>
    </row>
    <row r="256" spans="1:34" x14ac:dyDescent="0.3">
      <c r="A256" t="str">
        <f t="array" ref="A256:J256">[1]!'6548.TW-ID,Name,MarketValue,Capital,NetIncomeGrowthRate,OperIncomeGrowthRate,FinancialStatementsTime,TFXRatio,MonthlyNetSalesYoY,RevenueMonth'</f>
        <v>6548</v>
      </c>
      <c r="B256" t="str">
        <v>長科*</v>
      </c>
      <c r="C256" t="str">
        <v>295.1</v>
      </c>
      <c r="D256" t="str">
        <v>3.84</v>
      </c>
      <c r="E256" t="str">
        <v>190.82</v>
      </c>
      <c r="F256" t="str">
        <v>179.34</v>
      </c>
      <c r="G256" t="str">
        <v>2022/03</v>
      </c>
      <c r="H256" t="str">
        <v>1.57</v>
      </c>
      <c r="I256" t="str">
        <v>18.96</v>
      </c>
      <c r="J256" t="str">
        <v>2022/06</v>
      </c>
      <c r="K256" t="str">
        <f t="array" ref="K256:T256">[1]!'6548.TW-OperatingProfitRatio,Price,PriceChangeRatio,InOutRatioNumber,Value,YearReturn,MonthReturn,WeekReturn,FinanceBalanceDif,ChipsField2'</f>
        <v>22.48</v>
      </c>
      <c r="L256">
        <v>76.8</v>
      </c>
      <c r="M256">
        <v>-0.78</v>
      </c>
      <c r="N256" t="str">
        <v>37.29%</v>
      </c>
      <c r="O256" t="str">
        <v>1015萬</v>
      </c>
      <c r="P256" t="str">
        <v>-22.30</v>
      </c>
      <c r="Q256" t="str">
        <v>+5.93</v>
      </c>
      <c r="R256" t="str">
        <v>-3.76</v>
      </c>
      <c r="S256">
        <v>-61</v>
      </c>
      <c r="T256">
        <v>0</v>
      </c>
      <c r="U256">
        <f t="array" ref="U256:AD256">[1]!'6548.TW-ChipsField3,ChipsField1,ChipsField25,CashAndStockDividend,CashDividendYieldRate,ProfitFourSeason,ProfitSingle,CName,ExchangeIndustry,CompanyPos'</f>
        <v>0</v>
      </c>
      <c r="V256">
        <v>-35</v>
      </c>
      <c r="W256" t="str">
        <v>2022/06/17</v>
      </c>
      <c r="X256" t="str">
        <v>1.72</v>
      </c>
      <c r="Y256">
        <v>3.13</v>
      </c>
      <c r="Z256" t="str">
        <v>6.04</v>
      </c>
      <c r="AA256" t="str">
        <v>1.87</v>
      </c>
      <c r="AB256" t="str">
        <v>長科*</v>
      </c>
      <c r="AC256" t="str">
        <v>上櫃半導體</v>
      </c>
      <c r="AD256" t="str">
        <v>長華電材旗下之IC及光電用導線架大廠</v>
      </c>
      <c r="AE256" t="str">
        <f t="array" ref="AE256:AH256">[1]!'6548.TW-CName,InvestorConferenceDate,DateofMeetingofShareHolders,TradingDate'</f>
        <v>長科*</v>
      </c>
      <c r="AF256" t="str">
        <v>2022/07/19</v>
      </c>
      <c r="AG256" t="str">
        <v>2022/06/14</v>
      </c>
      <c r="AH256" t="str">
        <v>2022/08/01</v>
      </c>
    </row>
    <row r="257" spans="1:34" x14ac:dyDescent="0.3">
      <c r="A257" t="str">
        <f t="array" ref="A257:J257">[1]!'6568.TW-ID,Name,MarketValue,Capital,NetIncomeGrowthRate,OperIncomeGrowthRate,FinancialStatementsTime,TFXRatio,MonthlyNetSalesYoY,RevenueMonth'</f>
        <v>6568</v>
      </c>
      <c r="B257" t="str">
        <v>宏觀</v>
      </c>
      <c r="C257" t="str">
        <v>38.5</v>
      </c>
      <c r="D257" t="str">
        <v>3.08</v>
      </c>
      <c r="E257" t="str">
        <v>-48.59</v>
      </c>
      <c r="F257" t="str">
        <v>-63.40</v>
      </c>
      <c r="G257" t="str">
        <v>2022/03</v>
      </c>
      <c r="H257" t="str">
        <v>-31.09</v>
      </c>
      <c r="I257" t="str">
        <v>-2.12</v>
      </c>
      <c r="J257" t="str">
        <v>2022/06</v>
      </c>
      <c r="K257" t="str">
        <f t="array" ref="K257:T257">[1]!'6568.TW-OperatingProfitRatio,Price,PriceChangeRatio,InOutRatioNumber,Value,YearReturn,MonthReturn,WeekReturn,FinanceBalanceDif,ChipsField2'</f>
        <v>7.89</v>
      </c>
      <c r="L257">
        <v>125</v>
      </c>
      <c r="M257">
        <v>-0.4</v>
      </c>
      <c r="N257" t="str">
        <v>52.50%</v>
      </c>
      <c r="O257" t="str">
        <v>1517萬</v>
      </c>
      <c r="P257" t="str">
        <v>-22.37</v>
      </c>
      <c r="Q257" t="str">
        <v>+3.35</v>
      </c>
      <c r="R257" t="str">
        <v>-3.85</v>
      </c>
      <c r="S257">
        <v>0</v>
      </c>
      <c r="T257">
        <v>0</v>
      </c>
      <c r="U257">
        <f t="array" ref="U257:AD257">[1]!'6568.TW-ChipsField3,ChipsField1,ChipsField25,CashAndStockDividend,CashDividendYieldRate,ProfitFourSeason,ProfitSingle,CName,ExchangeIndustry,CompanyPos'</f>
        <v>-3</v>
      </c>
      <c r="V257">
        <v>67</v>
      </c>
      <c r="W257" t="str">
        <v>2022/07/05</v>
      </c>
      <c r="X257" t="str">
        <v>5.02</v>
      </c>
      <c r="Y257">
        <v>4.0199999999999996</v>
      </c>
      <c r="Z257" t="str">
        <v>5.22</v>
      </c>
      <c r="AA257" t="str">
        <v>0.67</v>
      </c>
      <c r="AB257" t="str">
        <v>宏觀</v>
      </c>
      <c r="AC257" t="str">
        <v>上櫃半導體</v>
      </c>
      <c r="AD257" t="str">
        <v>全球前三大矽晶調諧器晶片供應商</v>
      </c>
      <c r="AE257" t="str">
        <f t="array" ref="AE257:AH257">[1]!'6568.TW-CName,InvestorConferenceDate,DateofMeetingofShareHolders,TradingDate'</f>
        <v>宏觀</v>
      </c>
      <c r="AF257" t="str">
        <v>2022/06/29</v>
      </c>
      <c r="AG257" t="str">
        <v>2022/06/15</v>
      </c>
      <c r="AH257" t="str">
        <v>2022/08/01</v>
      </c>
    </row>
    <row r="258" spans="1:34" x14ac:dyDescent="0.3">
      <c r="A258" t="str">
        <f t="array" ref="A258:J258">[1]!'6594.TW-ID,Name,MarketValue,Capital,NetIncomeGrowthRate,OperIncomeGrowthRate,FinancialStatementsTime,TFXRatio,MonthlyNetSalesYoY,RevenueMonth'</f>
        <v>6594</v>
      </c>
      <c r="B258" t="str">
        <v>展匯科</v>
      </c>
      <c r="C258" t="str">
        <v>9.7</v>
      </c>
      <c r="D258" t="str">
        <v>3.02</v>
      </c>
      <c r="E258" t="str">
        <v>148.95</v>
      </c>
      <c r="F258" t="str">
        <v>145.75</v>
      </c>
      <c r="G258" t="str">
        <v>2022/03</v>
      </c>
      <c r="H258" t="str">
        <v>-11.67</v>
      </c>
      <c r="I258" t="str">
        <v>33.49</v>
      </c>
      <c r="J258" t="str">
        <v>2022/06</v>
      </c>
      <c r="K258" t="str">
        <f t="array" ref="K258:T258">[1]!'6594.TW-OperatingProfitRatio,Price,PriceChangeRatio,InOutRatioNumber,Value,YearReturn,MonthReturn,WeekReturn,FinanceBalanceDif,ChipsField2'</f>
        <v>8.21</v>
      </c>
      <c r="L258">
        <v>32</v>
      </c>
      <c r="M258">
        <v>0.31</v>
      </c>
      <c r="N258" t="str">
        <v>26.92%</v>
      </c>
      <c r="O258" t="str">
        <v>86.2萬</v>
      </c>
      <c r="P258" t="str">
        <v>-27.41</v>
      </c>
      <c r="Q258" t="str">
        <v>+3.89</v>
      </c>
      <c r="R258" t="str">
        <v>-4.76</v>
      </c>
      <c r="S258">
        <v>1</v>
      </c>
      <c r="T258">
        <v>0</v>
      </c>
      <c r="U258">
        <f t="array" ref="U258:AD258">[1]!'6594.TW-ChipsField3,ChipsField1,ChipsField25,CashAndStockDividend,CashDividendYieldRate,ProfitFourSeason,ProfitSingle,CName,ExchangeIndustry,CompanyPos'</f>
        <v>0</v>
      </c>
      <c r="V258">
        <v>-1</v>
      </c>
      <c r="W258" t="str">
        <v>2022/07/06</v>
      </c>
      <c r="X258" t="str">
        <v>1.00</v>
      </c>
      <c r="Y258">
        <v>3.13</v>
      </c>
      <c r="Z258" t="str">
        <v>1.32</v>
      </c>
      <c r="AA258" t="str">
        <v>0.36</v>
      </c>
      <c r="AB258" t="str">
        <v>展匯科</v>
      </c>
      <c r="AC258" t="str">
        <v>上櫃半導體</v>
      </c>
      <c r="AD258" t="str">
        <v>安國轉投資之USB控制IC設計公司</v>
      </c>
      <c r="AE258" t="str">
        <f t="array" ref="AE258:AH258">[1]!'6594.TW-CName,InvestorConferenceDate,DateofMeetingofShareHolders,TradingDate'</f>
        <v>展匯科</v>
      </c>
      <c r="AF258" t="str">
        <v>--</v>
      </c>
      <c r="AG258" t="str">
        <v>2022/06/17</v>
      </c>
      <c r="AH258" t="str">
        <v>2022/08/01</v>
      </c>
    </row>
    <row r="259" spans="1:34" x14ac:dyDescent="0.3">
      <c r="A259" t="str">
        <f t="array" ref="A259:J259">[1]!'6640.TW-ID,Name,MarketValue,Capital,NetIncomeGrowthRate,OperIncomeGrowthRate,FinancialStatementsTime,TFXRatio,MonthlyNetSalesYoY,RevenueMonth'</f>
        <v>6640</v>
      </c>
      <c r="B259" t="str">
        <v>均華</v>
      </c>
      <c r="C259" t="str">
        <v>25.8</v>
      </c>
      <c r="D259" t="str">
        <v>2.83</v>
      </c>
      <c r="E259" t="str">
        <v>1124.14</v>
      </c>
      <c r="F259" t="str">
        <v>1714.56</v>
      </c>
      <c r="G259" t="str">
        <v>2022/03</v>
      </c>
      <c r="H259" t="str">
        <v>39.77</v>
      </c>
      <c r="I259" t="str">
        <v>130.34</v>
      </c>
      <c r="J259" t="str">
        <v>2022/06</v>
      </c>
      <c r="K259" t="str">
        <f t="array" ref="K259:T259">[1]!'6640.TW-OperatingProfitRatio,Price,PriceChangeRatio,InOutRatioNumber,Value,YearReturn,MonthReturn,WeekReturn,FinanceBalanceDif,ChipsField2'</f>
        <v>21.68</v>
      </c>
      <c r="L259">
        <v>91.2</v>
      </c>
      <c r="M259">
        <v>-2.04</v>
      </c>
      <c r="N259" t="str">
        <v>0.00%</v>
      </c>
      <c r="O259" t="str">
        <v>27.6萬</v>
      </c>
      <c r="P259" t="str">
        <v>-22.59</v>
      </c>
      <c r="Q259" t="str">
        <v>+11.30</v>
      </c>
      <c r="R259" t="str">
        <v>-2.25</v>
      </c>
      <c r="S259">
        <v>0</v>
      </c>
      <c r="T259">
        <v>0</v>
      </c>
      <c r="U259">
        <f t="array" ref="U259:AD259">[1]!'6640.TW-ChipsField3,ChipsField1,ChipsField25,CashAndStockDividend,CashDividendYieldRate,ProfitFourSeason,ProfitSingle,CName,ExchangeIndustry,CompanyPos'</f>
        <v>0</v>
      </c>
      <c r="V259">
        <v>0</v>
      </c>
      <c r="W259" t="str">
        <v>2022/07/21</v>
      </c>
      <c r="X259" t="str">
        <v>5.00</v>
      </c>
      <c r="Y259">
        <v>5.48</v>
      </c>
      <c r="Z259" t="str">
        <v>8.50</v>
      </c>
      <c r="AA259" t="str">
        <v>2.92</v>
      </c>
      <c r="AB259" t="str">
        <v>均華</v>
      </c>
      <c r="AC259" t="str">
        <v>上櫃半導體</v>
      </c>
      <c r="AD259" t="str">
        <v>均豪子公司，從事半導體封裝設備的製造</v>
      </c>
      <c r="AE259" t="str">
        <f t="array" ref="AE259:AH259">[1]!'6640.TW-CName,InvestorConferenceDate,DateofMeetingofShareHolders,TradingDate'</f>
        <v>均華</v>
      </c>
      <c r="AF259" t="str">
        <v>2021/11/23</v>
      </c>
      <c r="AG259" t="str">
        <v>2022/06/23</v>
      </c>
      <c r="AH259" t="str">
        <v>2022/08/01</v>
      </c>
    </row>
    <row r="260" spans="1:34" x14ac:dyDescent="0.3">
      <c r="A260" t="str">
        <f t="array" ref="A260:J260">[1]!'6643.TW-ID,Name,MarketValue,Capital,NetIncomeGrowthRate,OperIncomeGrowthRate,FinancialStatementsTime,TFXRatio,MonthlyNetSalesYoY,RevenueMonth'</f>
        <v>6643</v>
      </c>
      <c r="B260" t="str">
        <v>M31</v>
      </c>
      <c r="C260" t="str">
        <v>80.6</v>
      </c>
      <c r="D260" t="str">
        <v>3.17</v>
      </c>
      <c r="E260" t="str">
        <v>-28.50</v>
      </c>
      <c r="F260" t="str">
        <v>-65.11</v>
      </c>
      <c r="G260" t="str">
        <v>2022/03</v>
      </c>
      <c r="H260" t="str">
        <v>8.09</v>
      </c>
      <c r="I260" t="str">
        <v>36.37</v>
      </c>
      <c r="J260" t="str">
        <v>2022/06</v>
      </c>
      <c r="K260" t="str">
        <f t="array" ref="K260:T260">[1]!'6643.TW-OperatingProfitRatio,Price,PriceChangeRatio,InOutRatioNumber,Value,YearReturn,MonthReturn,WeekReturn,FinanceBalanceDif,ChipsField2'</f>
        <v>9.63</v>
      </c>
      <c r="L260">
        <v>255</v>
      </c>
      <c r="M260">
        <v>-2.2999999999999998</v>
      </c>
      <c r="N260" t="str">
        <v>38.73%</v>
      </c>
      <c r="O260" t="str">
        <v>5604萬</v>
      </c>
      <c r="P260" t="str">
        <v>-31.96</v>
      </c>
      <c r="Q260" t="str">
        <v>+18.06</v>
      </c>
      <c r="R260" t="str">
        <v>-3.04</v>
      </c>
      <c r="S260">
        <v>-27</v>
      </c>
      <c r="T260">
        <v>0</v>
      </c>
      <c r="U260">
        <f t="array" ref="U260:AD260">[1]!'6643.TW-ChipsField3,ChipsField1,ChipsField25,CashAndStockDividend,CashDividendYieldRate,ProfitFourSeason,ProfitSingle,CName,ExchangeIndustry,CompanyPos'</f>
        <v>0</v>
      </c>
      <c r="V260">
        <v>93</v>
      </c>
      <c r="W260" t="str">
        <v>2022/06/16</v>
      </c>
      <c r="X260" t="str">
        <v>6.30</v>
      </c>
      <c r="Y260">
        <v>2.4700000000000002</v>
      </c>
      <c r="Z260" t="str">
        <v>7.61</v>
      </c>
      <c r="AA260" t="str">
        <v>1.28</v>
      </c>
      <c r="AB260" t="str">
        <v>M31</v>
      </c>
      <c r="AC260" t="str">
        <v>上櫃半導體</v>
      </c>
      <c r="AD260" t="str">
        <v>主攻高速傳輸的矽智材廠商</v>
      </c>
      <c r="AE260" t="str">
        <f t="array" ref="AE260:AH260">[1]!'6643.TW-CName,InvestorConferenceDate,DateofMeetingofShareHolders,TradingDate'</f>
        <v>M31</v>
      </c>
      <c r="AF260" t="str">
        <v>2022/08/11</v>
      </c>
      <c r="AG260" t="str">
        <v>2022/05/26</v>
      </c>
      <c r="AH260" t="str">
        <v>2022/08/01</v>
      </c>
    </row>
    <row r="261" spans="1:34" x14ac:dyDescent="0.3">
      <c r="A261" t="str">
        <f t="array" ref="A261:J261">[1]!'6651.TW-ID,Name,MarketValue,Capital,NetIncomeGrowthRate,OperIncomeGrowthRate,FinancialStatementsTime,TFXRatio,MonthlyNetSalesYoY,RevenueMonth'</f>
        <v>6651</v>
      </c>
      <c r="B261" t="str">
        <v>全宇昕</v>
      </c>
      <c r="C261" t="str">
        <v>26.0</v>
      </c>
      <c r="D261" t="str">
        <v>3.30</v>
      </c>
      <c r="E261" t="str">
        <v>45.98</v>
      </c>
      <c r="F261" t="str">
        <v>26.73</v>
      </c>
      <c r="G261" t="str">
        <v>2022/03</v>
      </c>
      <c r="H261" t="str">
        <v>6.17</v>
      </c>
      <c r="I261" t="str">
        <v>46.70</v>
      </c>
      <c r="J261" t="str">
        <v>2022/06</v>
      </c>
      <c r="K261" t="str">
        <f t="array" ref="K261:T261">[1]!'6651.TW-OperatingProfitRatio,Price,PriceChangeRatio,InOutRatioNumber,Value,YearReturn,MonthReturn,WeekReturn,FinanceBalanceDif,ChipsField2'</f>
        <v>20.46</v>
      </c>
      <c r="L261">
        <v>79</v>
      </c>
      <c r="M261">
        <v>0</v>
      </c>
      <c r="N261" t="str">
        <v>48.72%</v>
      </c>
      <c r="O261" t="str">
        <v>308萬</v>
      </c>
      <c r="P261" t="str">
        <v>-33.44</v>
      </c>
      <c r="Q261" t="str">
        <v>+7.63</v>
      </c>
      <c r="R261" t="str">
        <v>-1.37</v>
      </c>
      <c r="S261">
        <v>3</v>
      </c>
      <c r="T261">
        <v>0</v>
      </c>
      <c r="U261">
        <f t="array" ref="U261:AD261">[1]!'6651.TW-ChipsField3,ChipsField1,ChipsField25,CashAndStockDividend,CashDividendYieldRate,ProfitFourSeason,ProfitSingle,CName,ExchangeIndustry,CompanyPos'</f>
        <v>0</v>
      </c>
      <c r="V261">
        <v>7</v>
      </c>
      <c r="W261" t="str">
        <v>--</v>
      </c>
      <c r="X261" t="str">
        <v>4.50</v>
      </c>
      <c r="Y261">
        <v>5.7</v>
      </c>
      <c r="Z261" t="str">
        <v>8.50</v>
      </c>
      <c r="AA261" t="str">
        <v>2.51</v>
      </c>
      <c r="AB261" t="str">
        <v>全宇昕</v>
      </c>
      <c r="AC261" t="str">
        <v>上櫃半導體</v>
      </c>
      <c r="AD261" t="str">
        <v>分離式半導體元件廠</v>
      </c>
      <c r="AE261" t="str">
        <f t="array" ref="AE261:AH261">[1]!'6651.TW-CName,InvestorConferenceDate,DateofMeetingofShareHolders,TradingDate'</f>
        <v>全宇昕</v>
      </c>
      <c r="AF261" t="str">
        <v>--</v>
      </c>
      <c r="AG261" t="str">
        <v>2022/06/17</v>
      </c>
      <c r="AH261" t="str">
        <v>2022/08/01</v>
      </c>
    </row>
    <row r="262" spans="1:34" x14ac:dyDescent="0.3">
      <c r="A262" t="str">
        <f t="array" ref="A262:J262">[1]!'6679.TW-ID,Name,MarketValue,Capital,NetIncomeGrowthRate,OperIncomeGrowthRate,FinancialStatementsTime,TFXRatio,MonthlyNetSalesYoY,RevenueMonth'</f>
        <v>6679</v>
      </c>
      <c r="B262" t="str">
        <v>鈺太</v>
      </c>
      <c r="C262" t="str">
        <v>119.3</v>
      </c>
      <c r="D262" t="str">
        <v>5.48</v>
      </c>
      <c r="E262" t="str">
        <v>15.72</v>
      </c>
      <c r="F262" t="str">
        <v>4.05</v>
      </c>
      <c r="G262" t="str">
        <v>2022/06</v>
      </c>
      <c r="H262" t="str">
        <v>-7.73</v>
      </c>
      <c r="I262" t="str">
        <v>-19.80</v>
      </c>
      <c r="J262" t="str">
        <v>2022/06</v>
      </c>
      <c r="K262" t="str">
        <f t="array" ref="K262:T262">[1]!'6679.TW-OperatingProfitRatio,Price,PriceChangeRatio,InOutRatioNumber,Value,YearReturn,MonthReturn,WeekReturn,FinanceBalanceDif,ChipsField2'</f>
        <v>27.93</v>
      </c>
      <c r="L262">
        <v>220</v>
      </c>
      <c r="M262">
        <v>-6.38</v>
      </c>
      <c r="N262" t="str">
        <v>28.49%</v>
      </c>
      <c r="O262" t="str">
        <v>2.02億</v>
      </c>
      <c r="P262" t="str">
        <v>-38.29</v>
      </c>
      <c r="Q262" t="str">
        <v>+5.52</v>
      </c>
      <c r="R262" t="str">
        <v>-3.30</v>
      </c>
      <c r="S262">
        <v>-99</v>
      </c>
      <c r="T262">
        <v>67</v>
      </c>
      <c r="U262">
        <f t="array" ref="U262:AD262">[1]!'6679.TW-ChipsField3,ChipsField1,ChipsField25,CashAndStockDividend,CashDividendYieldRate,ProfitFourSeason,ProfitSingle,CName,ExchangeIndustry,CompanyPos'</f>
        <v>7</v>
      </c>
      <c r="V262">
        <v>74</v>
      </c>
      <c r="W262" t="str">
        <v>2022/06/08</v>
      </c>
      <c r="X262" t="str">
        <v>7.13</v>
      </c>
      <c r="Y262">
        <v>3.24</v>
      </c>
      <c r="Z262" t="str">
        <v>15.45</v>
      </c>
      <c r="AA262" t="str">
        <v>3.31</v>
      </c>
      <c r="AB262" t="str">
        <v>鈺太</v>
      </c>
      <c r="AC262" t="str">
        <v>上櫃半導體</v>
      </c>
      <c r="AD262" t="str">
        <v>台灣MEMS麥克風晶片龍頭</v>
      </c>
      <c r="AE262" t="str">
        <f t="array" ref="AE262:AH262">[1]!'6679.TW-CName,InvestorConferenceDate,DateofMeetingofShareHolders,TradingDate'</f>
        <v>鈺太</v>
      </c>
      <c r="AF262" t="str">
        <v>2022/02/15</v>
      </c>
      <c r="AG262" t="str">
        <v>2022/05/05</v>
      </c>
      <c r="AH262" t="str">
        <v>2022/08/01</v>
      </c>
    </row>
    <row r="263" spans="1:34" x14ac:dyDescent="0.3">
      <c r="A263" t="str">
        <f t="array" ref="A263:J263">[1]!'6683.TW-ID,Name,MarketValue,Capital,NetIncomeGrowthRate,OperIncomeGrowthRate,FinancialStatementsTime,TFXRatio,MonthlyNetSalesYoY,RevenueMonth'</f>
        <v>6683</v>
      </c>
      <c r="B263" t="str">
        <v>雍智科技</v>
      </c>
      <c r="C263" t="str">
        <v>53.7</v>
      </c>
      <c r="D263" t="str">
        <v>2.72</v>
      </c>
      <c r="E263" t="str">
        <v>2.75</v>
      </c>
      <c r="F263" t="str">
        <v>-14.26</v>
      </c>
      <c r="G263" t="str">
        <v>2022/03</v>
      </c>
      <c r="H263" t="str">
        <v>7.85</v>
      </c>
      <c r="I263" t="str">
        <v>-1.84</v>
      </c>
      <c r="J263" t="str">
        <v>2022/06</v>
      </c>
      <c r="K263" t="str">
        <f t="array" ref="K263:T263">[1]!'6683.TW-OperatingProfitRatio,Price,PriceChangeRatio,InOutRatioNumber,Value,YearReturn,MonthReturn,WeekReturn,FinanceBalanceDif,ChipsField2'</f>
        <v>32.17</v>
      </c>
      <c r="L263">
        <v>198.5</v>
      </c>
      <c r="M263">
        <v>-4.1100000000000003</v>
      </c>
      <c r="N263" t="str">
        <v>29.30%</v>
      </c>
      <c r="O263" t="str">
        <v>1.14億</v>
      </c>
      <c r="P263" t="str">
        <v>-41.97</v>
      </c>
      <c r="Q263" t="str">
        <v>+6.72</v>
      </c>
      <c r="R263" t="str">
        <v>+9.67</v>
      </c>
      <c r="S263">
        <v>0</v>
      </c>
      <c r="T263">
        <v>0</v>
      </c>
      <c r="U263">
        <f t="array" ref="U263:AD263">[1]!'6683.TW-ChipsField3,ChipsField1,ChipsField25,CashAndStockDividend,CashDividendYieldRate,ProfitFourSeason,ProfitSingle,CName,ExchangeIndustry,CompanyPos'</f>
        <v>8</v>
      </c>
      <c r="V263">
        <v>-3</v>
      </c>
      <c r="W263" t="str">
        <v>--</v>
      </c>
      <c r="X263" t="str">
        <v>7.76</v>
      </c>
      <c r="Y263">
        <v>3.91</v>
      </c>
      <c r="Z263" t="str">
        <v>15.61</v>
      </c>
      <c r="AA263" t="str">
        <v>4.17</v>
      </c>
      <c r="AB263" t="str">
        <v>雍智科技</v>
      </c>
      <c r="AC263" t="str">
        <v>上櫃半導體</v>
      </c>
      <c r="AD263" t="str">
        <v>全球排名第七、台灣第一的IC測試設備材料供應商</v>
      </c>
      <c r="AE263" t="str">
        <f t="array" ref="AE263:AH263">[1]!'6683.TW-CName,InvestorConferenceDate,DateofMeetingofShareHolders,TradingDate'</f>
        <v>雍智科技</v>
      </c>
      <c r="AF263" t="str">
        <v>2022/04/07</v>
      </c>
      <c r="AG263" t="str">
        <v>2022/06/27</v>
      </c>
      <c r="AH263" t="str">
        <v>2022/08/01</v>
      </c>
    </row>
    <row r="264" spans="1:34" x14ac:dyDescent="0.3">
      <c r="A264" t="str">
        <f t="array" ref="A264:J264">[1]!'6684.TW-ID,Name,MarketValue,Capital,NetIncomeGrowthRate,OperIncomeGrowthRate,FinancialStatementsTime,TFXRatio,MonthlyNetSalesYoY,RevenueMonth'</f>
        <v>6684</v>
      </c>
      <c r="B264" t="str">
        <v>安格</v>
      </c>
      <c r="C264" t="str">
        <v>16.4</v>
      </c>
      <c r="D264" t="str">
        <v>2.71</v>
      </c>
      <c r="E264" t="str">
        <v>27.30</v>
      </c>
      <c r="F264" t="str">
        <v>27.83</v>
      </c>
      <c r="G264" t="str">
        <v>2022/03</v>
      </c>
      <c r="H264" t="str">
        <v>-10.79</v>
      </c>
      <c r="I264" t="str">
        <v>-24.29</v>
      </c>
      <c r="J264" t="str">
        <v>2022/06</v>
      </c>
      <c r="K264" t="str">
        <f t="array" ref="K264:T264">[1]!'6684.TW-OperatingProfitRatio,Price,PriceChangeRatio,InOutRatioNumber,Value,YearReturn,MonthReturn,WeekReturn,FinanceBalanceDif,ChipsField2'</f>
        <v>28.34</v>
      </c>
      <c r="L264">
        <v>61</v>
      </c>
      <c r="M264">
        <v>-0.16</v>
      </c>
      <c r="N264" t="str">
        <v>32.47%</v>
      </c>
      <c r="O264" t="str">
        <v>469萬</v>
      </c>
      <c r="P264" t="str">
        <v>--</v>
      </c>
      <c r="Q264" t="str">
        <v>-2.90</v>
      </c>
      <c r="R264" t="str">
        <v>-8.27</v>
      </c>
      <c r="S264">
        <v>0</v>
      </c>
      <c r="T264">
        <v>0</v>
      </c>
      <c r="U264">
        <f t="array" ref="U264:AD264">[1]!'6684.TW-ChipsField3,ChipsField1,ChipsField25,CashAndStockDividend,CashDividendYieldRate,ProfitFourSeason,ProfitSingle,CName,ExchangeIndustry,CompanyPos'</f>
        <v>10</v>
      </c>
      <c r="V264">
        <v>14</v>
      </c>
      <c r="W264" t="str">
        <v>2022/07/20</v>
      </c>
      <c r="X264" t="str">
        <v>5.51</v>
      </c>
      <c r="Y264">
        <v>9.0299999999999994</v>
      </c>
      <c r="Z264" t="str">
        <v>6.81</v>
      </c>
      <c r="AA264" t="str">
        <v>1.47</v>
      </c>
      <c r="AB264" t="str">
        <v>安格</v>
      </c>
      <c r="AC264" t="str">
        <v>上櫃半導體</v>
      </c>
      <c r="AD264" t="str">
        <v>安國旗下的多媒體視訊轉換控制晶片廠</v>
      </c>
      <c r="AE264" t="str">
        <f t="array" ref="AE264:AH264">[1]!'6684.TW-CName,InvestorConferenceDate,DateofMeetingofShareHolders,TradingDate'</f>
        <v>安格</v>
      </c>
      <c r="AF264" t="str">
        <v>--</v>
      </c>
      <c r="AG264" t="str">
        <v>2022/06/08</v>
      </c>
      <c r="AH264" t="str">
        <v>2022/08/01</v>
      </c>
    </row>
    <row r="265" spans="1:34" x14ac:dyDescent="0.3">
      <c r="A265" t="str">
        <f t="array" ref="A265:J265">[1]!'6693.TW-ID,Name,MarketValue,Capital,NetIncomeGrowthRate,OperIncomeGrowthRate,FinancialStatementsTime,TFXRatio,MonthlyNetSalesYoY,RevenueMonth'</f>
        <v>6693</v>
      </c>
      <c r="B265" t="str">
        <v>廣閎科</v>
      </c>
      <c r="C265" t="str">
        <v>38.0</v>
      </c>
      <c r="D265" t="str">
        <v>4.57</v>
      </c>
      <c r="E265" t="str">
        <v>254.43</v>
      </c>
      <c r="F265" t="str">
        <v>108.27</v>
      </c>
      <c r="G265" t="str">
        <v>2022/03</v>
      </c>
      <c r="H265" t="str">
        <v>0.70</v>
      </c>
      <c r="I265" t="str">
        <v>26.50</v>
      </c>
      <c r="J265" t="str">
        <v>2022/06</v>
      </c>
      <c r="K265" t="str">
        <f t="array" ref="K265:T265">[1]!'6693.TW-OperatingProfitRatio,Price,PriceChangeRatio,InOutRatioNumber,Value,YearReturn,MonthReturn,WeekReturn,FinanceBalanceDif,ChipsField2'</f>
        <v>14.69</v>
      </c>
      <c r="L265">
        <v>83.1</v>
      </c>
      <c r="M265">
        <v>0.24</v>
      </c>
      <c r="N265" t="str">
        <v>57.69%</v>
      </c>
      <c r="O265" t="str">
        <v>216萬</v>
      </c>
      <c r="P265" t="str">
        <v>--</v>
      </c>
      <c r="Q265" t="str">
        <v>-10.98</v>
      </c>
      <c r="R265" t="str">
        <v>-1.77</v>
      </c>
      <c r="S265">
        <v>0</v>
      </c>
      <c r="T265">
        <v>0</v>
      </c>
      <c r="U265">
        <f t="array" ref="U265:AD265">[1]!'6693.TW-ChipsField3,ChipsField1,ChipsField25,CashAndStockDividend,CashDividendYieldRate,ProfitFourSeason,ProfitSingle,CName,ExchangeIndustry,CompanyPos'</f>
        <v>0</v>
      </c>
      <c r="V265">
        <v>9</v>
      </c>
      <c r="W265" t="str">
        <v>2022/07/22</v>
      </c>
      <c r="X265" t="str">
        <v>2.22</v>
      </c>
      <c r="Y265">
        <v>2.67</v>
      </c>
      <c r="Z265" t="str">
        <v>3.79</v>
      </c>
      <c r="AA265" t="str">
        <v>1.24</v>
      </c>
      <c r="AB265" t="str">
        <v>廣閎科</v>
      </c>
      <c r="AC265" t="str">
        <v>上櫃半導體</v>
      </c>
      <c r="AD265" t="str">
        <v>茂迪轉投資功率半導體元件設計公司</v>
      </c>
      <c r="AE265" t="str">
        <f t="array" ref="AE265:AH265">[1]!'6693.TW-CName,InvestorConferenceDate,DateofMeetingofShareHolders,TradingDate'</f>
        <v>廣閎科</v>
      </c>
      <c r="AF265" t="str">
        <v>--</v>
      </c>
      <c r="AG265" t="str">
        <v>2022/06/13</v>
      </c>
      <c r="AH265" t="str">
        <v>2022/08/01</v>
      </c>
    </row>
    <row r="266" spans="1:34" x14ac:dyDescent="0.3">
      <c r="A266" t="str">
        <f t="array" ref="A266:J266">[1]!'6716.TW-ID,Name,MarketValue,Capital,NetIncomeGrowthRate,OperIncomeGrowthRate,FinancialStatementsTime,TFXRatio,MonthlyNetSalesYoY,RevenueMonth'</f>
        <v>6716</v>
      </c>
      <c r="B266" t="str">
        <v>應廣</v>
      </c>
      <c r="C266" t="str">
        <v>25.9</v>
      </c>
      <c r="D266" t="str">
        <v>2.70</v>
      </c>
      <c r="E266" t="str">
        <v>61.97</v>
      </c>
      <c r="F266" t="str">
        <v>13.01</v>
      </c>
      <c r="G266" t="str">
        <v>2022/03</v>
      </c>
      <c r="H266" t="str">
        <v>-3.57</v>
      </c>
      <c r="I266" t="str">
        <v>-1.37</v>
      </c>
      <c r="J266" t="str">
        <v>2022/06</v>
      </c>
      <c r="K266" t="str">
        <f t="array" ref="K266:T266">[1]!'6716.TW-OperatingProfitRatio,Price,PriceChangeRatio,InOutRatioNumber,Value,YearReturn,MonthReturn,WeekReturn,FinanceBalanceDif,ChipsField2'</f>
        <v>25.36</v>
      </c>
      <c r="L266">
        <v>96</v>
      </c>
      <c r="M266">
        <v>-1.34</v>
      </c>
      <c r="N266" t="str">
        <v>21.43%</v>
      </c>
      <c r="O266" t="str">
        <v>135萬</v>
      </c>
      <c r="P266" t="str">
        <v>-47.20</v>
      </c>
      <c r="Q266" t="str">
        <v>+2.45</v>
      </c>
      <c r="R266" t="str">
        <v>-3.03</v>
      </c>
      <c r="S266">
        <v>0</v>
      </c>
      <c r="T266">
        <v>0</v>
      </c>
      <c r="U266">
        <f t="array" ref="U266:AD266">[1]!'6716.TW-ChipsField3,ChipsField1,ChipsField25,CashAndStockDividend,CashDividendYieldRate,ProfitFourSeason,ProfitSingle,CName,ExchangeIndustry,CompanyPos'</f>
        <v>0</v>
      </c>
      <c r="V266">
        <v>1</v>
      </c>
      <c r="W266" t="str">
        <v>2022/07/01</v>
      </c>
      <c r="X266" t="str">
        <v>8.50</v>
      </c>
      <c r="Y266">
        <v>8.85</v>
      </c>
      <c r="Z266" t="str">
        <v>13.10</v>
      </c>
      <c r="AA266" t="str">
        <v>3.37</v>
      </c>
      <c r="AB266" t="str">
        <v>應廣</v>
      </c>
      <c r="AC266" t="str">
        <v>上櫃半導體</v>
      </c>
      <c r="AD266" t="str">
        <v>台灣散熱風扇微控制器龍頭廠</v>
      </c>
      <c r="AE266" t="str">
        <f t="array" ref="AE266:AH266">[1]!'6716.TW-CName,InvestorConferenceDate,DateofMeetingofShareHolders,TradingDate'</f>
        <v>應廣</v>
      </c>
      <c r="AF266" t="str">
        <v>2022/08/05</v>
      </c>
      <c r="AG266" t="str">
        <v>2022/05/27</v>
      </c>
      <c r="AH266" t="str">
        <v>2022/08/01</v>
      </c>
    </row>
    <row r="267" spans="1:34" x14ac:dyDescent="0.3">
      <c r="A267" t="str">
        <f t="array" ref="A267:J267">[1]!'6732.TW-ID,Name,MarketValue,Capital,NetIncomeGrowthRate,OperIncomeGrowthRate,FinancialStatementsTime,TFXRatio,MonthlyNetSalesYoY,RevenueMonth'</f>
        <v>6732</v>
      </c>
      <c r="B267" t="str">
        <v>昇佳電子</v>
      </c>
      <c r="C267" t="str">
        <v>139.6</v>
      </c>
      <c r="D267" t="str">
        <v>4.89</v>
      </c>
      <c r="E267" t="str">
        <v>14.74</v>
      </c>
      <c r="F267" t="str">
        <v>10.32</v>
      </c>
      <c r="G267" t="str">
        <v>2022/03</v>
      </c>
      <c r="H267" t="str">
        <v>-28.95</v>
      </c>
      <c r="I267" t="str">
        <v>-26.08</v>
      </c>
      <c r="J267" t="str">
        <v>2022/06</v>
      </c>
      <c r="K267" t="str">
        <f t="array" ref="K267:T267">[1]!'6732.TW-OperatingProfitRatio,Price,PriceChangeRatio,InOutRatioNumber,Value,YearReturn,MonthReturn,WeekReturn,FinanceBalanceDif,ChipsField2'</f>
        <v>28.22</v>
      </c>
      <c r="L267">
        <v>285.5</v>
      </c>
      <c r="M267">
        <v>3.07</v>
      </c>
      <c r="N267" t="str">
        <v>58.51%</v>
      </c>
      <c r="O267" t="str">
        <v>5341萬</v>
      </c>
      <c r="P267" t="str">
        <v>-62.87</v>
      </c>
      <c r="Q267" t="str">
        <v>+9.39</v>
      </c>
      <c r="R267" t="str">
        <v>+2.33</v>
      </c>
      <c r="S267">
        <v>-7</v>
      </c>
      <c r="T267">
        <v>0</v>
      </c>
      <c r="U267">
        <f t="array" ref="U267:AD267">[1]!'6732.TW-ChipsField3,ChipsField1,ChipsField25,CashAndStockDividend,CashDividendYieldRate,ProfitFourSeason,ProfitSingle,CName,ExchangeIndustry,CompanyPos'</f>
        <v>0</v>
      </c>
      <c r="V267">
        <v>15</v>
      </c>
      <c r="W267" t="str">
        <v>2022/04/21</v>
      </c>
      <c r="X267" t="str">
        <v>30.00</v>
      </c>
      <c r="Y267">
        <v>10.51</v>
      </c>
      <c r="Z267" t="str">
        <v>34.86</v>
      </c>
      <c r="AA267" t="str">
        <v>6.93</v>
      </c>
      <c r="AB267" t="str">
        <v>昇佳電子</v>
      </c>
      <c r="AC267" t="str">
        <v>上櫃半導體</v>
      </c>
      <c r="AD267" t="str">
        <v>矽創旗下以感測器為主的IC設計公司</v>
      </c>
      <c r="AE267" t="str">
        <f t="array" ref="AE267:AH267">[1]!'6732.TW-CName,InvestorConferenceDate,DateofMeetingofShareHolders,TradingDate'</f>
        <v>昇佳電子</v>
      </c>
      <c r="AF267" t="str">
        <v>2022/02/15</v>
      </c>
      <c r="AG267" t="str">
        <v>2022/06/21</v>
      </c>
      <c r="AH267" t="str">
        <v>2022/08/01</v>
      </c>
    </row>
    <row r="268" spans="1:34" x14ac:dyDescent="0.3">
      <c r="A268" t="str">
        <f t="array" ref="A268:J268">[1]!'6788.TW-ID,Name,MarketValue,Capital,NetIncomeGrowthRate,OperIncomeGrowthRate,FinancialStatementsTime,TFXRatio,MonthlyNetSalesYoY,RevenueMonth'</f>
        <v>6788</v>
      </c>
      <c r="B268" t="str">
        <v>華景電</v>
      </c>
      <c r="C268" t="str">
        <v>35.1</v>
      </c>
      <c r="D268" t="str">
        <v>3.47</v>
      </c>
      <c r="E268" t="str">
        <v>44.62</v>
      </c>
      <c r="F268" t="str">
        <v>42.13</v>
      </c>
      <c r="G268" t="str">
        <v>2022/03</v>
      </c>
      <c r="H268" t="str">
        <v>-19.67</v>
      </c>
      <c r="I268" t="str">
        <v>70.94</v>
      </c>
      <c r="J268" t="str">
        <v>2022/06</v>
      </c>
      <c r="K268" t="str">
        <f t="array" ref="K268:T268">[1]!'6788.TW-OperatingProfitRatio,Price,PriceChangeRatio,InOutRatioNumber,Value,YearReturn,MonthReturn,WeekReturn,FinanceBalanceDif,ChipsField2'</f>
        <v>27.94</v>
      </c>
      <c r="L268">
        <v>101</v>
      </c>
      <c r="M268">
        <v>-1.46</v>
      </c>
      <c r="N268" t="str">
        <v>37.65%</v>
      </c>
      <c r="O268" t="str">
        <v>1634萬</v>
      </c>
      <c r="P268" t="str">
        <v>--</v>
      </c>
      <c r="Q268" t="str">
        <v>-7.14</v>
      </c>
      <c r="R268" t="str">
        <v>-4.27</v>
      </c>
      <c r="S268">
        <v>-13</v>
      </c>
      <c r="T268">
        <v>0</v>
      </c>
      <c r="U268">
        <f t="array" ref="U268:AD268">[1]!'6788.TW-ChipsField3,ChipsField1,ChipsField25,CashAndStockDividend,CashDividendYieldRate,ProfitFourSeason,ProfitSingle,CName,ExchangeIndustry,CompanyPos'</f>
        <v>0</v>
      </c>
      <c r="V268">
        <v>-5</v>
      </c>
      <c r="W268" t="str">
        <v>2022/07/12</v>
      </c>
      <c r="X268" t="str">
        <v>5.00</v>
      </c>
      <c r="Y268">
        <v>4.95</v>
      </c>
      <c r="Z268" t="str">
        <v>7.71</v>
      </c>
      <c r="AA268" t="str">
        <v>2.03</v>
      </c>
      <c r="AB268" t="str">
        <v>華景電</v>
      </c>
      <c r="AC268" t="str">
        <v>上櫃半導體</v>
      </c>
      <c r="AD268" t="str">
        <v>國內晶圓製程AMC防治設備龍頭</v>
      </c>
      <c r="AE268" t="str">
        <f t="array" ref="AE268:AH268">[1]!'6788.TW-CName,InvestorConferenceDate,DateofMeetingofShareHolders,TradingDate'</f>
        <v>華景電</v>
      </c>
      <c r="AF268" t="str">
        <v>2021/08/19</v>
      </c>
      <c r="AG268" t="str">
        <v>2022/06/08</v>
      </c>
      <c r="AH268" t="str">
        <v>2022/08/01</v>
      </c>
    </row>
    <row r="269" spans="1:34" x14ac:dyDescent="0.3">
      <c r="A269" t="str">
        <f t="array" ref="A269:J269">[1]!'6823.TW-ID,Name,MarketValue,Capital,NetIncomeGrowthRate,OperIncomeGrowthRate,FinancialStatementsTime,TFXRatio,MonthlyNetSalesYoY,RevenueMonth'</f>
        <v>6823</v>
      </c>
      <c r="B269" t="str">
        <v>濾能</v>
      </c>
      <c r="C269" t="str">
        <v>19.0</v>
      </c>
      <c r="D269" t="str">
        <v>2.00</v>
      </c>
      <c r="E269" t="str">
        <v>91.56</v>
      </c>
      <c r="F269" t="str">
        <v>66.95</v>
      </c>
      <c r="G269" t="str">
        <v>2022/03</v>
      </c>
      <c r="H269" t="str">
        <v>1.00</v>
      </c>
      <c r="I269" t="str">
        <v>65.53</v>
      </c>
      <c r="J269" t="str">
        <v>2022/06</v>
      </c>
      <c r="K269" t="str">
        <f t="array" ref="K269:T269">[1]!'6823.TW-OperatingProfitRatio,Price,PriceChangeRatio,InOutRatioNumber,Value,YearReturn,MonthReturn,WeekReturn,FinanceBalanceDif,ChipsField2'</f>
        <v>7.12</v>
      </c>
      <c r="L269">
        <v>94.8</v>
      </c>
      <c r="M269">
        <v>0.42</v>
      </c>
      <c r="N269" t="str">
        <v>35.71%</v>
      </c>
      <c r="O269" t="str">
        <v>395萬</v>
      </c>
      <c r="P269" t="str">
        <v>--</v>
      </c>
      <c r="Q269" t="str">
        <v>+4.98</v>
      </c>
      <c r="R269" t="str">
        <v>-0.73</v>
      </c>
      <c r="S269">
        <v>0</v>
      </c>
      <c r="T269">
        <v>0</v>
      </c>
      <c r="U269">
        <f t="array" ref="U269:AD269">[1]!'6823.TW-ChipsField3,ChipsField1,ChipsField25,CashAndStockDividend,CashDividendYieldRate,ProfitFourSeason,ProfitSingle,CName,ExchangeIndustry,CompanyPos'</f>
        <v>-4</v>
      </c>
      <c r="V269">
        <v>15</v>
      </c>
      <c r="W269" t="str">
        <v>--</v>
      </c>
      <c r="X269" t="str">
        <v>2.92</v>
      </c>
      <c r="Y269">
        <v>3.08</v>
      </c>
      <c r="Z269" t="str">
        <v>5.83</v>
      </c>
      <c r="AA269" t="str">
        <v>0.78</v>
      </c>
      <c r="AB269" t="str">
        <v>濾能</v>
      </c>
      <c r="AC269" t="str">
        <v>上櫃半導體</v>
      </c>
      <c r="AD269" t="str">
        <v>國內知名的半導體無塵室AMC解決方案</v>
      </c>
      <c r="AE269" t="str">
        <f t="array" ref="AE269:AH269">[1]!'6823.TW-CName,InvestorConferenceDate,DateofMeetingofShareHolders,TradingDate'</f>
        <v>濾能</v>
      </c>
      <c r="AF269" t="str">
        <v>2022/05/18</v>
      </c>
      <c r="AG269" t="str">
        <v>2022/06/24</v>
      </c>
      <c r="AH269" t="str">
        <v>2022/08/01</v>
      </c>
    </row>
    <row r="270" spans="1:34" x14ac:dyDescent="0.3">
      <c r="A270" t="str">
        <f t="array" ref="A270:J270">[1]!'7556.TW-ID,Name,MarketValue,Capital,NetIncomeGrowthRate,OperIncomeGrowthRate,FinancialStatementsTime,TFXRatio,MonthlyNetSalesYoY,RevenueMonth'</f>
        <v>7556</v>
      </c>
      <c r="B270" t="str">
        <v>意德士</v>
      </c>
      <c r="C270" t="str">
        <v>27.5</v>
      </c>
      <c r="D270" t="str">
        <v>2.29</v>
      </c>
      <c r="E270" t="str">
        <v>38.97</v>
      </c>
      <c r="F270" t="str">
        <v>29.42</v>
      </c>
      <c r="G270" t="str">
        <v>2022/03</v>
      </c>
      <c r="H270" t="str">
        <v>-18.49</v>
      </c>
      <c r="I270" t="str">
        <v>4.20</v>
      </c>
      <c r="J270" t="str">
        <v>2022/06</v>
      </c>
      <c r="K270" t="str">
        <f t="array" ref="K270:T270">[1]!'7556.TW-OperatingProfitRatio,Price,PriceChangeRatio,InOutRatioNumber,Value,YearReturn,MonthReturn,WeekReturn,FinanceBalanceDif,ChipsField2'</f>
        <v>25.68</v>
      </c>
      <c r="L270">
        <v>120</v>
      </c>
      <c r="M270">
        <v>0.84</v>
      </c>
      <c r="N270" t="str">
        <v>60.00%</v>
      </c>
      <c r="O270" t="str">
        <v>239萬</v>
      </c>
      <c r="P270" t="str">
        <v>+0.47</v>
      </c>
      <c r="Q270" t="str">
        <v>+9.41</v>
      </c>
      <c r="R270" t="str">
        <v>+2.56</v>
      </c>
      <c r="S270">
        <v>0</v>
      </c>
      <c r="T270">
        <v>0</v>
      </c>
      <c r="U270">
        <f t="array" ref="U270:AD270">[1]!'7556.TW-ChipsField3,ChipsField1,ChipsField25,CashAndStockDividend,CashDividendYieldRate,ProfitFourSeason,ProfitSingle,CName,ExchangeIndustry,CompanyPos'</f>
        <v>0</v>
      </c>
      <c r="V270">
        <v>0</v>
      </c>
      <c r="W270" t="str">
        <v>2022/07/15</v>
      </c>
      <c r="X270" t="str">
        <v>2.80</v>
      </c>
      <c r="Y270">
        <v>2.33</v>
      </c>
      <c r="Z270" t="str">
        <v>5.03</v>
      </c>
      <c r="AA270" t="str">
        <v>1.31</v>
      </c>
      <c r="AB270" t="str">
        <v>意德士</v>
      </c>
      <c r="AC270" t="str">
        <v>上櫃半導體</v>
      </c>
      <c r="AD270" t="str">
        <v>半導體設備耗材供應商</v>
      </c>
      <c r="AE270" t="str">
        <f t="array" ref="AE270:AH270">[1]!'7556.TW-CName,InvestorConferenceDate,DateofMeetingofShareHolders,TradingDate'</f>
        <v>意德士</v>
      </c>
      <c r="AF270" t="str">
        <v>2022/07/26</v>
      </c>
      <c r="AG270" t="str">
        <v>2022/06/08</v>
      </c>
      <c r="AH270" t="str">
        <v>2022/08/01</v>
      </c>
    </row>
    <row r="271" spans="1:34" x14ac:dyDescent="0.3">
      <c r="A271" t="str">
        <f t="array" ref="A271:J271">[1]!'8024.TW-ID,Name,MarketValue,Capital,NetIncomeGrowthRate,OperIncomeGrowthRate,FinancialStatementsTime,TFXRatio,MonthlyNetSalesYoY,RevenueMonth'</f>
        <v>8024</v>
      </c>
      <c r="B271" t="str">
        <v>佑華</v>
      </c>
      <c r="C271" t="str">
        <v>9.6</v>
      </c>
      <c r="D271" t="str">
        <v>4.52</v>
      </c>
      <c r="E271" t="str">
        <v>1102.70</v>
      </c>
      <c r="F271" t="str">
        <v>906.26</v>
      </c>
      <c r="G271" t="str">
        <v>2022/03</v>
      </c>
      <c r="H271" t="str">
        <v>11.78</v>
      </c>
      <c r="I271" t="str">
        <v>-14.90</v>
      </c>
      <c r="J271" t="str">
        <v>2022/06</v>
      </c>
      <c r="K271" t="str">
        <f t="array" ref="K271:T271">[1]!'8024.TW-OperatingProfitRatio,Price,PriceChangeRatio,InOutRatioNumber,Value,YearReturn,MonthReturn,WeekReturn,FinanceBalanceDif,ChipsField2'</f>
        <v>15.24</v>
      </c>
      <c r="L271">
        <v>21.3</v>
      </c>
      <c r="M271">
        <v>1.19</v>
      </c>
      <c r="N271" t="str">
        <v>56.52%</v>
      </c>
      <c r="O271" t="str">
        <v>197萬</v>
      </c>
      <c r="P271" t="str">
        <v>-23.87</v>
      </c>
      <c r="Q271" t="str">
        <v>+18.01</v>
      </c>
      <c r="R271" t="str">
        <v>+2.40</v>
      </c>
      <c r="S271">
        <v>-18</v>
      </c>
      <c r="T271">
        <v>0</v>
      </c>
      <c r="U271">
        <f t="array" ref="U271:AD271">[1]!'8024.TW-ChipsField3,ChipsField1,ChipsField25,CashAndStockDividend,CashDividendYieldRate,ProfitFourSeason,ProfitSingle,CName,ExchangeIndustry,CompanyPos'</f>
        <v>0</v>
      </c>
      <c r="V271">
        <v>42</v>
      </c>
      <c r="W271" t="str">
        <v>2022/07/04</v>
      </c>
      <c r="X271" t="str">
        <v>1.40</v>
      </c>
      <c r="Y271">
        <v>6.57</v>
      </c>
      <c r="Z271" t="str">
        <v>2.27</v>
      </c>
      <c r="AA271" t="str">
        <v>0.64</v>
      </c>
      <c r="AB271" t="str">
        <v>佑華</v>
      </c>
      <c r="AC271" t="str">
        <v>上櫃半導體</v>
      </c>
      <c r="AD271" t="str">
        <v>玩具語音IC與MCU生產商</v>
      </c>
      <c r="AE271" t="str">
        <f t="array" ref="AE271:AH271">[1]!'8024.TW-CName,InvestorConferenceDate,DateofMeetingofShareHolders,TradingDate'</f>
        <v>佑華</v>
      </c>
      <c r="AF271" t="str">
        <v>--</v>
      </c>
      <c r="AG271" t="str">
        <v>2022/06/15</v>
      </c>
      <c r="AH271" t="str">
        <v>2022/08/01</v>
      </c>
    </row>
    <row r="272" spans="1:34" x14ac:dyDescent="0.3">
      <c r="A272" t="str">
        <f t="array" ref="A272:J272">[1]!'8040.TW-ID,Name,MarketValue,Capital,NetIncomeGrowthRate,OperIncomeGrowthRate,FinancialStatementsTime,TFXRatio,MonthlyNetSalesYoY,RevenueMonth'</f>
        <v>8040</v>
      </c>
      <c r="B272" t="str">
        <v>九暘</v>
      </c>
      <c r="C272" t="str">
        <v>29.2</v>
      </c>
      <c r="D272" t="str">
        <v>6.89</v>
      </c>
      <c r="E272" t="str">
        <v>139.45</v>
      </c>
      <c r="F272" t="str">
        <v>237.82</v>
      </c>
      <c r="G272" t="str">
        <v>2022/03</v>
      </c>
      <c r="H272" t="str">
        <v>6.18</v>
      </c>
      <c r="I272" t="str">
        <v>3.83</v>
      </c>
      <c r="J272" t="str">
        <v>2022/06</v>
      </c>
      <c r="K272" t="str">
        <f t="array" ref="K272:T272">[1]!'8040.TW-OperatingProfitRatio,Price,PriceChangeRatio,InOutRatioNumber,Value,YearReturn,MonthReturn,WeekReturn,FinanceBalanceDif,ChipsField2'</f>
        <v>13.01</v>
      </c>
      <c r="L272">
        <v>42.45</v>
      </c>
      <c r="M272">
        <v>-0.7</v>
      </c>
      <c r="N272" t="str">
        <v>36.79%</v>
      </c>
      <c r="O272" t="str">
        <v>468萬</v>
      </c>
      <c r="P272" t="str">
        <v>-36.17</v>
      </c>
      <c r="Q272" t="str">
        <v>+11.56</v>
      </c>
      <c r="R272" t="str">
        <v>-2.64</v>
      </c>
      <c r="S272">
        <v>-32</v>
      </c>
      <c r="T272">
        <v>0</v>
      </c>
      <c r="U272">
        <f t="array" ref="U272:AD272">[1]!'8040.TW-ChipsField3,ChipsField1,ChipsField25,CashAndStockDividend,CashDividendYieldRate,ProfitFourSeason,ProfitSingle,CName,ExchangeIndustry,CompanyPos'</f>
        <v>0</v>
      </c>
      <c r="V272">
        <v>134</v>
      </c>
      <c r="W272" t="str">
        <v>2022/07/01</v>
      </c>
      <c r="X272" t="str">
        <v>0.60</v>
      </c>
      <c r="Y272">
        <v>1.41</v>
      </c>
      <c r="Z272" t="str">
        <v>1.33</v>
      </c>
      <c r="AA272" t="str">
        <v>0.12</v>
      </c>
      <c r="AB272" t="str">
        <v>九暘</v>
      </c>
      <c r="AC272" t="str">
        <v>上櫃半導體</v>
      </c>
      <c r="AD272" t="str">
        <v>台灣前二大乙太網路IC供應商</v>
      </c>
      <c r="AE272" t="str">
        <f t="array" ref="AE272:AH272">[1]!'8040.TW-CName,InvestorConferenceDate,DateofMeetingofShareHolders,TradingDate'</f>
        <v>九暘</v>
      </c>
      <c r="AF272" t="str">
        <v>--</v>
      </c>
      <c r="AG272" t="str">
        <v>2022/06/16</v>
      </c>
      <c r="AH272" t="str">
        <v>2022/08/01</v>
      </c>
    </row>
    <row r="273" spans="1:34" x14ac:dyDescent="0.3">
      <c r="A273" t="str">
        <f t="array" ref="A273:J273">[1]!'8054.TW-ID,Name,MarketValue,Capital,NetIncomeGrowthRate,OperIncomeGrowthRate,FinancialStatementsTime,TFXRatio,MonthlyNetSalesYoY,RevenueMonth'</f>
        <v>8054</v>
      </c>
      <c r="B273" t="str">
        <v>安國</v>
      </c>
      <c r="C273" t="str">
        <v>33.8</v>
      </c>
      <c r="D273" t="str">
        <v>9.09</v>
      </c>
      <c r="E273" t="str">
        <v>-50.81</v>
      </c>
      <c r="F273" t="str">
        <v>-63.52</v>
      </c>
      <c r="G273" t="str">
        <v>2022/03</v>
      </c>
      <c r="H273" t="str">
        <v>28.58</v>
      </c>
      <c r="I273" t="str">
        <v>60.02</v>
      </c>
      <c r="J273" t="str">
        <v>2022/06</v>
      </c>
      <c r="K273" t="str">
        <f t="array" ref="K273:T273">[1]!'8054.TW-OperatingProfitRatio,Price,PriceChangeRatio,InOutRatioNumber,Value,YearReturn,MonthReturn,WeekReturn,FinanceBalanceDif,ChipsField2'</f>
        <v>7.09</v>
      </c>
      <c r="L273">
        <v>37.200000000000003</v>
      </c>
      <c r="M273">
        <v>-1.59</v>
      </c>
      <c r="N273" t="str">
        <v>55.60%</v>
      </c>
      <c r="O273" t="str">
        <v>2115萬</v>
      </c>
      <c r="P273" t="str">
        <v>-31.62</v>
      </c>
      <c r="Q273" t="str">
        <v>+17.54</v>
      </c>
      <c r="R273" t="str">
        <v>-2.11</v>
      </c>
      <c r="S273">
        <v>-33</v>
      </c>
      <c r="T273">
        <v>0</v>
      </c>
      <c r="U273">
        <f t="array" ref="U273:AD273">[1]!'8054.TW-ChipsField3,ChipsField1,ChipsField25,CashAndStockDividend,CashDividendYieldRate,ProfitFourSeason,ProfitSingle,CName,ExchangeIndustry,CompanyPos'</f>
        <v>2</v>
      </c>
      <c r="V273">
        <v>51</v>
      </c>
      <c r="W273" t="str">
        <v>2022/06/21</v>
      </c>
      <c r="X273" t="str">
        <v>1.65</v>
      </c>
      <c r="Y273">
        <v>4.4400000000000004</v>
      </c>
      <c r="Z273" t="str">
        <v>2.70</v>
      </c>
      <c r="AA273" t="str">
        <v>0.18</v>
      </c>
      <c r="AB273" t="str">
        <v>安國</v>
      </c>
      <c r="AC273" t="str">
        <v>上櫃半導體</v>
      </c>
      <c r="AD273" t="str">
        <v>台灣USB介面裝置控制IC廠</v>
      </c>
      <c r="AE273" t="str">
        <f t="array" ref="AE273:AH273">[1]!'8054.TW-CName,InvestorConferenceDate,DateofMeetingofShareHolders,TradingDate'</f>
        <v>安國</v>
      </c>
      <c r="AF273" t="str">
        <v>--</v>
      </c>
      <c r="AG273" t="str">
        <v>2022/06/15</v>
      </c>
      <c r="AH273" t="str">
        <v>2022/08/01</v>
      </c>
    </row>
    <row r="274" spans="1:34" x14ac:dyDescent="0.3">
      <c r="A274" t="str">
        <f t="array" ref="A274:J274">[1]!'8086.TW-ID,Name,MarketValue,Capital,NetIncomeGrowthRate,OperIncomeGrowthRate,FinancialStatementsTime,TFXRatio,MonthlyNetSalesYoY,RevenueMonth'</f>
        <v>8086</v>
      </c>
      <c r="B274" t="str">
        <v>宏捷科</v>
      </c>
      <c r="C274" t="str">
        <v>142.3</v>
      </c>
      <c r="D274" t="str">
        <v>19.65</v>
      </c>
      <c r="E274" t="str">
        <v>-72.65</v>
      </c>
      <c r="F274" t="str">
        <v>-78.60</v>
      </c>
      <c r="G274" t="str">
        <v>2022/03</v>
      </c>
      <c r="H274" t="str">
        <v>3.38</v>
      </c>
      <c r="I274" t="str">
        <v>-48.60</v>
      </c>
      <c r="J274" t="str">
        <v>2022/06</v>
      </c>
      <c r="K274" t="str">
        <f t="array" ref="K274:T274">[1]!'8086.TW-OperatingProfitRatio,Price,PriceChangeRatio,InOutRatioNumber,Value,YearReturn,MonthReturn,WeekReturn,FinanceBalanceDif,ChipsField2'</f>
        <v>6.96</v>
      </c>
      <c r="L274">
        <v>72.400000000000006</v>
      </c>
      <c r="M274">
        <v>0.42</v>
      </c>
      <c r="N274" t="str">
        <v>59.10%</v>
      </c>
      <c r="O274" t="str">
        <v>4625萬</v>
      </c>
      <c r="P274" t="str">
        <v>-54.03</v>
      </c>
      <c r="Q274" t="str">
        <v>-2.22</v>
      </c>
      <c r="R274" t="str">
        <v>-6.58</v>
      </c>
      <c r="S274">
        <v>-35</v>
      </c>
      <c r="T274">
        <v>0</v>
      </c>
      <c r="U274">
        <f t="array" ref="U274:AD274">[1]!'8086.TW-ChipsField3,ChipsField1,ChipsField25,CashAndStockDividend,CashDividendYieldRate,ProfitFourSeason,ProfitSingle,CName,ExchangeIndustry,CompanyPos'</f>
        <v>59</v>
      </c>
      <c r="V274">
        <v>95</v>
      </c>
      <c r="W274" t="str">
        <v>2022/07/06</v>
      </c>
      <c r="X274" t="str">
        <v>2.80</v>
      </c>
      <c r="Y274">
        <v>3.87</v>
      </c>
      <c r="Z274" t="str">
        <v>3.64</v>
      </c>
      <c r="AA274" t="str">
        <v>0.24</v>
      </c>
      <c r="AB274" t="str">
        <v>宏捷科</v>
      </c>
      <c r="AC274" t="str">
        <v>上櫃半導體</v>
      </c>
      <c r="AD274" t="str">
        <v>全球前三大砷化鎵晶圓代工廠</v>
      </c>
      <c r="AE274" t="str">
        <f t="array" ref="AE274:AH274">[1]!'8086.TW-CName,InvestorConferenceDate,DateofMeetingofShareHolders,TradingDate'</f>
        <v>宏捷科</v>
      </c>
      <c r="AF274" t="str">
        <v>2021/04/13</v>
      </c>
      <c r="AG274" t="str">
        <v>2022/06/20</v>
      </c>
      <c r="AH274" t="str">
        <v>2022/08/01</v>
      </c>
    </row>
    <row r="275" spans="1:34" x14ac:dyDescent="0.3">
      <c r="A275" t="str">
        <f t="array" ref="A275:J275">[1]!'8088.TW-ID,Name,MarketValue,Capital,NetIncomeGrowthRate,OperIncomeGrowthRate,FinancialStatementsTime,TFXRatio,MonthlyNetSalesYoY,RevenueMonth'</f>
        <v>8088</v>
      </c>
      <c r="B275" t="str">
        <v>品安</v>
      </c>
      <c r="C275" t="str">
        <v>11.6</v>
      </c>
      <c r="D275" t="str">
        <v>6.09</v>
      </c>
      <c r="E275" t="str">
        <v>87.91</v>
      </c>
      <c r="F275" t="str">
        <v>9.19</v>
      </c>
      <c r="G275" t="str">
        <v>2022/03</v>
      </c>
      <c r="H275" t="str">
        <v>11.50</v>
      </c>
      <c r="I275" t="str">
        <v>14.02</v>
      </c>
      <c r="J275" t="str">
        <v>2022/06</v>
      </c>
      <c r="K275" t="str">
        <f t="array" ref="K275:T275">[1]!'8088.TW-OperatingProfitRatio,Price,PriceChangeRatio,InOutRatioNumber,Value,YearReturn,MonthReturn,WeekReturn,FinanceBalanceDif,ChipsField2'</f>
        <v>7.66</v>
      </c>
      <c r="L275">
        <v>19.100000000000001</v>
      </c>
      <c r="M275">
        <v>0.79</v>
      </c>
      <c r="N275" t="str">
        <v>75.00%</v>
      </c>
      <c r="O275" t="str">
        <v>68.9萬</v>
      </c>
      <c r="P275" t="str">
        <v>-22.83</v>
      </c>
      <c r="Q275" t="str">
        <v>+11.37</v>
      </c>
      <c r="R275" t="str">
        <v>-0.52</v>
      </c>
      <c r="S275">
        <v>-4</v>
      </c>
      <c r="T275">
        <v>0</v>
      </c>
      <c r="U275">
        <f t="array" ref="U275:AD275">[1]!'8088.TW-ChipsField3,ChipsField1,ChipsField25,CashAndStockDividend,CashDividendYieldRate,ProfitFourSeason,ProfitSingle,CName,ExchangeIndustry,CompanyPos'</f>
        <v>0</v>
      </c>
      <c r="V275">
        <v>1</v>
      </c>
      <c r="W275" t="str">
        <v>2022/07/05</v>
      </c>
      <c r="X275" t="str">
        <v>1.00</v>
      </c>
      <c r="Y275">
        <v>5.24</v>
      </c>
      <c r="Z275" t="str">
        <v>1.93</v>
      </c>
      <c r="AA275" t="str">
        <v>0.62</v>
      </c>
      <c r="AB275" t="str">
        <v>品安</v>
      </c>
      <c r="AC275" t="str">
        <v>上櫃半導體</v>
      </c>
      <c r="AD275" t="str">
        <v>金士頓轉投資DRAM模組廠</v>
      </c>
      <c r="AE275" t="str">
        <f t="array" ref="AE275:AH275">[1]!'8088.TW-CName,InvestorConferenceDate,DateofMeetingofShareHolders,TradingDate'</f>
        <v>品安</v>
      </c>
      <c r="AF275" t="str">
        <v>--</v>
      </c>
      <c r="AG275" t="str">
        <v>2022/06/17</v>
      </c>
      <c r="AH275" t="str">
        <v>2022/08/01</v>
      </c>
    </row>
    <row r="276" spans="1:34" x14ac:dyDescent="0.3">
      <c r="A276" t="str">
        <f t="array" ref="A276:J276">[1]!'8277.TW-ID,Name,MarketValue,Capital,NetIncomeGrowthRate,OperIncomeGrowthRate,FinancialStatementsTime,TFXRatio,MonthlyNetSalesYoY,RevenueMonth'</f>
        <v>8277</v>
      </c>
      <c r="B276" t="str">
        <v>商丞</v>
      </c>
      <c r="C276" t="str">
        <v>8.5</v>
      </c>
      <c r="D276" t="str">
        <v>9.16</v>
      </c>
      <c r="E276" t="str">
        <v>28.69</v>
      </c>
      <c r="F276" t="str">
        <v>8.84</v>
      </c>
      <c r="G276" t="str">
        <v>2022/03</v>
      </c>
      <c r="H276" t="str">
        <v>-33.18</v>
      </c>
      <c r="I276" t="str">
        <v>142.19</v>
      </c>
      <c r="J276" t="str">
        <v>2022/06</v>
      </c>
      <c r="K276" t="str">
        <f t="array" ref="K276:T276">[1]!'8277.TW-OperatingProfitRatio,Price,PriceChangeRatio,InOutRatioNumber,Value,YearReturn,MonthReturn,WeekReturn,FinanceBalanceDif,ChipsField2'</f>
        <v>-16.84</v>
      </c>
      <c r="L276">
        <v>9.25</v>
      </c>
      <c r="M276">
        <v>0.54</v>
      </c>
      <c r="N276" t="str">
        <v>63.93%</v>
      </c>
      <c r="O276" t="str">
        <v>117萬</v>
      </c>
      <c r="P276" t="str">
        <v>-34.40</v>
      </c>
      <c r="Q276" t="str">
        <v>-1.39</v>
      </c>
      <c r="R276" t="str">
        <v>-3.24</v>
      </c>
      <c r="S276">
        <v>0</v>
      </c>
      <c r="T276">
        <v>0</v>
      </c>
      <c r="U276">
        <f t="array" ref="U276:AD276">[1]!'8277.TW-ChipsField3,ChipsField1,ChipsField25,CashAndStockDividend,CashDividendYieldRate,ProfitFourSeason,ProfitSingle,CName,ExchangeIndustry,CompanyPos'</f>
        <v>0</v>
      </c>
      <c r="V276">
        <v>0</v>
      </c>
      <c r="W276" t="str">
        <v>--</v>
      </c>
      <c r="X276" t="str">
        <v>0.00</v>
      </c>
      <c r="Y276">
        <v>0</v>
      </c>
      <c r="Z276" t="str">
        <v>-0.73</v>
      </c>
      <c r="AA276" t="str">
        <v>-0.14</v>
      </c>
      <c r="AB276" t="str">
        <v>商丞</v>
      </c>
      <c r="AC276" t="str">
        <v>上櫃半導體</v>
      </c>
      <c r="AD276" t="str">
        <v>NB及OEM市場為主的記憶體模組廠</v>
      </c>
      <c r="AE276" t="str">
        <f t="array" ref="AE276:AH276">[1]!'8277.TW-CName,InvestorConferenceDate,DateofMeetingofShareHolders,TradingDate'</f>
        <v>商丞</v>
      </c>
      <c r="AF276" t="str">
        <v>--</v>
      </c>
      <c r="AG276" t="str">
        <v>2022/06/10</v>
      </c>
      <c r="AH276" t="str">
        <v>2022/08/01</v>
      </c>
    </row>
    <row r="277" spans="1:34" x14ac:dyDescent="0.3">
      <c r="A277" t="str">
        <f t="array" ref="A277:J277">[1]!'8299.TW-ID,Name,MarketValue,Capital,NetIncomeGrowthRate,OperIncomeGrowthRate,FinancialStatementsTime,TFXRatio,MonthlyNetSalesYoY,RevenueMonth'</f>
        <v>8299</v>
      </c>
      <c r="B277" t="str">
        <v>群聯</v>
      </c>
      <c r="C277" t="str">
        <v>563.6</v>
      </c>
      <c r="D277" t="str">
        <v>19.71</v>
      </c>
      <c r="E277" t="str">
        <v>1.02</v>
      </c>
      <c r="F277" t="str">
        <v>0.18</v>
      </c>
      <c r="G277" t="str">
        <v>2022/06</v>
      </c>
      <c r="H277" t="str">
        <v>3.62</v>
      </c>
      <c r="I277" t="str">
        <v>3.14</v>
      </c>
      <c r="J277" t="str">
        <v>2022/06</v>
      </c>
      <c r="K277" t="str">
        <f t="array" ref="K277:T277">[1]!'8299.TW-OperatingProfitRatio,Price,PriceChangeRatio,InOutRatioNumber,Value,YearReturn,MonthReturn,WeekReturn,FinanceBalanceDif,ChipsField2'</f>
        <v>13.12</v>
      </c>
      <c r="L277">
        <v>286</v>
      </c>
      <c r="M277">
        <v>-2.39</v>
      </c>
      <c r="N277" t="str">
        <v>51.43%</v>
      </c>
      <c r="O277" t="str">
        <v>10.0億</v>
      </c>
      <c r="P277" t="str">
        <v>-32.71</v>
      </c>
      <c r="Q277" t="str">
        <v>+11.72</v>
      </c>
      <c r="R277" t="str">
        <v>-4.19</v>
      </c>
      <c r="S277">
        <v>-116</v>
      </c>
      <c r="T277">
        <v>12</v>
      </c>
      <c r="U277">
        <f t="array" ref="U277:AD277">[1]!'8299.TW-ChipsField3,ChipsField1,ChipsField25,CashAndStockDividend,CashDividendYieldRate,ProfitFourSeason,ProfitSingle,CName,ExchangeIndustry,CompanyPos'</f>
        <v>0</v>
      </c>
      <c r="V277">
        <v>138</v>
      </c>
      <c r="W277" t="str">
        <v>--</v>
      </c>
      <c r="X277" t="str">
        <v>10.00</v>
      </c>
      <c r="Y277">
        <v>8.0399999999999991</v>
      </c>
      <c r="Z277" t="str">
        <v>41.55</v>
      </c>
      <c r="AA277" t="str">
        <v>9.17</v>
      </c>
      <c r="AB277" t="str">
        <v>群聯</v>
      </c>
      <c r="AC277" t="str">
        <v>上櫃半導體</v>
      </c>
      <c r="AD277" t="str">
        <v>全球USB控制IC設計之龍頭企業</v>
      </c>
      <c r="AE277" t="str">
        <f t="array" ref="AE277:AH277">[1]!'8299.TW-CName,InvestorConferenceDate,DateofMeetingofShareHolders,TradingDate'</f>
        <v>群聯</v>
      </c>
      <c r="AF277" t="str">
        <v>2022/01/07</v>
      </c>
      <c r="AG277" t="str">
        <v>2022/05/24</v>
      </c>
      <c r="AH277" t="str">
        <v>2022/08/01</v>
      </c>
    </row>
    <row r="278" spans="1:34" x14ac:dyDescent="0.3">
      <c r="A278" t="str">
        <f t="array" ref="A278:J278">[1]!'1569.TW-ID,Name,MarketValue,Capital,NetIncomeGrowthRate,OperIncomeGrowthRate,FinancialStatementsTime,TFXRatio,MonthlyNetSalesYoY,RevenueMonth'</f>
        <v>1569</v>
      </c>
      <c r="B278" t="str">
        <v>濱川</v>
      </c>
      <c r="C278" t="str">
        <v>31.3</v>
      </c>
      <c r="D278" t="str">
        <v>12.14</v>
      </c>
      <c r="E278" t="str">
        <v>117.14</v>
      </c>
      <c r="F278" t="str">
        <v>43.42</v>
      </c>
      <c r="G278" t="str">
        <v>2022/03</v>
      </c>
      <c r="H278" t="str">
        <v>12.65</v>
      </c>
      <c r="I278" t="str">
        <v>21.14</v>
      </c>
      <c r="J278" t="str">
        <v>2022/06</v>
      </c>
      <c r="K278" t="str">
        <f t="array" ref="K278:T278">[1]!'1569.TW-OperatingProfitRatio,Price,PriceChangeRatio,InOutRatioNumber,Value,YearReturn,MonthReturn,WeekReturn,FinanceBalanceDif,ChipsField2'</f>
        <v>10.00</v>
      </c>
      <c r="L278">
        <v>25.75</v>
      </c>
      <c r="M278">
        <v>0.19</v>
      </c>
      <c r="N278" t="str">
        <v>42.91%</v>
      </c>
      <c r="O278" t="str">
        <v>767萬</v>
      </c>
      <c r="P278" t="str">
        <v>-3.77</v>
      </c>
      <c r="Q278" t="str">
        <v>+11.23</v>
      </c>
      <c r="R278" t="str">
        <v>0.00</v>
      </c>
      <c r="S278">
        <v>1</v>
      </c>
      <c r="T278">
        <v>0</v>
      </c>
      <c r="U278">
        <f t="array" ref="U278:AD278">[1]!'1569.TW-ChipsField3,ChipsField1,ChipsField25,CashAndStockDividend,CashDividendYieldRate,ProfitFourSeason,ProfitSingle,CName,ExchangeIndustry,CompanyPos'</f>
        <v>0</v>
      </c>
      <c r="V278">
        <v>23</v>
      </c>
      <c r="W278" t="str">
        <v>2022/08/11</v>
      </c>
      <c r="X278" t="str">
        <v>1.60</v>
      </c>
      <c r="Y278">
        <v>6.21</v>
      </c>
      <c r="Z278" t="str">
        <v>3.23</v>
      </c>
      <c r="AA278" t="str">
        <v>1.21</v>
      </c>
      <c r="AB278" t="str">
        <v>濱川</v>
      </c>
      <c r="AC278" t="str">
        <v>上櫃電腦及週邊設備</v>
      </c>
      <c r="AD278" t="str">
        <v>全球NB鍵盤支架最大供應商</v>
      </c>
      <c r="AE278" t="str">
        <f t="array" ref="AE278:AH278">[1]!'1569.TW-CName,InvestorConferenceDate,DateofMeetingofShareHolders,TradingDate'</f>
        <v>濱川</v>
      </c>
      <c r="AF278" t="str">
        <v>--</v>
      </c>
      <c r="AG278" t="str">
        <v>2022/06/22</v>
      </c>
      <c r="AH278" t="str">
        <v>2022/08/01</v>
      </c>
    </row>
    <row r="279" spans="1:34" x14ac:dyDescent="0.3">
      <c r="A279" t="str">
        <f t="array" ref="A279:J279">[1]!'3071.TW-ID,Name,MarketValue,Capital,NetIncomeGrowthRate,OperIncomeGrowthRate,FinancialStatementsTime,TFXRatio,MonthlyNetSalesYoY,RevenueMonth'</f>
        <v>3071</v>
      </c>
      <c r="B279" t="str">
        <v>協禧</v>
      </c>
      <c r="C279" t="str">
        <v>30.1</v>
      </c>
      <c r="D279" t="str">
        <v>11.00</v>
      </c>
      <c r="E279" t="str">
        <v>-2.54</v>
      </c>
      <c r="F279" t="str">
        <v>36.99</v>
      </c>
      <c r="G279" t="str">
        <v>2022/03</v>
      </c>
      <c r="H279" t="str">
        <v>1.23</v>
      </c>
      <c r="I279" t="str">
        <v>14.70</v>
      </c>
      <c r="J279" t="str">
        <v>2022/06</v>
      </c>
      <c r="K279" t="str">
        <f t="array" ref="K279:T279">[1]!'3071.TW-OperatingProfitRatio,Price,PriceChangeRatio,InOutRatioNumber,Value,YearReturn,MonthReturn,WeekReturn,FinanceBalanceDif,ChipsField2'</f>
        <v>8.61</v>
      </c>
      <c r="L279">
        <v>27.35</v>
      </c>
      <c r="M279">
        <v>1.48</v>
      </c>
      <c r="N279" t="str">
        <v>66.60%</v>
      </c>
      <c r="O279" t="str">
        <v>1339萬</v>
      </c>
      <c r="P279" t="str">
        <v>+14.13</v>
      </c>
      <c r="Q279" t="str">
        <v>+23.48</v>
      </c>
      <c r="R279" t="str">
        <v>+3.40</v>
      </c>
      <c r="S279">
        <v>-2</v>
      </c>
      <c r="T279">
        <v>0</v>
      </c>
      <c r="U279">
        <f t="array" ref="U279:AD279">[1]!'3071.TW-ChipsField3,ChipsField1,ChipsField25,CashAndStockDividend,CashDividendYieldRate,ProfitFourSeason,ProfitSingle,CName,ExchangeIndustry,CompanyPos'</f>
        <v>0</v>
      </c>
      <c r="V279">
        <v>-12</v>
      </c>
      <c r="W279" t="str">
        <v>2022/08/12</v>
      </c>
      <c r="X279" t="str">
        <v>1.60</v>
      </c>
      <c r="Y279">
        <v>5.85</v>
      </c>
      <c r="Z279" t="str">
        <v>1.87</v>
      </c>
      <c r="AA279" t="str">
        <v>0.38</v>
      </c>
      <c r="AB279" t="str">
        <v>協禧</v>
      </c>
      <c r="AC279" t="str">
        <v>上櫃電腦及週邊設備</v>
      </c>
      <c r="AD279" t="str">
        <v>生產NB用散熱風扇及模組廠</v>
      </c>
      <c r="AE279" t="str">
        <f t="array" ref="AE279:AH279">[1]!'3071.TW-CName,InvestorConferenceDate,DateofMeetingofShareHolders,TradingDate'</f>
        <v>協禧</v>
      </c>
      <c r="AF279" t="str">
        <v>--</v>
      </c>
      <c r="AG279" t="str">
        <v>2022/06/15</v>
      </c>
      <c r="AH279" t="str">
        <v>2022/08/01</v>
      </c>
    </row>
    <row r="280" spans="1:34" x14ac:dyDescent="0.3">
      <c r="A280" t="str">
        <f t="array" ref="A280:J280">[1]!'3088.TW-ID,Name,MarketValue,Capital,NetIncomeGrowthRate,OperIncomeGrowthRate,FinancialStatementsTime,TFXRatio,MonthlyNetSalesYoY,RevenueMonth'</f>
        <v>3088</v>
      </c>
      <c r="B280" t="str">
        <v>艾訊</v>
      </c>
      <c r="C280" t="str">
        <v>54.1</v>
      </c>
      <c r="D280" t="str">
        <v>9.03</v>
      </c>
      <c r="E280" t="str">
        <v>29.38</v>
      </c>
      <c r="F280" t="str">
        <v>81.30</v>
      </c>
      <c r="G280" t="str">
        <v>2022/06</v>
      </c>
      <c r="H280" t="str">
        <v>6.66</v>
      </c>
      <c r="I280" t="str">
        <v>47.11</v>
      </c>
      <c r="J280" t="str">
        <v>2022/06</v>
      </c>
      <c r="K280" t="str">
        <f t="array" ref="K280:T280">[1]!'3088.TW-OperatingProfitRatio,Price,PriceChangeRatio,InOutRatioNumber,Value,YearReturn,MonthReturn,WeekReturn,FinanceBalanceDif,ChipsField2'</f>
        <v>8.30</v>
      </c>
      <c r="L280">
        <v>59.9</v>
      </c>
      <c r="M280">
        <v>-0.66</v>
      </c>
      <c r="N280" t="str">
        <v>45.81%</v>
      </c>
      <c r="O280" t="str">
        <v>5791萬</v>
      </c>
      <c r="P280" t="str">
        <v>+14.08</v>
      </c>
      <c r="Q280" t="str">
        <v>-0.17</v>
      </c>
      <c r="R280" t="str">
        <v>-7.70</v>
      </c>
      <c r="S280">
        <v>-266</v>
      </c>
      <c r="T280">
        <v>-144</v>
      </c>
      <c r="U280">
        <f t="array" ref="U280:AD280">[1]!'3088.TW-ChipsField3,ChipsField1,ChipsField25,CashAndStockDividend,CashDividendYieldRate,ProfitFourSeason,ProfitSingle,CName,ExchangeIndustry,CompanyPos'</f>
        <v>-20</v>
      </c>
      <c r="V280">
        <v>-1100</v>
      </c>
      <c r="W280" t="str">
        <v>2022/08/12</v>
      </c>
      <c r="X280" t="str">
        <v>3.04</v>
      </c>
      <c r="Y280">
        <v>5.08</v>
      </c>
      <c r="Z280" t="str">
        <v>5.00</v>
      </c>
      <c r="AA280" t="str">
        <v>0.89</v>
      </c>
      <c r="AB280" t="str">
        <v>艾訊</v>
      </c>
      <c r="AC280" t="str">
        <v>上櫃電腦及週邊設備</v>
      </c>
      <c r="AD280" t="str">
        <v>研華旗下工業電腦廠</v>
      </c>
      <c r="AE280" t="str">
        <f t="array" ref="AE280:AH280">[1]!'3088.TW-CName,InvestorConferenceDate,DateofMeetingofShareHolders,TradingDate'</f>
        <v>艾訊</v>
      </c>
      <c r="AF280" t="str">
        <v>2021/11/16</v>
      </c>
      <c r="AG280" t="str">
        <v>2022/05/24</v>
      </c>
      <c r="AH280" t="str">
        <v>2022/08/01</v>
      </c>
    </row>
    <row r="281" spans="1:34" x14ac:dyDescent="0.3">
      <c r="A281" t="str">
        <f t="array" ref="A281:J281">[1]!'3211.TW-ID,Name,MarketValue,Capital,NetIncomeGrowthRate,OperIncomeGrowthRate,FinancialStatementsTime,TFXRatio,MonthlyNetSalesYoY,RevenueMonth'</f>
        <v>3211</v>
      </c>
      <c r="B281" t="str">
        <v>順達</v>
      </c>
      <c r="C281" t="str">
        <v>111.5</v>
      </c>
      <c r="D281" t="str">
        <v>14.97</v>
      </c>
      <c r="E281" t="str">
        <v>-3.71</v>
      </c>
      <c r="F281" t="str">
        <v>-33.05</v>
      </c>
      <c r="G281" t="str">
        <v>2022/06</v>
      </c>
      <c r="H281" t="str">
        <v>-5.17</v>
      </c>
      <c r="I281" t="str">
        <v>0.39</v>
      </c>
      <c r="J281" t="str">
        <v>2022/06</v>
      </c>
      <c r="K281" t="str">
        <f t="array" ref="K281:T281">[1]!'3211.TW-OperatingProfitRatio,Price,PriceChangeRatio,InOutRatioNumber,Value,YearReturn,MonthReturn,WeekReturn,FinanceBalanceDif,ChipsField2'</f>
        <v>4.07</v>
      </c>
      <c r="L281">
        <v>74.5</v>
      </c>
      <c r="M281">
        <v>1.0900000000000001</v>
      </c>
      <c r="N281" t="str">
        <v>66.47%</v>
      </c>
      <c r="O281" t="str">
        <v>1240萬</v>
      </c>
      <c r="P281" t="str">
        <v>-15.34</v>
      </c>
      <c r="Q281" t="str">
        <v>+11.03</v>
      </c>
      <c r="R281" t="str">
        <v>+3.33</v>
      </c>
      <c r="S281">
        <v>-1</v>
      </c>
      <c r="T281">
        <v>0</v>
      </c>
      <c r="U281">
        <f t="array" ref="U281:AD281">[1]!'3211.TW-ChipsField3,ChipsField1,ChipsField25,CashAndStockDividend,CashDividendYieldRate,ProfitFourSeason,ProfitSingle,CName,ExchangeIndustry,CompanyPos'</f>
        <v>0</v>
      </c>
      <c r="V281">
        <v>52</v>
      </c>
      <c r="W281" t="str">
        <v>2022/04/06</v>
      </c>
      <c r="X281" t="str">
        <v>15.03</v>
      </c>
      <c r="Y281">
        <v>20.170000000000002</v>
      </c>
      <c r="Z281" t="str">
        <v>22.16</v>
      </c>
      <c r="AA281" t="str">
        <v>2.34</v>
      </c>
      <c r="AB281" t="str">
        <v>順達</v>
      </c>
      <c r="AC281" t="str">
        <v>上櫃電腦及週邊設備</v>
      </c>
      <c r="AD281" t="str">
        <v>全球第四大筆記型電腦電池組裝廠</v>
      </c>
      <c r="AE281" t="str">
        <f t="array" ref="AE281:AH281">[1]!'3211.TW-CName,InvestorConferenceDate,DateofMeetingofShareHolders,TradingDate'</f>
        <v>順達</v>
      </c>
      <c r="AF281" t="str">
        <v>2021/11/30</v>
      </c>
      <c r="AG281" t="str">
        <v>2022/06/06</v>
      </c>
      <c r="AH281" t="str">
        <v>2022/08/01</v>
      </c>
    </row>
    <row r="282" spans="1:34" x14ac:dyDescent="0.3">
      <c r="A282" t="str">
        <f t="array" ref="A282:J282">[1]!'3213.TW-ID,Name,MarketValue,Capital,NetIncomeGrowthRate,OperIncomeGrowthRate,FinancialStatementsTime,TFXRatio,MonthlyNetSalesYoY,RevenueMonth'</f>
        <v>3213</v>
      </c>
      <c r="B282" t="str">
        <v>茂訊</v>
      </c>
      <c r="C282" t="str">
        <v>25.2</v>
      </c>
      <c r="D282" t="str">
        <v>5.87</v>
      </c>
      <c r="E282" t="str">
        <v>-62.40</v>
      </c>
      <c r="F282" t="str">
        <v>-85.62</v>
      </c>
      <c r="G282" t="str">
        <v>2022/03</v>
      </c>
      <c r="H282" t="str">
        <v>-3.84</v>
      </c>
      <c r="I282" t="str">
        <v>-11.41</v>
      </c>
      <c r="J282" t="str">
        <v>2022/06</v>
      </c>
      <c r="K282" t="str">
        <f t="array" ref="K282:T282">[1]!'3213.TW-OperatingProfitRatio,Price,PriceChangeRatio,InOutRatioNumber,Value,YearReturn,MonthReturn,WeekReturn,FinanceBalanceDif,ChipsField2'</f>
        <v>1.93</v>
      </c>
      <c r="L282">
        <v>43</v>
      </c>
      <c r="M282">
        <v>1.9</v>
      </c>
      <c r="N282" t="str">
        <v>44.00%</v>
      </c>
      <c r="O282" t="str">
        <v>107萬</v>
      </c>
      <c r="P282" t="str">
        <v>-20.05</v>
      </c>
      <c r="Q282" t="str">
        <v>+3.61</v>
      </c>
      <c r="R282" t="str">
        <v>+0.58</v>
      </c>
      <c r="S282">
        <v>0</v>
      </c>
      <c r="T282">
        <v>0</v>
      </c>
      <c r="U282">
        <f t="array" ref="U282:AD282">[1]!'3213.TW-ChipsField3,ChipsField1,ChipsField25,CashAndStockDividend,CashDividendYieldRate,ProfitFourSeason,ProfitSingle,CName,ExchangeIndustry,CompanyPos'</f>
        <v>0</v>
      </c>
      <c r="V282">
        <v>7</v>
      </c>
      <c r="W282" t="str">
        <v>2022/06/27</v>
      </c>
      <c r="X282" t="str">
        <v>3.70</v>
      </c>
      <c r="Y282">
        <v>8.6</v>
      </c>
      <c r="Z282" t="str">
        <v>10.38</v>
      </c>
      <c r="AA282" t="str">
        <v>0.23</v>
      </c>
      <c r="AB282" t="str">
        <v>茂訊</v>
      </c>
      <c r="AC282" t="str">
        <v>上櫃電腦及週邊設備</v>
      </c>
      <c r="AD282" t="str">
        <v>全台最大NB通路與強固型NB生產商</v>
      </c>
      <c r="AE282" t="str">
        <f t="array" ref="AE282:AH282">[1]!'3213.TW-CName,InvestorConferenceDate,DateofMeetingofShareHolders,TradingDate'</f>
        <v>茂訊</v>
      </c>
      <c r="AF282" t="str">
        <v>--</v>
      </c>
      <c r="AG282" t="str">
        <v>2022/06/09</v>
      </c>
      <c r="AH282" t="str">
        <v>2022/08/01</v>
      </c>
    </row>
    <row r="283" spans="1:34" x14ac:dyDescent="0.3">
      <c r="A283" t="str">
        <f t="array" ref="A283:J283">[1]!'3272.TW-ID,Name,MarketValue,Capital,NetIncomeGrowthRate,OperIncomeGrowthRate,FinancialStatementsTime,TFXRatio,MonthlyNetSalesYoY,RevenueMonth'</f>
        <v>3272</v>
      </c>
      <c r="B283" t="str">
        <v>東碩</v>
      </c>
      <c r="C283" t="str">
        <v>16.3</v>
      </c>
      <c r="D283" t="str">
        <v>5.46</v>
      </c>
      <c r="E283" t="str">
        <v>-834.29</v>
      </c>
      <c r="F283" t="str">
        <v>-443.49</v>
      </c>
      <c r="G283" t="str">
        <v>2022/03</v>
      </c>
      <c r="H283" t="str">
        <v>25.81</v>
      </c>
      <c r="I283" t="str">
        <v>29.33</v>
      </c>
      <c r="J283" t="str">
        <v>2022/06</v>
      </c>
      <c r="K283" t="str">
        <f t="array" ref="K283:T283">[1]!'3272.TW-OperatingProfitRatio,Price,PriceChangeRatio,InOutRatioNumber,Value,YearReturn,MonthReturn,WeekReturn,FinanceBalanceDif,ChipsField2'</f>
        <v>-6.11</v>
      </c>
      <c r="L283">
        <v>29.9</v>
      </c>
      <c r="M283">
        <v>1.18</v>
      </c>
      <c r="N283" t="str">
        <v>60.71%</v>
      </c>
      <c r="O283" t="str">
        <v>169萬</v>
      </c>
      <c r="P283" t="str">
        <v>-27.40</v>
      </c>
      <c r="Q283" t="str">
        <v>+24.32</v>
      </c>
      <c r="R283" t="str">
        <v>+1.01</v>
      </c>
      <c r="S283">
        <v>-4</v>
      </c>
      <c r="T283">
        <v>0</v>
      </c>
      <c r="U283">
        <f t="array" ref="U283:AD283">[1]!'3272.TW-ChipsField3,ChipsField1,ChipsField25,CashAndStockDividend,CashDividendYieldRate,ProfitFourSeason,ProfitSingle,CName,ExchangeIndustry,CompanyPos'</f>
        <v>0</v>
      </c>
      <c r="V283">
        <v>-1</v>
      </c>
      <c r="W283" t="str">
        <v>2022/09/16</v>
      </c>
      <c r="X283" t="str">
        <v>1.00</v>
      </c>
      <c r="Y283">
        <v>3.34</v>
      </c>
      <c r="Z283" t="str">
        <v>-1.20</v>
      </c>
      <c r="AA283" t="str">
        <v>-1.57</v>
      </c>
      <c r="AB283" t="str">
        <v>東碩</v>
      </c>
      <c r="AC283" t="str">
        <v>上櫃電腦及週邊設備</v>
      </c>
      <c r="AD283" t="str">
        <v>全球PC/行動裝置擴充基座龍頭廠</v>
      </c>
      <c r="AE283" t="str">
        <f t="array" ref="AE283:AH283">[1]!'3272.TW-CName,InvestorConferenceDate,DateofMeetingofShareHolders,TradingDate'</f>
        <v>東碩</v>
      </c>
      <c r="AF283" t="str">
        <v>--</v>
      </c>
      <c r="AG283" t="str">
        <v>2022/06/08</v>
      </c>
      <c r="AH283" t="str">
        <v>2022/08/01</v>
      </c>
    </row>
    <row r="284" spans="1:34" x14ac:dyDescent="0.3">
      <c r="A284" t="str">
        <f t="array" ref="A284:J284">[1]!'3287.TW-ID,Name,MarketValue,Capital,NetIncomeGrowthRate,OperIncomeGrowthRate,FinancialStatementsTime,TFXRatio,MonthlyNetSalesYoY,RevenueMonth'</f>
        <v>3287</v>
      </c>
      <c r="B284" t="str">
        <v>廣寰科</v>
      </c>
      <c r="C284" t="str">
        <v>5.9</v>
      </c>
      <c r="D284" t="str">
        <v>4.40</v>
      </c>
      <c r="E284" t="str">
        <v>-87.26</v>
      </c>
      <c r="F284" t="str">
        <v>-71.81</v>
      </c>
      <c r="G284" t="str">
        <v>2022/03</v>
      </c>
      <c r="H284" t="str">
        <v>22.41</v>
      </c>
      <c r="I284" t="str">
        <v>-56.04</v>
      </c>
      <c r="J284" t="str">
        <v>2022/06</v>
      </c>
      <c r="K284" t="str">
        <f t="array" ref="K284:T284">[1]!'3287.TW-OperatingProfitRatio,Price,PriceChangeRatio,InOutRatioNumber,Value,YearReturn,MonthReturn,WeekReturn,FinanceBalanceDif,ChipsField2'</f>
        <v>6.33</v>
      </c>
      <c r="L284">
        <v>13.35</v>
      </c>
      <c r="M284">
        <v>0.38</v>
      </c>
      <c r="N284" t="str">
        <v>44.35%</v>
      </c>
      <c r="O284" t="str">
        <v>171萬</v>
      </c>
      <c r="P284" t="str">
        <v>-27.45</v>
      </c>
      <c r="Q284" t="str">
        <v>+10.79</v>
      </c>
      <c r="R284" t="str">
        <v>+5.53</v>
      </c>
      <c r="S284">
        <v>-22</v>
      </c>
      <c r="T284">
        <v>0</v>
      </c>
      <c r="U284">
        <f t="array" ref="U284:AD284">[1]!'3287.TW-ChipsField3,ChipsField1,ChipsField25,CashAndStockDividend,CashDividendYieldRate,ProfitFourSeason,ProfitSingle,CName,ExchangeIndustry,CompanyPos'</f>
        <v>0</v>
      </c>
      <c r="V284">
        <v>12</v>
      </c>
      <c r="W284" t="str">
        <v>--</v>
      </c>
      <c r="X284" t="str">
        <v>0.00</v>
      </c>
      <c r="Y284">
        <v>0</v>
      </c>
      <c r="Z284" t="str">
        <v>0.89</v>
      </c>
      <c r="AA284" t="str">
        <v>0.06</v>
      </c>
      <c r="AB284" t="str">
        <v>廣寰科</v>
      </c>
      <c r="AC284" t="str">
        <v>上櫃電腦及週邊設備</v>
      </c>
      <c r="AD284" t="str">
        <v>「GAMDIAS」電競周邊產品品牌商</v>
      </c>
      <c r="AE284" t="str">
        <f t="array" ref="AE284:AH284">[1]!'3287.TW-CName,InvestorConferenceDate,DateofMeetingofShareHolders,TradingDate'</f>
        <v>廣寰科</v>
      </c>
      <c r="AF284" t="str">
        <v>--</v>
      </c>
      <c r="AG284" t="str">
        <v>2022/06/27</v>
      </c>
      <c r="AH284" t="str">
        <v>2022/08/01</v>
      </c>
    </row>
    <row r="285" spans="1:34" x14ac:dyDescent="0.3">
      <c r="A285" t="str">
        <f t="array" ref="A285:J285">[1]!'3323.TW-ID,Name,MarketValue,Capital,NetIncomeGrowthRate,OperIncomeGrowthRate,FinancialStatementsTime,TFXRatio,MonthlyNetSalesYoY,RevenueMonth'</f>
        <v>3323</v>
      </c>
      <c r="B285" t="str">
        <v>加百裕</v>
      </c>
      <c r="C285" t="str">
        <v>26.0</v>
      </c>
      <c r="D285" t="str">
        <v>8.03</v>
      </c>
      <c r="E285" t="str">
        <v>-14.15</v>
      </c>
      <c r="F285" t="str">
        <v>-45.67</v>
      </c>
      <c r="G285" t="str">
        <v>2022/03</v>
      </c>
      <c r="H285" t="str">
        <v>205.89</v>
      </c>
      <c r="I285" t="str">
        <v>-11.91</v>
      </c>
      <c r="J285" t="str">
        <v>2022/06</v>
      </c>
      <c r="K285" t="str">
        <f t="array" ref="K285:T285">[1]!'3323.TW-OperatingProfitRatio,Price,PriceChangeRatio,InOutRatioNumber,Value,YearReturn,MonthReturn,WeekReturn,FinanceBalanceDif,ChipsField2'</f>
        <v>1.98</v>
      </c>
      <c r="L285">
        <v>32.35</v>
      </c>
      <c r="M285">
        <v>1.41</v>
      </c>
      <c r="N285" t="str">
        <v>80.51%</v>
      </c>
      <c r="O285" t="str">
        <v>455萬</v>
      </c>
      <c r="P285" t="str">
        <v>-27.21</v>
      </c>
      <c r="Q285" t="str">
        <v>+12.28</v>
      </c>
      <c r="R285" t="str">
        <v>+1.09</v>
      </c>
      <c r="S285">
        <v>0</v>
      </c>
      <c r="T285">
        <v>0</v>
      </c>
      <c r="U285">
        <f t="array" ref="U285:AD285">[1]!'3323.TW-ChipsField3,ChipsField1,ChipsField25,CashAndStockDividend,CashDividendYieldRate,ProfitFourSeason,ProfitSingle,CName,ExchangeIndustry,CompanyPos'</f>
        <v>0</v>
      </c>
      <c r="V285">
        <v>38</v>
      </c>
      <c r="W285" t="str">
        <v>2022/07/22</v>
      </c>
      <c r="X285" t="str">
        <v>2.00</v>
      </c>
      <c r="Y285">
        <v>6.18</v>
      </c>
      <c r="Z285" t="str">
        <v>3.00</v>
      </c>
      <c r="AA285" t="str">
        <v>0.97</v>
      </c>
      <c r="AB285" t="str">
        <v>加百裕</v>
      </c>
      <c r="AC285" t="str">
        <v>上櫃電腦及週邊設備</v>
      </c>
      <c r="AD285" t="str">
        <v>台灣三大NB電池模組廠之一</v>
      </c>
      <c r="AE285" t="str">
        <f t="array" ref="AE285:AH285">[1]!'3323.TW-CName,InvestorConferenceDate,DateofMeetingofShareHolders,TradingDate'</f>
        <v>加百裕</v>
      </c>
      <c r="AF285" t="str">
        <v>--</v>
      </c>
      <c r="AG285" t="str">
        <v>2022/06/15</v>
      </c>
      <c r="AH285" t="str">
        <v>2022/08/01</v>
      </c>
    </row>
    <row r="286" spans="1:34" x14ac:dyDescent="0.3">
      <c r="A286" t="str">
        <f t="array" ref="A286:J286">[1]!'3325.TW-ID,Name,MarketValue,Capital,NetIncomeGrowthRate,OperIncomeGrowthRate,FinancialStatementsTime,TFXRatio,MonthlyNetSalesYoY,RevenueMonth'</f>
        <v>3325</v>
      </c>
      <c r="B286" t="str">
        <v>旭品</v>
      </c>
      <c r="C286" t="str">
        <v>10.6</v>
      </c>
      <c r="D286" t="str">
        <v>8.46</v>
      </c>
      <c r="E286" t="str">
        <v>-2903.97</v>
      </c>
      <c r="F286" t="str">
        <v>-3217.74</v>
      </c>
      <c r="G286" t="str">
        <v>2022/03</v>
      </c>
      <c r="H286" t="str">
        <v>-9.27</v>
      </c>
      <c r="I286" t="str">
        <v>19.56</v>
      </c>
      <c r="J286" t="str">
        <v>2022/06</v>
      </c>
      <c r="K286" t="str">
        <f t="array" ref="K286:T286">[1]!'3325.TW-OperatingProfitRatio,Price,PriceChangeRatio,InOutRatioNumber,Value,YearReturn,MonthReturn,WeekReturn,FinanceBalanceDif,ChipsField2'</f>
        <v>-19.68</v>
      </c>
      <c r="L286">
        <v>12.55</v>
      </c>
      <c r="M286">
        <v>1.62</v>
      </c>
      <c r="N286" t="str">
        <v>38.10%</v>
      </c>
      <c r="O286" t="str">
        <v>132萬</v>
      </c>
      <c r="P286" t="str">
        <v>-40.08</v>
      </c>
      <c r="Q286" t="str">
        <v>+6.81</v>
      </c>
      <c r="R286" t="str">
        <v>+2.03</v>
      </c>
      <c r="S286">
        <v>6</v>
      </c>
      <c r="T286">
        <v>0</v>
      </c>
      <c r="U286">
        <f t="array" ref="U286:AD286">[1]!'3325.TW-ChipsField3,ChipsField1,ChipsField25,CashAndStockDividend,CashDividendYieldRate,ProfitFourSeason,ProfitSingle,CName,ExchangeIndustry,CompanyPos'</f>
        <v>0</v>
      </c>
      <c r="V286">
        <v>10</v>
      </c>
      <c r="W286" t="str">
        <v>--</v>
      </c>
      <c r="X286" t="str">
        <v>0.00</v>
      </c>
      <c r="Y286">
        <v>0</v>
      </c>
      <c r="Z286" t="str">
        <v>-1.15</v>
      </c>
      <c r="AA286" t="str">
        <v>-0.43</v>
      </c>
      <c r="AB286" t="str">
        <v>旭品</v>
      </c>
      <c r="AC286" t="str">
        <v>上櫃電腦及週邊設備</v>
      </c>
      <c r="AD286" t="str">
        <v>主要生產電腦機殼及電源供應器</v>
      </c>
      <c r="AE286" t="str">
        <f t="array" ref="AE286:AH286">[1]!'3325.TW-CName,InvestorConferenceDate,DateofMeetingofShareHolders,TradingDate'</f>
        <v>旭品</v>
      </c>
      <c r="AF286" t="str">
        <v>2021/01/14</v>
      </c>
      <c r="AG286" t="str">
        <v>2022/06/30</v>
      </c>
      <c r="AH286" t="str">
        <v>2022/08/01</v>
      </c>
    </row>
    <row r="287" spans="1:34" x14ac:dyDescent="0.3">
      <c r="A287" t="str">
        <f t="array" ref="A287:J287">[1]!'3349.TW-ID,Name,MarketValue,Capital,NetIncomeGrowthRate,OperIncomeGrowthRate,FinancialStatementsTime,TFXRatio,MonthlyNetSalesYoY,RevenueMonth'</f>
        <v>3349</v>
      </c>
      <c r="B287" t="str">
        <v>寶德</v>
      </c>
      <c r="C287" t="str">
        <v>6.1</v>
      </c>
      <c r="D287" t="str">
        <v>3.85</v>
      </c>
      <c r="E287" t="str">
        <v>-115.47</v>
      </c>
      <c r="F287" t="str">
        <v>-140.15</v>
      </c>
      <c r="G287" t="str">
        <v>2022/03</v>
      </c>
      <c r="H287" t="str">
        <v>0.82</v>
      </c>
      <c r="I287" t="str">
        <v>-53.08</v>
      </c>
      <c r="J287" t="str">
        <v>2022/06</v>
      </c>
      <c r="K287" t="str">
        <f t="array" ref="K287:T287">[1]!'3349.TW-OperatingProfitRatio,Price,PriceChangeRatio,InOutRatioNumber,Value,YearReturn,MonthReturn,WeekReturn,FinanceBalanceDif,ChipsField2'</f>
        <v>-3.52</v>
      </c>
      <c r="L287" t="str">
        <v>--</v>
      </c>
      <c r="M287" t="str">
        <v>--</v>
      </c>
      <c r="N287" t="str">
        <v>--</v>
      </c>
      <c r="O287" t="str">
        <v>--</v>
      </c>
      <c r="P287" t="str">
        <v>--</v>
      </c>
      <c r="Q287" t="str">
        <v>-9.20</v>
      </c>
      <c r="R287" t="str">
        <v>+0.64</v>
      </c>
      <c r="S287">
        <v>0</v>
      </c>
      <c r="T287">
        <v>0</v>
      </c>
      <c r="U287">
        <f t="array" ref="U287:AD287">[1]!'3349.TW-ChipsField3,ChipsField1,ChipsField25,CashAndStockDividend,CashDividendYieldRate,ProfitFourSeason,ProfitSingle,CName,ExchangeIndustry,CompanyPos'</f>
        <v>0</v>
      </c>
      <c r="V287">
        <v>0</v>
      </c>
      <c r="W287" t="str">
        <v>--</v>
      </c>
      <c r="X287" t="str">
        <v>1.20</v>
      </c>
      <c r="Y287">
        <v>7.59</v>
      </c>
      <c r="Z287" t="str">
        <v>1.16</v>
      </c>
      <c r="AA287" t="str">
        <v>-0.08</v>
      </c>
      <c r="AB287" t="str">
        <v>寶德</v>
      </c>
      <c r="AC287" t="str">
        <v>上櫃電腦及週邊設備</v>
      </c>
      <c r="AD287" t="str">
        <v>台灣無線光學滑鼠製造商之一</v>
      </c>
      <c r="AE287" t="str">
        <f t="array" ref="AE287:AH287">[1]!'3349.TW-CName,InvestorConferenceDate,DateofMeetingofShareHolders,TradingDate'</f>
        <v>寶德</v>
      </c>
      <c r="AF287" t="str">
        <v>--</v>
      </c>
      <c r="AG287" t="str">
        <v>2022/06/23</v>
      </c>
      <c r="AH287" t="str">
        <v>2022/08/01</v>
      </c>
    </row>
    <row r="288" spans="1:34" x14ac:dyDescent="0.3">
      <c r="A288" t="str">
        <f t="array" ref="A288:J288">[1]!'3479.TW-ID,Name,MarketValue,Capital,NetIncomeGrowthRate,OperIncomeGrowthRate,FinancialStatementsTime,TFXRatio,MonthlyNetSalesYoY,RevenueMonth'</f>
        <v>3479</v>
      </c>
      <c r="B288" t="str">
        <v>安勤</v>
      </c>
      <c r="C288" t="str">
        <v>46.8</v>
      </c>
      <c r="D288" t="str">
        <v>7.11</v>
      </c>
      <c r="E288" t="str">
        <v>399.09</v>
      </c>
      <c r="F288" t="str">
        <v>288.97</v>
      </c>
      <c r="G288" t="str">
        <v>2022/03</v>
      </c>
      <c r="H288" t="str">
        <v>-0.35</v>
      </c>
      <c r="I288" t="str">
        <v>77.29</v>
      </c>
      <c r="J288" t="str">
        <v>2022/06</v>
      </c>
      <c r="K288" t="str">
        <f t="array" ref="K288:T288">[1]!'3479.TW-OperatingProfitRatio,Price,PriceChangeRatio,InOutRatioNumber,Value,YearReturn,MonthReturn,WeekReturn,FinanceBalanceDif,ChipsField2'</f>
        <v>9.21</v>
      </c>
      <c r="L288">
        <v>65.900000000000006</v>
      </c>
      <c r="M288">
        <v>1.23</v>
      </c>
      <c r="N288" t="str">
        <v>68.28%</v>
      </c>
      <c r="O288" t="str">
        <v>2866萬</v>
      </c>
      <c r="P288" t="str">
        <v>+26.76</v>
      </c>
      <c r="Q288" t="str">
        <v>+12.07</v>
      </c>
      <c r="R288" t="str">
        <v>+0.30</v>
      </c>
      <c r="S288">
        <v>4</v>
      </c>
      <c r="T288">
        <v>0</v>
      </c>
      <c r="U288">
        <f t="array" ref="U288:AD288">[1]!'3479.TW-ChipsField3,ChipsField1,ChipsField25,CashAndStockDividend,CashDividendYieldRate,ProfitFourSeason,ProfitSingle,CName,ExchangeIndustry,CompanyPos'</f>
        <v>0</v>
      </c>
      <c r="V288">
        <v>-4</v>
      </c>
      <c r="W288" t="str">
        <v>2022/06/27</v>
      </c>
      <c r="X288" t="str">
        <v>2.58</v>
      </c>
      <c r="Y288">
        <v>3.92</v>
      </c>
      <c r="Z288" t="str">
        <v>4.16</v>
      </c>
      <c r="AA288" t="str">
        <v>1.49</v>
      </c>
      <c r="AB288" t="str">
        <v>安勤</v>
      </c>
      <c r="AC288" t="str">
        <v>上櫃電腦及週邊設備</v>
      </c>
      <c r="AD288" t="str">
        <v>仁寶集團旗下工業電腦廠</v>
      </c>
      <c r="AE288" t="str">
        <f t="array" ref="AE288:AH288">[1]!'3479.TW-CName,InvestorConferenceDate,DateofMeetingofShareHolders,TradingDate'</f>
        <v>安勤</v>
      </c>
      <c r="AF288" t="str">
        <v>2022/04/07</v>
      </c>
      <c r="AG288" t="str">
        <v>2022/06/24</v>
      </c>
      <c r="AH288" t="str">
        <v>2022/08/01</v>
      </c>
    </row>
    <row r="289" spans="1:34" x14ac:dyDescent="0.3">
      <c r="A289" t="str">
        <f t="array" ref="A289:J289">[1]!'3483.TW-ID,Name,MarketValue,Capital,NetIncomeGrowthRate,OperIncomeGrowthRate,FinancialStatementsTime,TFXRatio,MonthlyNetSalesYoY,RevenueMonth'</f>
        <v>3483</v>
      </c>
      <c r="B289" t="str">
        <v>力致</v>
      </c>
      <c r="C289" t="str">
        <v>45.4</v>
      </c>
      <c r="D289" t="str">
        <v>7.80</v>
      </c>
      <c r="E289" t="str">
        <v>172.97</v>
      </c>
      <c r="F289" t="str">
        <v>69.85</v>
      </c>
      <c r="G289" t="str">
        <v>2022/03</v>
      </c>
      <c r="H289" t="str">
        <v>1.88</v>
      </c>
      <c r="I289" t="str">
        <v>14.84</v>
      </c>
      <c r="J289" t="str">
        <v>2022/06</v>
      </c>
      <c r="K289" t="str">
        <f t="array" ref="K289:T289">[1]!'3483.TW-OperatingProfitRatio,Price,PriceChangeRatio,InOutRatioNumber,Value,YearReturn,MonthReturn,WeekReturn,FinanceBalanceDif,ChipsField2'</f>
        <v>6.06</v>
      </c>
      <c r="L289">
        <v>58.2</v>
      </c>
      <c r="M289">
        <v>-0.17</v>
      </c>
      <c r="N289" t="str">
        <v>27.84%</v>
      </c>
      <c r="O289" t="str">
        <v>1030萬</v>
      </c>
      <c r="P289" t="str">
        <v>-29.12</v>
      </c>
      <c r="Q289" t="str">
        <v>+9.91</v>
      </c>
      <c r="R289" t="str">
        <v>-0.85</v>
      </c>
      <c r="S289">
        <v>6</v>
      </c>
      <c r="T289">
        <v>0</v>
      </c>
      <c r="U289">
        <f t="array" ref="U289:AD289">[1]!'3483.TW-ChipsField3,ChipsField1,ChipsField25,CashAndStockDividend,CashDividendYieldRate,ProfitFourSeason,ProfitSingle,CName,ExchangeIndustry,CompanyPos'</f>
        <v>-2</v>
      </c>
      <c r="V289">
        <v>56</v>
      </c>
      <c r="W289" t="str">
        <v>2022/07/22</v>
      </c>
      <c r="X289" t="str">
        <v>3.00</v>
      </c>
      <c r="Y289">
        <v>5.15</v>
      </c>
      <c r="Z289" t="str">
        <v>6.53</v>
      </c>
      <c r="AA289" t="str">
        <v>1.74</v>
      </c>
      <c r="AB289" t="str">
        <v>力致</v>
      </c>
      <c r="AC289" t="str">
        <v>上櫃電腦及週邊設備</v>
      </c>
      <c r="AD289" t="str">
        <v>具風扇及熱導管自製能力的散熱廠商</v>
      </c>
      <c r="AE289" t="str">
        <f t="array" ref="AE289:AH289">[1]!'3483.TW-CName,InvestorConferenceDate,DateofMeetingofShareHolders,TradingDate'</f>
        <v>力致</v>
      </c>
      <c r="AF289" t="str">
        <v>2022/02/21</v>
      </c>
      <c r="AG289" t="str">
        <v>2022/06/21</v>
      </c>
      <c r="AH289" t="str">
        <v>2022/08/01</v>
      </c>
    </row>
    <row r="290" spans="1:34" x14ac:dyDescent="0.3">
      <c r="A290" t="str">
        <f t="array" ref="A290:J290">[1]!'3521.TW-ID,Name,MarketValue,Capital,NetIncomeGrowthRate,OperIncomeGrowthRate,FinancialStatementsTime,TFXRatio,MonthlyNetSalesYoY,RevenueMonth'</f>
        <v>3521</v>
      </c>
      <c r="B290" t="str">
        <v>鴻翊</v>
      </c>
      <c r="C290" t="str">
        <v>7.6</v>
      </c>
      <c r="D290" t="str">
        <v>4.73</v>
      </c>
      <c r="E290" t="str">
        <v>-7195.83</v>
      </c>
      <c r="F290" t="str">
        <v>-1647.12</v>
      </c>
      <c r="G290" t="str">
        <v>2022/03</v>
      </c>
      <c r="H290" t="str">
        <v>16.64</v>
      </c>
      <c r="I290" t="str">
        <v>175.45</v>
      </c>
      <c r="J290" t="str">
        <v>2022/06</v>
      </c>
      <c r="K290" t="str">
        <f t="array" ref="K290:T290">[1]!'3521.TW-OperatingProfitRatio,Price,PriceChangeRatio,InOutRatioNumber,Value,YearReturn,MonthReturn,WeekReturn,FinanceBalanceDif,ChipsField2'</f>
        <v>-22.94</v>
      </c>
      <c r="L290">
        <v>16</v>
      </c>
      <c r="M290">
        <v>-2.14</v>
      </c>
      <c r="N290" t="str">
        <v>30.01%</v>
      </c>
      <c r="O290" t="str">
        <v>3578萬</v>
      </c>
      <c r="P290" t="str">
        <v>+33.89</v>
      </c>
      <c r="Q290" t="str">
        <v>+19.40</v>
      </c>
      <c r="R290" t="str">
        <v>+3.90</v>
      </c>
      <c r="S290">
        <v>-25</v>
      </c>
      <c r="T290">
        <v>0</v>
      </c>
      <c r="U290">
        <f t="array" ref="U290:AD290">[1]!'3521.TW-ChipsField3,ChipsField1,ChipsField25,CashAndStockDividend,CashDividendYieldRate,ProfitFourSeason,ProfitSingle,CName,ExchangeIndustry,CompanyPos'</f>
        <v>0</v>
      </c>
      <c r="V290">
        <v>80</v>
      </c>
      <c r="W290" t="str">
        <v>--</v>
      </c>
      <c r="X290" t="str">
        <v>0.00</v>
      </c>
      <c r="Y290">
        <v>0</v>
      </c>
      <c r="Z290" t="str">
        <v>-2.03</v>
      </c>
      <c r="AA290" t="str">
        <v>-0.34</v>
      </c>
      <c r="AB290" t="str">
        <v>鴻翊</v>
      </c>
      <c r="AC290" t="str">
        <v>上櫃電腦及週邊設備</v>
      </c>
      <c r="AD290" t="str">
        <v>台灣POS硬體系統服務製造商</v>
      </c>
      <c r="AE290" t="str">
        <f t="array" ref="AE290:AH290">[1]!'3521.TW-CName,InvestorConferenceDate,DateofMeetingofShareHolders,TradingDate'</f>
        <v>鴻翊</v>
      </c>
      <c r="AF290" t="str">
        <v>--</v>
      </c>
      <c r="AG290" t="str">
        <v>2022/06/24</v>
      </c>
      <c r="AH290" t="str">
        <v>2022/08/01</v>
      </c>
    </row>
    <row r="291" spans="1:34" x14ac:dyDescent="0.3">
      <c r="A291" t="str">
        <f t="array" ref="A291:J291">[1]!'3540.TW-ID,Name,MarketValue,Capital,NetIncomeGrowthRate,OperIncomeGrowthRate,FinancialStatementsTime,TFXRatio,MonthlyNetSalesYoY,RevenueMonth'</f>
        <v>3540</v>
      </c>
      <c r="B291" t="str">
        <v>曜越</v>
      </c>
      <c r="C291" t="str">
        <v>19.1</v>
      </c>
      <c r="D291" t="str">
        <v>7.31</v>
      </c>
      <c r="E291" t="str">
        <v>-116.03</v>
      </c>
      <c r="F291" t="str">
        <v>-133.59</v>
      </c>
      <c r="G291" t="str">
        <v>2022/03</v>
      </c>
      <c r="H291" t="str">
        <v>34.29</v>
      </c>
      <c r="I291" t="str">
        <v>7.92</v>
      </c>
      <c r="J291" t="str">
        <v>2022/06</v>
      </c>
      <c r="K291" t="str">
        <f t="array" ref="K291:T291">[1]!'3540.TW-OperatingProfitRatio,Price,PriceChangeRatio,InOutRatioNumber,Value,YearReturn,MonthReturn,WeekReturn,FinanceBalanceDif,ChipsField2'</f>
        <v>-8.92</v>
      </c>
      <c r="L291">
        <v>26.1</v>
      </c>
      <c r="M291">
        <v>0.57999999999999996</v>
      </c>
      <c r="N291" t="str">
        <v>40.62%</v>
      </c>
      <c r="O291" t="str">
        <v>166萬</v>
      </c>
      <c r="P291" t="str">
        <v>-42.31</v>
      </c>
      <c r="Q291" t="str">
        <v>+17.04</v>
      </c>
      <c r="R291" t="str">
        <v>-0.19</v>
      </c>
      <c r="S291">
        <v>8</v>
      </c>
      <c r="T291">
        <v>0</v>
      </c>
      <c r="U291">
        <f t="array" ref="U291:AD291">[1]!'3540.TW-ChipsField3,ChipsField1,ChipsField25,CashAndStockDividend,CashDividendYieldRate,ProfitFourSeason,ProfitSingle,CName,ExchangeIndustry,CompanyPos'</f>
        <v>0</v>
      </c>
      <c r="V291">
        <v>67</v>
      </c>
      <c r="W291" t="str">
        <v>2022/07/04</v>
      </c>
      <c r="X291" t="str">
        <v>1.60</v>
      </c>
      <c r="Y291">
        <v>6.13</v>
      </c>
      <c r="Z291" t="str">
        <v>0.74</v>
      </c>
      <c r="AA291" t="str">
        <v>-0.34</v>
      </c>
      <c r="AB291" t="str">
        <v>曜越</v>
      </c>
      <c r="AC291" t="str">
        <v>上櫃電腦及週邊設備</v>
      </c>
      <c r="AD291" t="str">
        <v>專攻Clone遊戲玩家市場之電競週邊設備製造商</v>
      </c>
      <c r="AE291" t="str">
        <f t="array" ref="AE291:AH291">[1]!'3540.TW-CName,InvestorConferenceDate,DateofMeetingofShareHolders,TradingDate'</f>
        <v>曜越</v>
      </c>
      <c r="AF291" t="str">
        <v>--</v>
      </c>
      <c r="AG291" t="str">
        <v>2022/06/16</v>
      </c>
      <c r="AH291" t="str">
        <v>2022/08/01</v>
      </c>
    </row>
    <row r="292" spans="1:34" x14ac:dyDescent="0.3">
      <c r="A292" t="str">
        <f t="array" ref="A292:J292">[1]!'3577.TW-ID,Name,MarketValue,Capital,NetIncomeGrowthRate,OperIncomeGrowthRate,FinancialStatementsTime,TFXRatio,MonthlyNetSalesYoY,RevenueMonth'</f>
        <v>3577</v>
      </c>
      <c r="B292" t="str">
        <v>泓格</v>
      </c>
      <c r="C292" t="str">
        <v>41.5</v>
      </c>
      <c r="D292" t="str">
        <v>5.29</v>
      </c>
      <c r="E292" t="str">
        <v>42.43</v>
      </c>
      <c r="F292" t="str">
        <v>29.45</v>
      </c>
      <c r="G292" t="str">
        <v>2022/03</v>
      </c>
      <c r="H292" t="str">
        <v>52.92</v>
      </c>
      <c r="I292" t="str">
        <v>28.91</v>
      </c>
      <c r="J292" t="str">
        <v>2022/06</v>
      </c>
      <c r="K292" t="str">
        <f t="array" ref="K292:T292">[1]!'3577.TW-OperatingProfitRatio,Price,PriceChangeRatio,InOutRatioNumber,Value,YearReturn,MonthReturn,WeekReturn,FinanceBalanceDif,ChipsField2'</f>
        <v>14.92</v>
      </c>
      <c r="L292">
        <v>78.5</v>
      </c>
      <c r="M292">
        <v>0.26</v>
      </c>
      <c r="N292" t="str">
        <v>92.31%</v>
      </c>
      <c r="O292" t="str">
        <v>204萬</v>
      </c>
      <c r="P292" t="str">
        <v>+82.39</v>
      </c>
      <c r="Q292" t="str">
        <v>+6.66</v>
      </c>
      <c r="R292" t="str">
        <v>+1.16</v>
      </c>
      <c r="S292">
        <v>0</v>
      </c>
      <c r="T292">
        <v>0</v>
      </c>
      <c r="U292">
        <f t="array" ref="U292:AD292">[1]!'3577.TW-ChipsField3,ChipsField1,ChipsField25,CashAndStockDividend,CashDividendYieldRate,ProfitFourSeason,ProfitSingle,CName,ExchangeIndustry,CompanyPos'</f>
        <v>0</v>
      </c>
      <c r="V292">
        <v>0</v>
      </c>
      <c r="W292" t="str">
        <v>--</v>
      </c>
      <c r="X292" t="str">
        <v>2.50</v>
      </c>
      <c r="Y292">
        <v>3.18</v>
      </c>
      <c r="Z292" t="str">
        <v>3.42</v>
      </c>
      <c r="AA292" t="str">
        <v>0.63</v>
      </c>
      <c r="AB292" t="str">
        <v>泓格</v>
      </c>
      <c r="AC292" t="str">
        <v>上櫃電腦及週邊設備</v>
      </c>
      <c r="AD292" t="str">
        <v>專攻PAC遠端控制器的IPC廠</v>
      </c>
      <c r="AE292" t="str">
        <f t="array" ref="AE292:AH292">[1]!'3577.TW-CName,InvestorConferenceDate,DateofMeetingofShareHolders,TradingDate'</f>
        <v>泓格</v>
      </c>
      <c r="AF292" t="str">
        <v>--</v>
      </c>
      <c r="AG292" t="str">
        <v>2022/06/14</v>
      </c>
      <c r="AH292" t="str">
        <v>2022/08/01</v>
      </c>
    </row>
    <row r="293" spans="1:34" x14ac:dyDescent="0.3">
      <c r="A293" t="str">
        <f t="array" ref="A293:J293">[1]!'3594.TW-ID,Name,MarketValue,Capital,NetIncomeGrowthRate,OperIncomeGrowthRate,FinancialStatementsTime,TFXRatio,MonthlyNetSalesYoY,RevenueMonth'</f>
        <v>3594</v>
      </c>
      <c r="B293" t="str">
        <v>磐儀</v>
      </c>
      <c r="C293" t="str">
        <v>26.5</v>
      </c>
      <c r="D293" t="str">
        <v>9.07</v>
      </c>
      <c r="E293" t="str">
        <v>246.36</v>
      </c>
      <c r="F293" t="str">
        <v>76.97</v>
      </c>
      <c r="G293" t="str">
        <v>2022/03</v>
      </c>
      <c r="H293" t="str">
        <v>12.29</v>
      </c>
      <c r="I293" t="str">
        <v>13.48</v>
      </c>
      <c r="J293" t="str">
        <v>2022/06</v>
      </c>
      <c r="K293" t="str">
        <f t="array" ref="K293:T293">[1]!'3594.TW-OperatingProfitRatio,Price,PriceChangeRatio,InOutRatioNumber,Value,YearReturn,MonthReturn,WeekReturn,FinanceBalanceDif,ChipsField2'</f>
        <v>-0.77</v>
      </c>
      <c r="L293">
        <v>29.25</v>
      </c>
      <c r="M293">
        <v>-3.62</v>
      </c>
      <c r="N293" t="str">
        <v>24.45%</v>
      </c>
      <c r="O293" t="str">
        <v>6550萬</v>
      </c>
      <c r="P293" t="str">
        <v>+25.42</v>
      </c>
      <c r="Q293" t="str">
        <v>+26.62</v>
      </c>
      <c r="R293" t="str">
        <v>-2.34</v>
      </c>
      <c r="S293">
        <v>91</v>
      </c>
      <c r="T293">
        <v>0</v>
      </c>
      <c r="U293">
        <f t="array" ref="U293:AD293">[1]!'3594.TW-ChipsField3,ChipsField1,ChipsField25,CashAndStockDividend,CashDividendYieldRate,ProfitFourSeason,ProfitSingle,CName,ExchangeIndustry,CompanyPos'</f>
        <v>0</v>
      </c>
      <c r="V293">
        <v>488</v>
      </c>
      <c r="W293" t="str">
        <v>--</v>
      </c>
      <c r="X293" t="str">
        <v>0.10</v>
      </c>
      <c r="Y293">
        <v>0.34</v>
      </c>
      <c r="Z293" t="str">
        <v>0.60</v>
      </c>
      <c r="AA293" t="str">
        <v>0.18</v>
      </c>
      <c r="AB293" t="str">
        <v>磐儀</v>
      </c>
      <c r="AC293" t="str">
        <v>上櫃電腦及週邊設備</v>
      </c>
      <c r="AD293" t="str">
        <v>專攻系統產品的工業電腦廠</v>
      </c>
      <c r="AE293" t="str">
        <f t="array" ref="AE293:AH293">[1]!'3594.TW-CName,InvestorConferenceDate,DateofMeetingofShareHolders,TradingDate'</f>
        <v>磐儀</v>
      </c>
      <c r="AF293" t="str">
        <v>--</v>
      </c>
      <c r="AG293" t="str">
        <v>2022/06/27</v>
      </c>
      <c r="AH293" t="str">
        <v>2022/08/01</v>
      </c>
    </row>
    <row r="294" spans="1:34" x14ac:dyDescent="0.3">
      <c r="A294" t="str">
        <f t="array" ref="A294:J294">[1]!'3611.TW-ID,Name,MarketValue,Capital,NetIncomeGrowthRate,OperIncomeGrowthRate,FinancialStatementsTime,TFXRatio,MonthlyNetSalesYoY,RevenueMonth'</f>
        <v>3611</v>
      </c>
      <c r="B294" t="str">
        <v>鼎翰</v>
      </c>
      <c r="C294" t="str">
        <v>74.3</v>
      </c>
      <c r="D294" t="str">
        <v>4.25</v>
      </c>
      <c r="E294" t="str">
        <v>-11.34</v>
      </c>
      <c r="F294" t="str">
        <v>-14.13</v>
      </c>
      <c r="G294" t="str">
        <v>2022/03</v>
      </c>
      <c r="H294" t="str">
        <v>6.94</v>
      </c>
      <c r="I294" t="str">
        <v>25.57</v>
      </c>
      <c r="J294" t="str">
        <v>2022/06</v>
      </c>
      <c r="K294" t="str">
        <f t="array" ref="K294:T294">[1]!'3611.TW-OperatingProfitRatio,Price,PriceChangeRatio,InOutRatioNumber,Value,YearReturn,MonthReturn,WeekReturn,FinanceBalanceDif,ChipsField2'</f>
        <v>11.64</v>
      </c>
      <c r="L294">
        <v>175</v>
      </c>
      <c r="M294">
        <v>0.86</v>
      </c>
      <c r="N294" t="str">
        <v>40.00%</v>
      </c>
      <c r="O294" t="str">
        <v>490萬</v>
      </c>
      <c r="P294" t="str">
        <v>-15.55</v>
      </c>
      <c r="Q294" t="str">
        <v>+7.39</v>
      </c>
      <c r="R294" t="str">
        <v>+1.16</v>
      </c>
      <c r="S294">
        <v>1</v>
      </c>
      <c r="T294">
        <v>0</v>
      </c>
      <c r="U294">
        <f t="array" ref="U294:AD294">[1]!'3611.TW-ChipsField3,ChipsField1,ChipsField25,CashAndStockDividend,CashDividendYieldRate,ProfitFourSeason,ProfitSingle,CName,ExchangeIndustry,CompanyPos'</f>
        <v>0</v>
      </c>
      <c r="V294">
        <v>6</v>
      </c>
      <c r="W294" t="str">
        <v>2022/07/21</v>
      </c>
      <c r="X294" t="str">
        <v>11.00</v>
      </c>
      <c r="Y294">
        <v>6.29</v>
      </c>
      <c r="Z294" t="str">
        <v>18.00</v>
      </c>
      <c r="AA294" t="str">
        <v>3.66</v>
      </c>
      <c r="AB294" t="str">
        <v>鼎翰</v>
      </c>
      <c r="AC294" t="str">
        <v>上櫃電腦及週邊設備</v>
      </c>
      <c r="AD294" t="str">
        <v>台半轉投資的台灣最大條碼印表機製造廠</v>
      </c>
      <c r="AE294" t="str">
        <f t="array" ref="AE294:AH294">[1]!'3611.TW-CName,InvestorConferenceDate,DateofMeetingofShareHolders,TradingDate'</f>
        <v>鼎翰</v>
      </c>
      <c r="AF294" t="str">
        <v>2022/05/10</v>
      </c>
      <c r="AG294" t="str">
        <v>2022/06/17</v>
      </c>
      <c r="AH294" t="str">
        <v>2022/08/01</v>
      </c>
    </row>
    <row r="295" spans="1:34" x14ac:dyDescent="0.3">
      <c r="A295" t="str">
        <f t="array" ref="A295:J295">[1]!'3625.TW-ID,Name,MarketValue,Capital,NetIncomeGrowthRate,OperIncomeGrowthRate,FinancialStatementsTime,TFXRatio,MonthlyNetSalesYoY,RevenueMonth'</f>
        <v>3625</v>
      </c>
      <c r="B295" t="str">
        <v>西勝</v>
      </c>
      <c r="C295" t="str">
        <v>18.8</v>
      </c>
      <c r="D295" t="str">
        <v>11.41</v>
      </c>
      <c r="E295" t="str">
        <v>17.25</v>
      </c>
      <c r="F295" t="str">
        <v>58.03</v>
      </c>
      <c r="G295" t="str">
        <v>2022/03</v>
      </c>
      <c r="H295" t="str">
        <v>-33.46</v>
      </c>
      <c r="I295" t="str">
        <v>-32.19</v>
      </c>
      <c r="J295" t="str">
        <v>2022/06</v>
      </c>
      <c r="K295" t="str">
        <f t="array" ref="K295:T295">[1]!'3625.TW-OperatingProfitRatio,Price,PriceChangeRatio,InOutRatioNumber,Value,YearReturn,MonthReturn,WeekReturn,FinanceBalanceDif,ChipsField2'</f>
        <v>-3.94</v>
      </c>
      <c r="L295">
        <v>16.5</v>
      </c>
      <c r="M295">
        <v>-2.65</v>
      </c>
      <c r="N295" t="str">
        <v>28.31%</v>
      </c>
      <c r="O295" t="str">
        <v>2941萬</v>
      </c>
      <c r="P295" t="str">
        <v>-39.67</v>
      </c>
      <c r="Q295" t="str">
        <v>+3.77</v>
      </c>
      <c r="R295" t="str">
        <v>+2.80</v>
      </c>
      <c r="S295">
        <v>-69</v>
      </c>
      <c r="T295">
        <v>0</v>
      </c>
      <c r="U295">
        <f t="array" ref="U295:AD295">[1]!'3625.TW-ChipsField3,ChipsField1,ChipsField25,CashAndStockDividend,CashDividendYieldRate,ProfitFourSeason,ProfitSingle,CName,ExchangeIndustry,CompanyPos'</f>
        <v>0</v>
      </c>
      <c r="V295">
        <v>89</v>
      </c>
      <c r="W295" t="str">
        <v>--</v>
      </c>
      <c r="X295" t="str">
        <v>0.00</v>
      </c>
      <c r="Y295">
        <v>0</v>
      </c>
      <c r="Z295" t="str">
        <v>-1.76</v>
      </c>
      <c r="AA295" t="str">
        <v>-0.48</v>
      </c>
      <c r="AB295" t="str">
        <v>西勝</v>
      </c>
      <c r="AC295" t="str">
        <v>上櫃電腦及週邊設備</v>
      </c>
      <c r="AD295" t="str">
        <v>可攜式產品之電池模組及充電器供應商</v>
      </c>
      <c r="AE295" t="str">
        <f t="array" ref="AE295:AH295">[1]!'3625.TW-CName,InvestorConferenceDate,DateofMeetingofShareHolders,TradingDate'</f>
        <v>西勝</v>
      </c>
      <c r="AF295" t="str">
        <v>--</v>
      </c>
      <c r="AG295" t="str">
        <v>2022/06/15</v>
      </c>
      <c r="AH295" t="str">
        <v>2022/08/01</v>
      </c>
    </row>
    <row r="296" spans="1:34" x14ac:dyDescent="0.3">
      <c r="A296" t="str">
        <f t="array" ref="A296:J296">[1]!'3652.TW-ID,Name,MarketValue,Capital,NetIncomeGrowthRate,OperIncomeGrowthRate,FinancialStatementsTime,TFXRatio,MonthlyNetSalesYoY,RevenueMonth'</f>
        <v>3652</v>
      </c>
      <c r="B296" t="str">
        <v>精聯</v>
      </c>
      <c r="C296" t="str">
        <v>16.3</v>
      </c>
      <c r="D296" t="str">
        <v>7.51</v>
      </c>
      <c r="E296" t="str">
        <v>34.82</v>
      </c>
      <c r="F296" t="str">
        <v>6.39</v>
      </c>
      <c r="G296" t="str">
        <v>2022/03</v>
      </c>
      <c r="H296" t="str">
        <v>-0.27</v>
      </c>
      <c r="I296" t="str">
        <v>6.06</v>
      </c>
      <c r="J296" t="str">
        <v>2022/06</v>
      </c>
      <c r="K296" t="str">
        <f t="array" ref="K296:T296">[1]!'3652.TW-OperatingProfitRatio,Price,PriceChangeRatio,InOutRatioNumber,Value,YearReturn,MonthReturn,WeekReturn,FinanceBalanceDif,ChipsField2'</f>
        <v>6.01</v>
      </c>
      <c r="L296">
        <v>21.7</v>
      </c>
      <c r="M296">
        <v>0.46</v>
      </c>
      <c r="N296" t="str">
        <v>50.00%</v>
      </c>
      <c r="O296" t="str">
        <v>167萬</v>
      </c>
      <c r="P296" t="str">
        <v>+6.00</v>
      </c>
      <c r="Q296" t="str">
        <v>+8.50</v>
      </c>
      <c r="R296" t="str">
        <v>+1.64</v>
      </c>
      <c r="S296">
        <v>-1</v>
      </c>
      <c r="T296">
        <v>0</v>
      </c>
      <c r="U296">
        <f t="array" ref="U296:AD296">[1]!'3652.TW-ChipsField3,ChipsField1,ChipsField25,CashAndStockDividend,CashDividendYieldRate,ProfitFourSeason,ProfitSingle,CName,ExchangeIndustry,CompanyPos'</f>
        <v>0</v>
      </c>
      <c r="V296">
        <v>-1</v>
      </c>
      <c r="W296" t="str">
        <v>2022/06/30</v>
      </c>
      <c r="X296" t="str">
        <v>0.41</v>
      </c>
      <c r="Y296">
        <v>1.89</v>
      </c>
      <c r="Z296" t="str">
        <v>1.06</v>
      </c>
      <c r="AA296" t="str">
        <v>0.32</v>
      </c>
      <c r="AB296" t="str">
        <v>精聯</v>
      </c>
      <c r="AC296" t="str">
        <v>上櫃電腦及週邊設備</v>
      </c>
      <c r="AD296" t="str">
        <v>台灣自動資料收集ADC大廠</v>
      </c>
      <c r="AE296" t="str">
        <f t="array" ref="AE296:AH296">[1]!'3652.TW-CName,InvestorConferenceDate,DateofMeetingofShareHolders,TradingDate'</f>
        <v>精聯</v>
      </c>
      <c r="AF296" t="str">
        <v>--</v>
      </c>
      <c r="AG296" t="str">
        <v>2022/06/08</v>
      </c>
      <c r="AH296" t="str">
        <v>2022/08/01</v>
      </c>
    </row>
    <row r="297" spans="1:34" x14ac:dyDescent="0.3">
      <c r="A297" t="str">
        <f t="array" ref="A297:J297">[1]!'3693.TW-ID,Name,MarketValue,Capital,NetIncomeGrowthRate,OperIncomeGrowthRate,FinancialStatementsTime,TFXRatio,MonthlyNetSalesYoY,RevenueMonth'</f>
        <v>3693</v>
      </c>
      <c r="B297" t="str">
        <v>營邦</v>
      </c>
      <c r="C297" t="str">
        <v>23.1</v>
      </c>
      <c r="D297" t="str">
        <v>3.85</v>
      </c>
      <c r="E297" t="str">
        <v>-24.26</v>
      </c>
      <c r="F297" t="str">
        <v>135.65</v>
      </c>
      <c r="G297" t="str">
        <v>2022/03</v>
      </c>
      <c r="H297" t="str">
        <v>36.54</v>
      </c>
      <c r="I297" t="str">
        <v>79.72</v>
      </c>
      <c r="J297" t="str">
        <v>2022/06</v>
      </c>
      <c r="K297" t="str">
        <f t="array" ref="K297:T297">[1]!'3693.TW-OperatingProfitRatio,Price,PriceChangeRatio,InOutRatioNumber,Value,YearReturn,MonthReturn,WeekReturn,FinanceBalanceDif,ChipsField2'</f>
        <v>1.49</v>
      </c>
      <c r="L297">
        <v>59.9</v>
      </c>
      <c r="M297">
        <v>0</v>
      </c>
      <c r="N297" t="str">
        <v>49.77%</v>
      </c>
      <c r="O297" t="str">
        <v>1395萬</v>
      </c>
      <c r="P297" t="str">
        <v>+40.22</v>
      </c>
      <c r="Q297" t="str">
        <v>+35.67</v>
      </c>
      <c r="R297" t="str">
        <v>+4.72</v>
      </c>
      <c r="S297">
        <v>83</v>
      </c>
      <c r="T297">
        <v>0</v>
      </c>
      <c r="U297">
        <f t="array" ref="U297:AD297">[1]!'3693.TW-ChipsField3,ChipsField1,ChipsField25,CashAndStockDividend,CashDividendYieldRate,ProfitFourSeason,ProfitSingle,CName,ExchangeIndustry,CompanyPos'</f>
        <v>0</v>
      </c>
      <c r="V297">
        <v>45</v>
      </c>
      <c r="W297" t="str">
        <v>--</v>
      </c>
      <c r="X297" t="str">
        <v>1.50</v>
      </c>
      <c r="Y297">
        <v>2.5</v>
      </c>
      <c r="Z297" t="str">
        <v>2.94</v>
      </c>
      <c r="AA297" t="str">
        <v>0.42</v>
      </c>
      <c r="AB297" t="str">
        <v>營邦</v>
      </c>
      <c r="AC297" t="str">
        <v>上櫃電腦及週邊設備</v>
      </c>
      <c r="AD297" t="str">
        <v>台灣伺服器及工業電腦之機殼廠</v>
      </c>
      <c r="AE297" t="str">
        <f t="array" ref="AE297:AH297">[1]!'3693.TW-CName,InvestorConferenceDate,DateofMeetingofShareHolders,TradingDate'</f>
        <v>營邦</v>
      </c>
      <c r="AF297" t="str">
        <v>--</v>
      </c>
      <c r="AG297" t="str">
        <v>2022/06/22</v>
      </c>
      <c r="AH297" t="str">
        <v>2022/08/01</v>
      </c>
    </row>
    <row r="298" spans="1:34" x14ac:dyDescent="0.3">
      <c r="A298" t="str">
        <f t="array" ref="A298:J298">[1]!'3709.TW-ID,Name,MarketValue,Capital,NetIncomeGrowthRate,OperIncomeGrowthRate,FinancialStatementsTime,TFXRatio,MonthlyNetSalesYoY,RevenueMonth'</f>
        <v>3709</v>
      </c>
      <c r="B298" t="str">
        <v>鑫聯大投控</v>
      </c>
      <c r="C298" t="str">
        <v>27.6</v>
      </c>
      <c r="D298" t="str">
        <v>10.06</v>
      </c>
      <c r="E298" t="str">
        <v>11.81</v>
      </c>
      <c r="F298" t="str">
        <v>20.34</v>
      </c>
      <c r="G298" t="str">
        <v>2022/03</v>
      </c>
      <c r="H298" t="str">
        <v>12.41</v>
      </c>
      <c r="I298" t="str">
        <v>22.48</v>
      </c>
      <c r="J298" t="str">
        <v>2022/06</v>
      </c>
      <c r="K298" t="str">
        <f t="array" ref="K298:T298">[1]!'3709.TW-OperatingProfitRatio,Price,PriceChangeRatio,InOutRatioNumber,Value,YearReturn,MonthReturn,WeekReturn,FinanceBalanceDif,ChipsField2'</f>
        <v>2.73</v>
      </c>
      <c r="L298">
        <v>27.4</v>
      </c>
      <c r="M298">
        <v>0.18</v>
      </c>
      <c r="N298" t="str">
        <v>25.00%</v>
      </c>
      <c r="O298" t="str">
        <v>11.0萬</v>
      </c>
      <c r="P298" t="str">
        <v>+8.41</v>
      </c>
      <c r="Q298" t="str">
        <v>+3.03</v>
      </c>
      <c r="R298" t="str">
        <v>-3.52</v>
      </c>
      <c r="S298">
        <v>-24</v>
      </c>
      <c r="T298">
        <v>0</v>
      </c>
      <c r="U298">
        <f t="array" ref="U298:AD298">[1]!'3709.TW-ChipsField3,ChipsField1,ChipsField25,CashAndStockDividend,CashDividendYieldRate,ProfitFourSeason,ProfitSingle,CName,ExchangeIndustry,CompanyPos'</f>
        <v>-5</v>
      </c>
      <c r="V298">
        <v>1</v>
      </c>
      <c r="W298" t="str">
        <v>2022/07/07</v>
      </c>
      <c r="X298" t="str">
        <v>1.60</v>
      </c>
      <c r="Y298">
        <v>5.84</v>
      </c>
      <c r="Z298" t="str">
        <v>4.60</v>
      </c>
      <c r="AA298" t="str">
        <v>1.10</v>
      </c>
      <c r="AB298" t="str">
        <v>鑫聯大投控</v>
      </c>
      <c r="AC298" t="str">
        <v>上櫃電腦及週邊設備</v>
      </c>
      <c r="AD298" t="str">
        <v>台灣主要資訊通訊通路代理商之一</v>
      </c>
      <c r="AE298" t="str">
        <f t="array" ref="AE298:AH298">[1]!'3709.TW-CName,InvestorConferenceDate,DateofMeetingofShareHolders,TradingDate'</f>
        <v>鑫聯大投控</v>
      </c>
      <c r="AF298" t="str">
        <v>2022/05/27</v>
      </c>
      <c r="AG298" t="str">
        <v>2022/06/16</v>
      </c>
      <c r="AH298" t="str">
        <v>2022/08/01</v>
      </c>
    </row>
    <row r="299" spans="1:34" x14ac:dyDescent="0.3">
      <c r="A299" t="str">
        <f t="array" ref="A299:J299">[1]!'4924.TW-ID,Name,MarketValue,Capital,NetIncomeGrowthRate,OperIncomeGrowthRate,FinancialStatementsTime,TFXRatio,MonthlyNetSalesYoY,RevenueMonth'</f>
        <v>4924</v>
      </c>
      <c r="B299" t="str">
        <v>欣厚-KY</v>
      </c>
      <c r="C299" t="str">
        <v>5.3</v>
      </c>
      <c r="D299" t="str">
        <v>3.72</v>
      </c>
      <c r="E299" t="str">
        <v>47.06</v>
      </c>
      <c r="F299" t="str">
        <v>62.34</v>
      </c>
      <c r="G299" t="str">
        <v>2022/03</v>
      </c>
      <c r="H299" t="str">
        <v>46.94</v>
      </c>
      <c r="I299" t="str">
        <v>54.01</v>
      </c>
      <c r="J299" t="str">
        <v>2022/06</v>
      </c>
      <c r="K299" t="str">
        <f t="array" ref="K299:T299">[1]!'4924.TW-OperatingProfitRatio,Price,PriceChangeRatio,InOutRatioNumber,Value,YearReturn,MonthReturn,WeekReturn,FinanceBalanceDif,ChipsField2'</f>
        <v>6.56</v>
      </c>
      <c r="L299">
        <v>14.15</v>
      </c>
      <c r="M299">
        <v>0</v>
      </c>
      <c r="N299" t="str">
        <v>75.00%</v>
      </c>
      <c r="O299" t="str">
        <v>5.64萬</v>
      </c>
      <c r="P299" t="str">
        <v>+1.07</v>
      </c>
      <c r="Q299" t="str">
        <v>+1.80</v>
      </c>
      <c r="R299" t="str">
        <v>-0.35</v>
      </c>
      <c r="S299">
        <v>0</v>
      </c>
      <c r="T299">
        <v>0</v>
      </c>
      <c r="U299">
        <f t="array" ref="U299:AD299">[1]!'4924.TW-ChipsField3,ChipsField1,ChipsField25,CashAndStockDividend,CashDividendYieldRate,ProfitFourSeason,ProfitSingle,CName,ExchangeIndustry,CompanyPos'</f>
        <v>0</v>
      </c>
      <c r="V299">
        <v>3</v>
      </c>
      <c r="W299" t="str">
        <v>--</v>
      </c>
      <c r="X299" t="str">
        <v>0.00</v>
      </c>
      <c r="Y299">
        <v>0</v>
      </c>
      <c r="Z299" t="str">
        <v>1.08</v>
      </c>
      <c r="AA299" t="str">
        <v>0.34</v>
      </c>
      <c r="AB299" t="str">
        <v>欣厚-KY</v>
      </c>
      <c r="AC299" t="str">
        <v>上櫃電腦及週邊設備</v>
      </c>
      <c r="AD299" t="str">
        <v>馬來西亞鍵盤週邊及音響面板塑膠件生產企業</v>
      </c>
      <c r="AE299" t="str">
        <f t="array" ref="AE299:AH299">[1]!'4924.TW-CName,InvestorConferenceDate,DateofMeetingofShareHolders,TradingDate'</f>
        <v>欣厚-KY</v>
      </c>
      <c r="AF299" t="str">
        <v>2021/12/30</v>
      </c>
      <c r="AG299" t="str">
        <v>2022/06/30</v>
      </c>
      <c r="AH299" t="str">
        <v>2022/08/01</v>
      </c>
    </row>
    <row r="300" spans="1:34" x14ac:dyDescent="0.3">
      <c r="A300" t="str">
        <f t="array" ref="A300:J300">[1]!'4931.TW-ID,Name,MarketValue,Capital,NetIncomeGrowthRate,OperIncomeGrowthRate,FinancialStatementsTime,TFXRatio,MonthlyNetSalesYoY,RevenueMonth'</f>
        <v>4931</v>
      </c>
      <c r="B300" t="str">
        <v>新盛力</v>
      </c>
      <c r="C300" t="str">
        <v>22.7</v>
      </c>
      <c r="D300" t="str">
        <v>6.40</v>
      </c>
      <c r="E300" t="str">
        <v>324.38</v>
      </c>
      <c r="F300" t="str">
        <v>151.43</v>
      </c>
      <c r="G300" t="str">
        <v>2022/03</v>
      </c>
      <c r="H300" t="str">
        <v>-14.38</v>
      </c>
      <c r="I300" t="str">
        <v>43.19</v>
      </c>
      <c r="J300" t="str">
        <v>2022/06</v>
      </c>
      <c r="K300" t="str">
        <f t="array" ref="K300:T300">[1]!'4931.TW-OperatingProfitRatio,Price,PriceChangeRatio,InOutRatioNumber,Value,YearReturn,MonthReturn,WeekReturn,FinanceBalanceDif,ChipsField2'</f>
        <v>4.22</v>
      </c>
      <c r="L300">
        <v>35.549999999999997</v>
      </c>
      <c r="M300">
        <v>5.65</v>
      </c>
      <c r="N300" t="str">
        <v>54.39%</v>
      </c>
      <c r="O300" t="str">
        <v>6.46億</v>
      </c>
      <c r="P300" t="str">
        <v>+69.42</v>
      </c>
      <c r="Q300" t="str">
        <v>+1.72</v>
      </c>
      <c r="R300" t="str">
        <v>+8.72</v>
      </c>
      <c r="S300">
        <v>133</v>
      </c>
      <c r="T300">
        <v>0</v>
      </c>
      <c r="U300">
        <f t="array" ref="U300:AD300">[1]!'4931.TW-ChipsField3,ChipsField1,ChipsField25,CashAndStockDividend,CashDividendYieldRate,ProfitFourSeason,ProfitSingle,CName,ExchangeIndustry,CompanyPos'</f>
        <v>-1</v>
      </c>
      <c r="V300">
        <v>906</v>
      </c>
      <c r="W300" t="str">
        <v>--</v>
      </c>
      <c r="X300" t="str">
        <v>0.00</v>
      </c>
      <c r="Y300">
        <v>0</v>
      </c>
      <c r="Z300" t="str">
        <v>-0.17</v>
      </c>
      <c r="AA300" t="str">
        <v>0.60</v>
      </c>
      <c r="AB300" t="str">
        <v>新盛力</v>
      </c>
      <c r="AC300" t="str">
        <v>上櫃電腦及週邊設備</v>
      </c>
      <c r="AD300" t="str">
        <v>台灣鋰電池模組之生產商</v>
      </c>
      <c r="AE300" t="str">
        <f t="array" ref="AE300:AH300">[1]!'4931.TW-CName,InvestorConferenceDate,DateofMeetingofShareHolders,TradingDate'</f>
        <v>新盛力</v>
      </c>
      <c r="AF300" t="str">
        <v>--</v>
      </c>
      <c r="AG300" t="str">
        <v>2022/09/07</v>
      </c>
      <c r="AH300" t="str">
        <v>2022/08/01</v>
      </c>
    </row>
    <row r="301" spans="1:34" x14ac:dyDescent="0.3">
      <c r="A301" t="str">
        <f t="array" ref="A301:J301">[1]!'4987.TW-ID,Name,MarketValue,Capital,NetIncomeGrowthRate,OperIncomeGrowthRate,FinancialStatementsTime,TFXRatio,MonthlyNetSalesYoY,RevenueMonth'</f>
        <v>4987</v>
      </c>
      <c r="B301" t="str">
        <v>科誠</v>
      </c>
      <c r="C301" t="str">
        <v>17.0</v>
      </c>
      <c r="D301" t="str">
        <v>2.90</v>
      </c>
      <c r="E301" t="str">
        <v>102.74</v>
      </c>
      <c r="F301" t="str">
        <v>62.15</v>
      </c>
      <c r="G301" t="str">
        <v>2022/03</v>
      </c>
      <c r="H301" t="str">
        <v>-6.74</v>
      </c>
      <c r="I301" t="str">
        <v>2.82</v>
      </c>
      <c r="J301" t="str">
        <v>2022/06</v>
      </c>
      <c r="K301" t="str">
        <f t="array" ref="K301:T301">[1]!'4987.TW-OperatingProfitRatio,Price,PriceChangeRatio,InOutRatioNumber,Value,YearReturn,MonthReturn,WeekReturn,FinanceBalanceDif,ChipsField2'</f>
        <v>16.41</v>
      </c>
      <c r="L301">
        <v>58.8</v>
      </c>
      <c r="M301">
        <v>0.17</v>
      </c>
      <c r="N301" t="str">
        <v>17.14%</v>
      </c>
      <c r="O301" t="str">
        <v>411萬</v>
      </c>
      <c r="P301" t="str">
        <v>+21.11</v>
      </c>
      <c r="Q301" t="str">
        <v>-1.01</v>
      </c>
      <c r="R301" t="str">
        <v>-0.84</v>
      </c>
      <c r="S301">
        <v>0</v>
      </c>
      <c r="T301">
        <v>0</v>
      </c>
      <c r="U301">
        <f t="array" ref="U301:AD301">[1]!'4987.TW-ChipsField3,ChipsField1,ChipsField25,CashAndStockDividend,CashDividendYieldRate,ProfitFourSeason,ProfitSingle,CName,ExchangeIndustry,CompanyPos'</f>
        <v>0</v>
      </c>
      <c r="V301">
        <v>0</v>
      </c>
      <c r="W301" t="str">
        <v>2022/08/08</v>
      </c>
      <c r="X301" t="str">
        <v>4.00</v>
      </c>
      <c r="Y301">
        <v>6.8</v>
      </c>
      <c r="Z301" t="str">
        <v>5.72</v>
      </c>
      <c r="AA301" t="str">
        <v>1.84</v>
      </c>
      <c r="AB301" t="str">
        <v>科誠</v>
      </c>
      <c r="AC301" t="str">
        <v>上櫃電腦及週邊設備</v>
      </c>
      <c r="AD301" t="str">
        <v>台灣第二大條碼標籤印製機製造商</v>
      </c>
      <c r="AE301" t="str">
        <f t="array" ref="AE301:AH301">[1]!'4987.TW-CName,InvestorConferenceDate,DateofMeetingofShareHolders,TradingDate'</f>
        <v>科誠</v>
      </c>
      <c r="AF301" t="str">
        <v>--</v>
      </c>
      <c r="AG301" t="str">
        <v>2022/06/22</v>
      </c>
      <c r="AH301" t="str">
        <v>2022/08/01</v>
      </c>
    </row>
    <row r="302" spans="1:34" x14ac:dyDescent="0.3">
      <c r="A302" t="str">
        <f t="array" ref="A302:J302">[1]!'5223.TW-ID,Name,MarketValue,Capital,NetIncomeGrowthRate,OperIncomeGrowthRate,FinancialStatementsTime,TFXRatio,MonthlyNetSalesYoY,RevenueMonth'</f>
        <v>5223</v>
      </c>
      <c r="B302" t="str">
        <v>安力-KY</v>
      </c>
      <c r="C302" t="str">
        <v>21.0</v>
      </c>
      <c r="D302" t="str">
        <v>4.45</v>
      </c>
      <c r="E302" t="str">
        <v>-17.95</v>
      </c>
      <c r="F302" t="str">
        <v>-14.14</v>
      </c>
      <c r="G302" t="str">
        <v>2022/03</v>
      </c>
      <c r="H302" t="str">
        <v>-9.83</v>
      </c>
      <c r="I302" t="str">
        <v>55.29</v>
      </c>
      <c r="J302" t="str">
        <v>2022/06</v>
      </c>
      <c r="K302" t="str">
        <f t="array" ref="K302:T302">[1]!'5223.TW-OperatingProfitRatio,Price,PriceChangeRatio,InOutRatioNumber,Value,YearReturn,MonthReturn,WeekReturn,FinanceBalanceDif,ChipsField2'</f>
        <v>14.03</v>
      </c>
      <c r="L302">
        <v>47.2</v>
      </c>
      <c r="M302">
        <v>-0.42</v>
      </c>
      <c r="N302" t="str">
        <v>35.29%</v>
      </c>
      <c r="O302" t="str">
        <v>84.7萬</v>
      </c>
      <c r="P302" t="str">
        <v>-14.37</v>
      </c>
      <c r="Q302" t="str">
        <v>+4.54</v>
      </c>
      <c r="R302" t="str">
        <v>-0.63</v>
      </c>
      <c r="S302">
        <v>-43</v>
      </c>
      <c r="T302">
        <v>0</v>
      </c>
      <c r="U302">
        <f t="array" ref="U302:AD302">[1]!'5223.TW-ChipsField3,ChipsField1,ChipsField25,CashAndStockDividend,CashDividendYieldRate,ProfitFourSeason,ProfitSingle,CName,ExchangeIndustry,CompanyPos'</f>
        <v>0</v>
      </c>
      <c r="V302">
        <v>1</v>
      </c>
      <c r="W302" t="str">
        <v>2022/08/11</v>
      </c>
      <c r="X302" t="str">
        <v>2.70</v>
      </c>
      <c r="Y302">
        <v>5.72</v>
      </c>
      <c r="Z302" t="str">
        <v>4.90</v>
      </c>
      <c r="AA302" t="str">
        <v>1.35</v>
      </c>
      <c r="AB302" t="str">
        <v>安力-KY</v>
      </c>
      <c r="AC302" t="str">
        <v>上櫃電腦及週邊設備</v>
      </c>
      <c r="AD302" t="str">
        <v>行動裝置散熱及機構件廠商</v>
      </c>
      <c r="AE302" t="str">
        <f t="array" ref="AE302:AH302">[1]!'5223.TW-CName,InvestorConferenceDate,DateofMeetingofShareHolders,TradingDate'</f>
        <v>安力-KY</v>
      </c>
      <c r="AF302" t="str">
        <v>2022/03/21</v>
      </c>
      <c r="AG302" t="str">
        <v>2022/05/26</v>
      </c>
      <c r="AH302" t="str">
        <v>2022/08/01</v>
      </c>
    </row>
    <row r="303" spans="1:34" x14ac:dyDescent="0.3">
      <c r="A303" t="str">
        <f t="array" ref="A303:J303">[1]!'5289.TW-ID,Name,MarketValue,Capital,NetIncomeGrowthRate,OperIncomeGrowthRate,FinancialStatementsTime,TFXRatio,MonthlyNetSalesYoY,RevenueMonth'</f>
        <v>5289</v>
      </c>
      <c r="B303" t="str">
        <v>宜鼎</v>
      </c>
      <c r="C303" t="str">
        <v>148.2</v>
      </c>
      <c r="D303" t="str">
        <v>8.64</v>
      </c>
      <c r="E303" t="str">
        <v>49.23</v>
      </c>
      <c r="F303" t="str">
        <v>32.75</v>
      </c>
      <c r="G303" t="str">
        <v>2022/03</v>
      </c>
      <c r="H303" t="str">
        <v>-3.53</v>
      </c>
      <c r="I303" t="str">
        <v>-12.90</v>
      </c>
      <c r="J303" t="str">
        <v>2022/06</v>
      </c>
      <c r="K303" t="str">
        <f t="array" ref="K303:T303">[1]!'5289.TW-OperatingProfitRatio,Price,PriceChangeRatio,InOutRatioNumber,Value,YearReturn,MonthReturn,WeekReturn,FinanceBalanceDif,ChipsField2'</f>
        <v>16.32</v>
      </c>
      <c r="L303">
        <v>171.5</v>
      </c>
      <c r="M303">
        <v>1.78</v>
      </c>
      <c r="N303" t="str">
        <v>66.15%</v>
      </c>
      <c r="O303" t="str">
        <v>3366萬</v>
      </c>
      <c r="P303" t="str">
        <v>-19.07</v>
      </c>
      <c r="Q303" t="str">
        <v>+17.70</v>
      </c>
      <c r="R303" t="str">
        <v>+5.83</v>
      </c>
      <c r="S303">
        <v>-16</v>
      </c>
      <c r="T303">
        <v>0</v>
      </c>
      <c r="U303">
        <f t="array" ref="U303:AD303">[1]!'5289.TW-ChipsField3,ChipsField1,ChipsField25,CashAndStockDividend,CashDividendYieldRate,ProfitFourSeason,ProfitSingle,CName,ExchangeIndustry,CompanyPos'</f>
        <v>0</v>
      </c>
      <c r="V303">
        <v>64</v>
      </c>
      <c r="W303" t="str">
        <v>2022/07/29</v>
      </c>
      <c r="X303" t="str">
        <v>11.82</v>
      </c>
      <c r="Y303">
        <v>6.89</v>
      </c>
      <c r="Z303" t="str">
        <v>20.41</v>
      </c>
      <c r="AA303" t="str">
        <v>4.64</v>
      </c>
      <c r="AB303" t="str">
        <v>宜鼎</v>
      </c>
      <c r="AC303" t="str">
        <v>上櫃電腦及週邊設備</v>
      </c>
      <c r="AD303" t="str">
        <v>台灣專攻工業用嵌入式儲存裝置供應商</v>
      </c>
      <c r="AE303" t="str">
        <f t="array" ref="AE303:AH303">[1]!'5289.TW-CName,InvestorConferenceDate,DateofMeetingofShareHolders,TradingDate'</f>
        <v>宜鼎</v>
      </c>
      <c r="AF303" t="str">
        <v>2022/04/11</v>
      </c>
      <c r="AG303" t="str">
        <v>2022/05/31</v>
      </c>
      <c r="AH303" t="str">
        <v>2022/08/01</v>
      </c>
    </row>
    <row r="304" spans="1:34" x14ac:dyDescent="0.3">
      <c r="A304" t="str">
        <f t="array" ref="A304:J304">[1]!'5356.TW-ID,Name,MarketValue,Capital,NetIncomeGrowthRate,OperIncomeGrowthRate,FinancialStatementsTime,TFXRatio,MonthlyNetSalesYoY,RevenueMonth'</f>
        <v>5356</v>
      </c>
      <c r="B304" t="str">
        <v>協益</v>
      </c>
      <c r="C304" t="str">
        <v>23.3</v>
      </c>
      <c r="D304" t="str">
        <v>10.30</v>
      </c>
      <c r="E304" t="str">
        <v>-800.06</v>
      </c>
      <c r="F304" t="str">
        <v>-202.49</v>
      </c>
      <c r="G304" t="str">
        <v>2022/03</v>
      </c>
      <c r="H304" t="str">
        <v>22.13</v>
      </c>
      <c r="I304" t="str">
        <v>6.41</v>
      </c>
      <c r="J304" t="str">
        <v>2022/06</v>
      </c>
      <c r="K304" t="str">
        <f t="array" ref="K304:T304">[1]!'5356.TW-OperatingProfitRatio,Price,PriceChangeRatio,InOutRatioNumber,Value,YearReturn,MonthReturn,WeekReturn,FinanceBalanceDif,ChipsField2'</f>
        <v>-7.15</v>
      </c>
      <c r="L304">
        <v>22.65</v>
      </c>
      <c r="M304">
        <v>0.22</v>
      </c>
      <c r="N304" t="str">
        <v>70.27%</v>
      </c>
      <c r="O304" t="str">
        <v>85.9萬</v>
      </c>
      <c r="P304" t="str">
        <v>-12.40</v>
      </c>
      <c r="Q304" t="str">
        <v>+2.36</v>
      </c>
      <c r="R304" t="str">
        <v>+1.12</v>
      </c>
      <c r="S304">
        <v>8</v>
      </c>
      <c r="T304">
        <v>0</v>
      </c>
      <c r="U304">
        <f t="array" ref="U304:AD304">[1]!'5356.TW-ChipsField3,ChipsField1,ChipsField25,CashAndStockDividend,CashDividendYieldRate,ProfitFourSeason,ProfitSingle,CName,ExchangeIndustry,CompanyPos'</f>
        <v>0</v>
      </c>
      <c r="V304">
        <v>1</v>
      </c>
      <c r="W304" t="str">
        <v>2022/07/14</v>
      </c>
      <c r="X304" t="str">
        <v>1.30</v>
      </c>
      <c r="Y304">
        <v>5.74</v>
      </c>
      <c r="Z304" t="str">
        <v>-0.66</v>
      </c>
      <c r="AA304" t="str">
        <v>-0.30</v>
      </c>
      <c r="AB304" t="str">
        <v>協益</v>
      </c>
      <c r="AC304" t="str">
        <v>上櫃電腦及週邊設備</v>
      </c>
      <c r="AD304" t="str">
        <v>經營電子零組件與周邊業之廠商</v>
      </c>
      <c r="AE304" t="str">
        <f t="array" ref="AE304:AH304">[1]!'5356.TW-CName,InvestorConferenceDate,DateofMeetingofShareHolders,TradingDate'</f>
        <v>協益</v>
      </c>
      <c r="AF304" t="str">
        <v>--</v>
      </c>
      <c r="AG304" t="str">
        <v>2022/06/09</v>
      </c>
      <c r="AH304" t="str">
        <v>2022/08/01</v>
      </c>
    </row>
    <row r="305" spans="1:34" x14ac:dyDescent="0.3">
      <c r="A305" t="str">
        <f t="array" ref="A305:J305">[1]!'5386.TW-ID,Name,MarketValue,Capital,NetIncomeGrowthRate,OperIncomeGrowthRate,FinancialStatementsTime,TFXRatio,MonthlyNetSalesYoY,RevenueMonth'</f>
        <v>5386</v>
      </c>
      <c r="B305" t="str">
        <v>青雲</v>
      </c>
      <c r="C305" t="str">
        <v>10.0</v>
      </c>
      <c r="D305" t="str">
        <v>2.68</v>
      </c>
      <c r="E305" t="str">
        <v>-11.27</v>
      </c>
      <c r="F305" t="str">
        <v>41.77</v>
      </c>
      <c r="G305" t="str">
        <v>2022/03</v>
      </c>
      <c r="H305" t="str">
        <v>-41.16</v>
      </c>
      <c r="I305" t="str">
        <v>-3.06</v>
      </c>
      <c r="J305" t="str">
        <v>2022/06</v>
      </c>
      <c r="K305" t="str">
        <f t="array" ref="K305:T305">[1]!'5386.TW-OperatingProfitRatio,Price,PriceChangeRatio,InOutRatioNumber,Value,YearReturn,MonthReturn,WeekReturn,FinanceBalanceDif,ChipsField2'</f>
        <v>2.31</v>
      </c>
      <c r="L305">
        <v>37.5</v>
      </c>
      <c r="M305">
        <v>-6.02</v>
      </c>
      <c r="N305" t="str">
        <v>28.12%</v>
      </c>
      <c r="O305" t="str">
        <v>2881萬</v>
      </c>
      <c r="P305" t="str">
        <v>-6.80</v>
      </c>
      <c r="Q305" t="str">
        <v>+33.59</v>
      </c>
      <c r="R305" t="str">
        <v>+0.40</v>
      </c>
      <c r="S305">
        <v>1</v>
      </c>
      <c r="T305">
        <v>0</v>
      </c>
      <c r="U305">
        <f t="array" ref="U305:AD305">[1]!'5386.TW-ChipsField3,ChipsField1,ChipsField25,CashAndStockDividend,CashDividendYieldRate,ProfitFourSeason,ProfitSingle,CName,ExchangeIndustry,CompanyPos'</f>
        <v>0</v>
      </c>
      <c r="V305">
        <v>42</v>
      </c>
      <c r="W305" t="str">
        <v>2022/07/13</v>
      </c>
      <c r="X305" t="str">
        <v>1.20</v>
      </c>
      <c r="Y305">
        <v>3.2</v>
      </c>
      <c r="Z305" t="str">
        <v>2.32</v>
      </c>
      <c r="AA305" t="str">
        <v>0.54</v>
      </c>
      <c r="AB305" t="str">
        <v>青雲</v>
      </c>
      <c r="AC305" t="str">
        <v>上櫃電腦及週邊設備</v>
      </c>
      <c r="AD305" t="str">
        <v>高階伺服器記憶體模組及板卡提供商</v>
      </c>
      <c r="AE305" t="str">
        <f t="array" ref="AE305:AH305">[1]!'5386.TW-CName,InvestorConferenceDate,DateofMeetingofShareHolders,TradingDate'</f>
        <v>青雲</v>
      </c>
      <c r="AF305" t="str">
        <v>--</v>
      </c>
      <c r="AG305" t="str">
        <v>2022/06/09</v>
      </c>
      <c r="AH305" t="str">
        <v>2022/08/01</v>
      </c>
    </row>
    <row r="306" spans="1:34" x14ac:dyDescent="0.3">
      <c r="A306" t="str">
        <f t="array" ref="A306:J306">[1]!'5426.TW-ID,Name,MarketValue,Capital,NetIncomeGrowthRate,OperIncomeGrowthRate,FinancialStatementsTime,TFXRatio,MonthlyNetSalesYoY,RevenueMonth'</f>
        <v>5426</v>
      </c>
      <c r="B306" t="str">
        <v>振發</v>
      </c>
      <c r="C306" t="str">
        <v>18.5</v>
      </c>
      <c r="D306" t="str">
        <v>14.38</v>
      </c>
      <c r="E306" t="str">
        <v>254.03</v>
      </c>
      <c r="F306" t="str">
        <v>22.40</v>
      </c>
      <c r="G306" t="str">
        <v>2022/03</v>
      </c>
      <c r="H306" t="str">
        <v>17.22</v>
      </c>
      <c r="I306" t="str">
        <v>46.28</v>
      </c>
      <c r="J306" t="str">
        <v>2022/06</v>
      </c>
      <c r="K306" t="str">
        <f t="array" ref="K306:T306">[1]!'5426.TW-OperatingProfitRatio,Price,PriceChangeRatio,InOutRatioNumber,Value,YearReturn,MonthReturn,WeekReturn,FinanceBalanceDif,ChipsField2'</f>
        <v>-3.56</v>
      </c>
      <c r="L306">
        <v>12.85</v>
      </c>
      <c r="M306">
        <v>-2.65</v>
      </c>
      <c r="N306" t="str">
        <v>21.37%</v>
      </c>
      <c r="O306" t="str">
        <v>1112萬</v>
      </c>
      <c r="P306" t="str">
        <v>+22.97</v>
      </c>
      <c r="Q306" t="str">
        <v>+20.66</v>
      </c>
      <c r="R306" t="str">
        <v>+1.58</v>
      </c>
      <c r="S306">
        <v>7</v>
      </c>
      <c r="T306">
        <v>0</v>
      </c>
      <c r="U306">
        <f t="array" ref="U306:AD306">[1]!'5426.TW-ChipsField3,ChipsField1,ChipsField25,CashAndStockDividend,CashDividendYieldRate,ProfitFourSeason,ProfitSingle,CName,ExchangeIndustry,CompanyPos'</f>
        <v>0</v>
      </c>
      <c r="V306">
        <v>151</v>
      </c>
      <c r="W306" t="str">
        <v>--</v>
      </c>
      <c r="X306" t="str">
        <v>0.00</v>
      </c>
      <c r="Y306">
        <v>0</v>
      </c>
      <c r="Z306" t="str">
        <v>-0.51</v>
      </c>
      <c r="AA306" t="str">
        <v>0.07</v>
      </c>
      <c r="AB306" t="str">
        <v>振發</v>
      </c>
      <c r="AC306" t="str">
        <v>上櫃電腦及週邊設備</v>
      </c>
      <c r="AD306" t="str">
        <v>視訊解碼器、PC外殼生產商</v>
      </c>
      <c r="AE306" t="str">
        <f t="array" ref="AE306:AH306">[1]!'5426.TW-CName,InvestorConferenceDate,DateofMeetingofShareHolders,TradingDate'</f>
        <v>振發</v>
      </c>
      <c r="AF306" t="str">
        <v>--</v>
      </c>
      <c r="AG306" t="str">
        <v>2022/06/10</v>
      </c>
      <c r="AH306" t="str">
        <v>2022/08/01</v>
      </c>
    </row>
    <row r="307" spans="1:34" x14ac:dyDescent="0.3">
      <c r="A307" t="str">
        <f t="array" ref="A307:J307">[1]!'5438.TW-ID,Name,MarketValue,Capital,NetIncomeGrowthRate,OperIncomeGrowthRate,FinancialStatementsTime,TFXRatio,MonthlyNetSalesYoY,RevenueMonth'</f>
        <v>5438</v>
      </c>
      <c r="B307" t="str">
        <v>東友</v>
      </c>
      <c r="C307" t="str">
        <v>18.7</v>
      </c>
      <c r="D307" t="str">
        <v>11.25</v>
      </c>
      <c r="E307" t="str">
        <v>-515.09</v>
      </c>
      <c r="F307" t="str">
        <v>-630.82</v>
      </c>
      <c r="G307" t="str">
        <v>2022/03</v>
      </c>
      <c r="H307" t="str">
        <v>-16.11</v>
      </c>
      <c r="I307" t="str">
        <v>-7.16</v>
      </c>
      <c r="J307" t="str">
        <v>2022/06</v>
      </c>
      <c r="K307" t="str">
        <f t="array" ref="K307:T307">[1]!'5438.TW-OperatingProfitRatio,Price,PriceChangeRatio,InOutRatioNumber,Value,YearReturn,MonthReturn,WeekReturn,FinanceBalanceDif,ChipsField2'</f>
        <v>-8.79</v>
      </c>
      <c r="L307">
        <v>16.649999999999999</v>
      </c>
      <c r="M307">
        <v>0.3</v>
      </c>
      <c r="N307" t="str">
        <v>23.58%</v>
      </c>
      <c r="O307" t="str">
        <v>439萬</v>
      </c>
      <c r="P307" t="str">
        <v>-15.08</v>
      </c>
      <c r="Q307" t="str">
        <v>+16.06</v>
      </c>
      <c r="R307" t="str">
        <v>+3.42</v>
      </c>
      <c r="S307">
        <v>2</v>
      </c>
      <c r="T307">
        <v>0</v>
      </c>
      <c r="U307">
        <f t="array" ref="U307:AD307">[1]!'5438.TW-ChipsField3,ChipsField1,ChipsField25,CashAndStockDividend,CashDividendYieldRate,ProfitFourSeason,ProfitSingle,CName,ExchangeIndustry,CompanyPos'</f>
        <v>0</v>
      </c>
      <c r="V307">
        <v>-10</v>
      </c>
      <c r="W307" t="str">
        <v>2022/07/11</v>
      </c>
      <c r="X307" t="str">
        <v>0.41</v>
      </c>
      <c r="Y307">
        <v>2.46</v>
      </c>
      <c r="Z307" t="str">
        <v>0.21</v>
      </c>
      <c r="AA307" t="str">
        <v>-0.32</v>
      </c>
      <c r="AB307" t="str">
        <v>東友</v>
      </c>
      <c r="AC307" t="str">
        <v>上櫃電腦及週邊設備</v>
      </c>
      <c r="AD307" t="str">
        <v>為Konica Minolta代工多功能事務機</v>
      </c>
      <c r="AE307" t="str">
        <f t="array" ref="AE307:AH307">[1]!'5438.TW-CName,InvestorConferenceDate,DateofMeetingofShareHolders,TradingDate'</f>
        <v>東友</v>
      </c>
      <c r="AF307" t="str">
        <v>--</v>
      </c>
      <c r="AG307" t="str">
        <v>2022/06/17</v>
      </c>
      <c r="AH307" t="str">
        <v>2022/08/01</v>
      </c>
    </row>
    <row r="308" spans="1:34" x14ac:dyDescent="0.3">
      <c r="A308" t="str">
        <f t="array" ref="A308:J308">[1]!'5465.TW-ID,Name,MarketValue,Capital,NetIncomeGrowthRate,OperIncomeGrowthRate,FinancialStatementsTime,TFXRatio,MonthlyNetSalesYoY,RevenueMonth'</f>
        <v>5465</v>
      </c>
      <c r="B308" t="str">
        <v>富驊</v>
      </c>
      <c r="C308" t="str">
        <v>21.6</v>
      </c>
      <c r="D308" t="str">
        <v>14.77</v>
      </c>
      <c r="E308" t="str">
        <v>66.50</v>
      </c>
      <c r="F308" t="str">
        <v>119.07</v>
      </c>
      <c r="G308" t="str">
        <v>2022/03</v>
      </c>
      <c r="H308" t="str">
        <v>-18.30</v>
      </c>
      <c r="I308" t="str">
        <v>-18.44</v>
      </c>
      <c r="J308" t="str">
        <v>2022/06</v>
      </c>
      <c r="K308" t="str">
        <f t="array" ref="K308:T308">[1]!'5465.TW-OperatingProfitRatio,Price,PriceChangeRatio,InOutRatioNumber,Value,YearReturn,MonthReturn,WeekReturn,FinanceBalanceDif,ChipsField2'</f>
        <v>5.81</v>
      </c>
      <c r="L308">
        <v>14.6</v>
      </c>
      <c r="M308">
        <v>0.34</v>
      </c>
      <c r="N308" t="str">
        <v>17.39%</v>
      </c>
      <c r="O308" t="str">
        <v>35.0萬</v>
      </c>
      <c r="P308" t="str">
        <v>-7.13</v>
      </c>
      <c r="Q308" t="str">
        <v>+1.04</v>
      </c>
      <c r="R308" t="str">
        <v>0.00</v>
      </c>
      <c r="S308">
        <v>-2</v>
      </c>
      <c r="T308">
        <v>0</v>
      </c>
      <c r="U308">
        <f t="array" ref="U308:AD308">[1]!'5465.TW-ChipsField3,ChipsField1,ChipsField25,CashAndStockDividend,CashDividendYieldRate,ProfitFourSeason,ProfitSingle,CName,ExchangeIndustry,CompanyPos'</f>
        <v>0</v>
      </c>
      <c r="V308">
        <v>0</v>
      </c>
      <c r="W308" t="str">
        <v>2022/07/14</v>
      </c>
      <c r="X308" t="str">
        <v>1.15</v>
      </c>
      <c r="Y308">
        <v>7.88</v>
      </c>
      <c r="Z308" t="str">
        <v>1.42</v>
      </c>
      <c r="AA308" t="str">
        <v>0.42</v>
      </c>
      <c r="AB308" t="str">
        <v>富驊</v>
      </c>
      <c r="AC308" t="str">
        <v>上櫃電腦及週邊設備</v>
      </c>
      <c r="AD308" t="str">
        <v>神達轉投資之電子產品金屬沖壓及塑膠射出機殼廠</v>
      </c>
      <c r="AE308" t="str">
        <f t="array" ref="AE308:AH308">[1]!'5465.TW-CName,InvestorConferenceDate,DateofMeetingofShareHolders,TradingDate'</f>
        <v>富驊</v>
      </c>
      <c r="AF308" t="str">
        <v>--</v>
      </c>
      <c r="AG308" t="str">
        <v>2022/06/21</v>
      </c>
      <c r="AH308" t="str">
        <v>2022/08/01</v>
      </c>
    </row>
    <row r="309" spans="1:34" x14ac:dyDescent="0.3">
      <c r="A309" t="str">
        <f t="array" ref="A309:J309">[1]!'5474.TW-ID,Name,MarketValue,Capital,NetIncomeGrowthRate,OperIncomeGrowthRate,FinancialStatementsTime,TFXRatio,MonthlyNetSalesYoY,RevenueMonth'</f>
        <v>5474</v>
      </c>
      <c r="B309" t="str">
        <v>聰泰</v>
      </c>
      <c r="C309" t="str">
        <v>30.8</v>
      </c>
      <c r="D309" t="str">
        <v>4.04</v>
      </c>
      <c r="E309" t="str">
        <v>1.54</v>
      </c>
      <c r="F309" t="str">
        <v>-10.27</v>
      </c>
      <c r="G309" t="str">
        <v>2022/03</v>
      </c>
      <c r="H309" t="str">
        <v>27.47</v>
      </c>
      <c r="I309" t="str">
        <v>-20.15</v>
      </c>
      <c r="J309" t="str">
        <v>2022/06</v>
      </c>
      <c r="K309" t="str">
        <f t="array" ref="K309:T309">[1]!'5474.TW-OperatingProfitRatio,Price,PriceChangeRatio,InOutRatioNumber,Value,YearReturn,MonthReturn,WeekReturn,FinanceBalanceDif,ChipsField2'</f>
        <v>22.07</v>
      </c>
      <c r="L309">
        <v>76.2</v>
      </c>
      <c r="M309">
        <v>-2.1800000000000002</v>
      </c>
      <c r="N309" t="str">
        <v>21.43%</v>
      </c>
      <c r="O309" t="str">
        <v>214萬</v>
      </c>
      <c r="P309" t="str">
        <v>-38.61</v>
      </c>
      <c r="Q309" t="str">
        <v>+17.41</v>
      </c>
      <c r="R309" t="str">
        <v>-4.39</v>
      </c>
      <c r="S309">
        <v>-1</v>
      </c>
      <c r="T309">
        <v>0</v>
      </c>
      <c r="U309">
        <f t="array" ref="U309:AD309">[1]!'5474.TW-ChipsField3,ChipsField1,ChipsField25,CashAndStockDividend,CashDividendYieldRate,ProfitFourSeason,ProfitSingle,CName,ExchangeIndustry,CompanyPos'</f>
        <v>0</v>
      </c>
      <c r="V309">
        <v>0</v>
      </c>
      <c r="W309" t="str">
        <v>2022/07/04</v>
      </c>
      <c r="X309" t="str">
        <v>5.00</v>
      </c>
      <c r="Y309">
        <v>6.56</v>
      </c>
      <c r="Z309" t="str">
        <v>10.11</v>
      </c>
      <c r="AA309" t="str">
        <v>2.00</v>
      </c>
      <c r="AB309" t="str">
        <v>聰泰</v>
      </c>
      <c r="AC309" t="str">
        <v>上櫃電腦及週邊設備</v>
      </c>
      <c r="AD309" t="str">
        <v>數位監控、影音串流設備商</v>
      </c>
      <c r="AE309" t="str">
        <f t="array" ref="AE309:AH309">[1]!'5474.TW-CName,InvestorConferenceDate,DateofMeetingofShareHolders,TradingDate'</f>
        <v>聰泰</v>
      </c>
      <c r="AF309" t="str">
        <v>2022/07/28</v>
      </c>
      <c r="AG309" t="str">
        <v>2022/06/14</v>
      </c>
      <c r="AH309" t="str">
        <v>2022/08/01</v>
      </c>
    </row>
    <row r="310" spans="1:34" x14ac:dyDescent="0.3">
      <c r="A310" t="str">
        <f t="array" ref="A310:J310">[1]!'5490.TW-ID,Name,MarketValue,Capital,NetIncomeGrowthRate,OperIncomeGrowthRate,FinancialStatementsTime,TFXRatio,MonthlyNetSalesYoY,RevenueMonth'</f>
        <v>5490</v>
      </c>
      <c r="B310" t="str">
        <v>同亨</v>
      </c>
      <c r="C310" t="str">
        <v>24.1</v>
      </c>
      <c r="D310" t="str">
        <v>9.62</v>
      </c>
      <c r="E310" t="str">
        <v>41.76</v>
      </c>
      <c r="F310" t="str">
        <v>29.15</v>
      </c>
      <c r="G310" t="str">
        <v>2022/03</v>
      </c>
      <c r="H310" t="str">
        <v>67.97</v>
      </c>
      <c r="I310" t="str">
        <v>130.04</v>
      </c>
      <c r="J310" t="str">
        <v>2022/06</v>
      </c>
      <c r="K310" t="str">
        <f t="array" ref="K310:T310">[1]!'5490.TW-OperatingProfitRatio,Price,PriceChangeRatio,InOutRatioNumber,Value,YearReturn,MonthReturn,WeekReturn,FinanceBalanceDif,ChipsField2'</f>
        <v>4.97</v>
      </c>
      <c r="L310">
        <v>25</v>
      </c>
      <c r="M310">
        <v>0.6</v>
      </c>
      <c r="N310" t="str">
        <v>50.00%</v>
      </c>
      <c r="O310" t="str">
        <v>215萬</v>
      </c>
      <c r="P310" t="str">
        <v>-1.68</v>
      </c>
      <c r="Q310" t="str">
        <v>+8.93</v>
      </c>
      <c r="R310" t="str">
        <v>+1.83</v>
      </c>
      <c r="S310">
        <v>-1</v>
      </c>
      <c r="T310">
        <v>0</v>
      </c>
      <c r="U310">
        <f t="array" ref="U310:AD310">[1]!'5490.TW-ChipsField3,ChipsField1,ChipsField25,CashAndStockDividend,CashDividendYieldRate,ProfitFourSeason,ProfitSingle,CName,ExchangeIndustry,CompanyPos'</f>
        <v>0</v>
      </c>
      <c r="V310">
        <v>14</v>
      </c>
      <c r="W310" t="str">
        <v>2022/07/04</v>
      </c>
      <c r="X310" t="str">
        <v>1.25</v>
      </c>
      <c r="Y310">
        <v>5</v>
      </c>
      <c r="Z310" t="str">
        <v>1.48</v>
      </c>
      <c r="AA310" t="str">
        <v>0.23</v>
      </c>
      <c r="AB310" t="str">
        <v>同亨</v>
      </c>
      <c r="AC310" t="str">
        <v>上櫃電腦及週邊設備</v>
      </c>
      <c r="AD310" t="str">
        <v>全球知名POS刷卡機DMS廠</v>
      </c>
      <c r="AE310" t="str">
        <f t="array" ref="AE310:AH310">[1]!'5490.TW-CName,InvestorConferenceDate,DateofMeetingofShareHolders,TradingDate'</f>
        <v>同亨</v>
      </c>
      <c r="AF310" t="str">
        <v>--</v>
      </c>
      <c r="AG310" t="str">
        <v>2022/06/14</v>
      </c>
      <c r="AH310" t="str">
        <v>2022/08/01</v>
      </c>
    </row>
    <row r="311" spans="1:34" x14ac:dyDescent="0.3">
      <c r="A311" t="str">
        <f t="array" ref="A311:J311">[1]!'6121.TW-ID,Name,MarketValue,Capital,NetIncomeGrowthRate,OperIncomeGrowthRate,FinancialStatementsTime,TFXRatio,MonthlyNetSalesYoY,RevenueMonth'</f>
        <v>6121</v>
      </c>
      <c r="B311" t="str">
        <v>新普</v>
      </c>
      <c r="C311" t="str">
        <v>479.1</v>
      </c>
      <c r="D311" t="str">
        <v>18.50</v>
      </c>
      <c r="E311" t="str">
        <v>20.25</v>
      </c>
      <c r="F311" t="str">
        <v>15.82</v>
      </c>
      <c r="G311" t="str">
        <v>2022/03</v>
      </c>
      <c r="H311" t="str">
        <v>0.95</v>
      </c>
      <c r="I311" t="str">
        <v>-1.78</v>
      </c>
      <c r="J311" t="str">
        <v>2022/06</v>
      </c>
      <c r="K311" t="str">
        <f t="array" ref="K311:T311">[1]!'6121.TW-OperatingProfitRatio,Price,PriceChangeRatio,InOutRatioNumber,Value,YearReturn,MonthReturn,WeekReturn,FinanceBalanceDif,ChipsField2'</f>
        <v>10.08</v>
      </c>
      <c r="L311">
        <v>259</v>
      </c>
      <c r="M311">
        <v>-1.89</v>
      </c>
      <c r="N311" t="str">
        <v>32.93%</v>
      </c>
      <c r="O311" t="str">
        <v>1.71億</v>
      </c>
      <c r="P311" t="str">
        <v>-17.47</v>
      </c>
      <c r="Q311" t="str">
        <v>+18.04</v>
      </c>
      <c r="R311" t="str">
        <v>-3.00</v>
      </c>
      <c r="S311">
        <v>18</v>
      </c>
      <c r="T311">
        <v>-189</v>
      </c>
      <c r="U311">
        <f t="array" ref="U311:AD311">[1]!'6121.TW-ChipsField3,ChipsField1,ChipsField25,CashAndStockDividend,CashDividendYieldRate,ProfitFourSeason,ProfitSingle,CName,ExchangeIndustry,CompanyPos'</f>
        <v>2</v>
      </c>
      <c r="V311">
        <v>108</v>
      </c>
      <c r="W311" t="str">
        <v>2022/07/13</v>
      </c>
      <c r="X311" t="str">
        <v>26.00</v>
      </c>
      <c r="Y311">
        <v>10.039999999999999</v>
      </c>
      <c r="Z311" t="str">
        <v>35.33</v>
      </c>
      <c r="AA311" t="str">
        <v>8.10</v>
      </c>
      <c r="AB311" t="str">
        <v>新普</v>
      </c>
      <c r="AC311" t="str">
        <v>上櫃電腦及週邊設備</v>
      </c>
      <c r="AD311" t="str">
        <v>全球最大NB電池模組廠之一</v>
      </c>
      <c r="AE311" t="str">
        <f t="array" ref="AE311:AH311">[1]!'6121.TW-CName,InvestorConferenceDate,DateofMeetingofShareHolders,TradingDate'</f>
        <v>新普</v>
      </c>
      <c r="AF311" t="str">
        <v>--</v>
      </c>
      <c r="AG311" t="str">
        <v>2022/06/15</v>
      </c>
      <c r="AH311" t="str">
        <v>2022/08/01</v>
      </c>
    </row>
    <row r="312" spans="1:34" x14ac:dyDescent="0.3">
      <c r="A312" t="str">
        <f t="array" ref="A312:J312">[1]!'6123.TW-ID,Name,MarketValue,Capital,NetIncomeGrowthRate,OperIncomeGrowthRate,FinancialStatementsTime,TFXRatio,MonthlyNetSalesYoY,RevenueMonth'</f>
        <v>6123</v>
      </c>
      <c r="B312" t="str">
        <v>上奇</v>
      </c>
      <c r="C312" t="str">
        <v>30.8</v>
      </c>
      <c r="D312" t="str">
        <v>5.76</v>
      </c>
      <c r="E312" t="str">
        <v>-8.38</v>
      </c>
      <c r="F312" t="str">
        <v>-3.45</v>
      </c>
      <c r="G312" t="str">
        <v>2022/03</v>
      </c>
      <c r="H312" t="str">
        <v>0.28</v>
      </c>
      <c r="I312" t="str">
        <v>9.09</v>
      </c>
      <c r="J312" t="str">
        <v>2022/06</v>
      </c>
      <c r="K312" t="str">
        <f t="array" ref="K312:T312">[1]!'6123.TW-OperatingProfitRatio,Price,PriceChangeRatio,InOutRatioNumber,Value,YearReturn,MonthReturn,WeekReturn,FinanceBalanceDif,ChipsField2'</f>
        <v>7.74</v>
      </c>
      <c r="L312">
        <v>53.4</v>
      </c>
      <c r="M312">
        <v>0.56000000000000005</v>
      </c>
      <c r="N312" t="str">
        <v>88.24%</v>
      </c>
      <c r="O312" t="str">
        <v>90.8萬</v>
      </c>
      <c r="P312" t="str">
        <v>+17.94</v>
      </c>
      <c r="Q312" t="str">
        <v>+4.09</v>
      </c>
      <c r="R312" t="str">
        <v>+1.33</v>
      </c>
      <c r="S312">
        <v>0</v>
      </c>
      <c r="T312">
        <v>0</v>
      </c>
      <c r="U312">
        <f t="array" ref="U312:AD312">[1]!'6123.TW-ChipsField3,ChipsField1,ChipsField25,CashAndStockDividend,CashDividendYieldRate,ProfitFourSeason,ProfitSingle,CName,ExchangeIndustry,CompanyPos'</f>
        <v>0</v>
      </c>
      <c r="V312">
        <v>2</v>
      </c>
      <c r="W312" t="str">
        <v>2022/06/10</v>
      </c>
      <c r="X312" t="str">
        <v>3.30</v>
      </c>
      <c r="Y312">
        <v>8.43</v>
      </c>
      <c r="Z312" t="str">
        <v>4.92</v>
      </c>
      <c r="AA312" t="str">
        <v>1.11</v>
      </c>
      <c r="AB312" t="str">
        <v>上奇</v>
      </c>
      <c r="AC312" t="str">
        <v>上櫃電腦及週邊設備</v>
      </c>
      <c r="AD312" t="str">
        <v>電腦軟硬體、OA產品及耗材代理商</v>
      </c>
      <c r="AE312" t="str">
        <f t="array" ref="AE312:AH312">[1]!'6123.TW-CName,InvestorConferenceDate,DateofMeetingofShareHolders,TradingDate'</f>
        <v>上奇</v>
      </c>
      <c r="AF312" t="str">
        <v>--</v>
      </c>
      <c r="AG312" t="str">
        <v>2022/06/10</v>
      </c>
      <c r="AH312" t="str">
        <v>2022/08/01</v>
      </c>
    </row>
    <row r="313" spans="1:34" x14ac:dyDescent="0.3">
      <c r="A313" t="str">
        <f t="array" ref="A313:J313">[1]!'6150.TW-ID,Name,MarketValue,Capital,NetIncomeGrowthRate,OperIncomeGrowthRate,FinancialStatementsTime,TFXRatio,MonthlyNetSalesYoY,RevenueMonth'</f>
        <v>6150</v>
      </c>
      <c r="B313" t="str">
        <v>撼訊</v>
      </c>
      <c r="C313" t="str">
        <v>31.2</v>
      </c>
      <c r="D313" t="str">
        <v>4.83</v>
      </c>
      <c r="E313" t="str">
        <v>19.40</v>
      </c>
      <c r="F313" t="str">
        <v>5.13</v>
      </c>
      <c r="G313" t="str">
        <v>2022/03</v>
      </c>
      <c r="H313" t="str">
        <v>-7.52</v>
      </c>
      <c r="I313" t="str">
        <v>-55.88</v>
      </c>
      <c r="J313" t="str">
        <v>2022/06</v>
      </c>
      <c r="K313" t="str">
        <f t="array" ref="K313:T313">[1]!'6150.TW-OperatingProfitRatio,Price,PriceChangeRatio,InOutRatioNumber,Value,YearReturn,MonthReturn,WeekReturn,FinanceBalanceDif,ChipsField2'</f>
        <v>8.94</v>
      </c>
      <c r="L313">
        <v>64.5</v>
      </c>
      <c r="M313">
        <v>-4.4400000000000004</v>
      </c>
      <c r="N313" t="str">
        <v>36.84%</v>
      </c>
      <c r="O313" t="str">
        <v>1.47億</v>
      </c>
      <c r="P313" t="str">
        <v>-49.77</v>
      </c>
      <c r="Q313" t="str">
        <v>+11.03</v>
      </c>
      <c r="R313" t="str">
        <v>-5.70</v>
      </c>
      <c r="S313">
        <v>186</v>
      </c>
      <c r="T313">
        <v>0</v>
      </c>
      <c r="U313">
        <f t="array" ref="U313:AD313">[1]!'6150.TW-ChipsField3,ChipsField1,ChipsField25,CashAndStockDividend,CashDividendYieldRate,ProfitFourSeason,ProfitSingle,CName,ExchangeIndustry,CompanyPos'</f>
        <v>4</v>
      </c>
      <c r="V313">
        <v>-315</v>
      </c>
      <c r="W313" t="str">
        <v>2022/07/13</v>
      </c>
      <c r="X313" t="str">
        <v>11.00</v>
      </c>
      <c r="Y313">
        <v>17.05</v>
      </c>
      <c r="Z313" t="str">
        <v>24.26</v>
      </c>
      <c r="AA313" t="str">
        <v>3.38</v>
      </c>
      <c r="AB313" t="str">
        <v>撼訊</v>
      </c>
      <c r="AC313" t="str">
        <v>上櫃電腦及週邊設備</v>
      </c>
      <c r="AD313" t="str">
        <v>以Power Color品牌行銷全球之第三大繪圖卡供應商</v>
      </c>
      <c r="AE313" t="str">
        <f t="array" ref="AE313:AH313">[1]!'6150.TW-CName,InvestorConferenceDate,DateofMeetingofShareHolders,TradingDate'</f>
        <v>撼訊</v>
      </c>
      <c r="AF313" t="str">
        <v>2021/08/06</v>
      </c>
      <c r="AG313" t="str">
        <v>2022/06/09</v>
      </c>
      <c r="AH313" t="str">
        <v>2022/08/01</v>
      </c>
    </row>
    <row r="314" spans="1:34" x14ac:dyDescent="0.3">
      <c r="A314" t="str">
        <f t="array" ref="A314:J314">[1]!'6160.TW-ID,Name,MarketValue,Capital,NetIncomeGrowthRate,OperIncomeGrowthRate,FinancialStatementsTime,TFXRatio,MonthlyNetSalesYoY,RevenueMonth'</f>
        <v>6160</v>
      </c>
      <c r="B314" t="str">
        <v>欣技</v>
      </c>
      <c r="C314" t="str">
        <v>14.0</v>
      </c>
      <c r="D314" t="str">
        <v>6.85</v>
      </c>
      <c r="E314" t="str">
        <v>-85.78</v>
      </c>
      <c r="F314" t="str">
        <v>-95.82</v>
      </c>
      <c r="G314" t="str">
        <v>2022/03</v>
      </c>
      <c r="H314" t="str">
        <v>-0.38</v>
      </c>
      <c r="I314" t="str">
        <v>-8.74</v>
      </c>
      <c r="J314" t="str">
        <v>2022/06</v>
      </c>
      <c r="K314" t="str">
        <f t="array" ref="K314:T314">[1]!'6160.TW-OperatingProfitRatio,Price,PriceChangeRatio,InOutRatioNumber,Value,YearReturn,MonthReturn,WeekReturn,FinanceBalanceDif,ChipsField2'</f>
        <v>0.42</v>
      </c>
      <c r="L314">
        <v>20.5</v>
      </c>
      <c r="M314">
        <v>9.92</v>
      </c>
      <c r="N314" t="str">
        <v>65.84%</v>
      </c>
      <c r="O314" t="str">
        <v>1.32億</v>
      </c>
      <c r="P314" t="str">
        <v>-4.04</v>
      </c>
      <c r="Q314" t="str">
        <v>+55.53</v>
      </c>
      <c r="R314" t="str">
        <v>+22.39</v>
      </c>
      <c r="S314">
        <v>154</v>
      </c>
      <c r="T314">
        <v>0</v>
      </c>
      <c r="U314">
        <f t="array" ref="U314:AD314">[1]!'6160.TW-ChipsField3,ChipsField1,ChipsField25,CashAndStockDividend,CashDividendYieldRate,ProfitFourSeason,ProfitSingle,CName,ExchangeIndustry,CompanyPos'</f>
        <v>0</v>
      </c>
      <c r="V314">
        <v>30</v>
      </c>
      <c r="W314" t="str">
        <v>2022/07/21</v>
      </c>
      <c r="X314" t="str">
        <v>0.35</v>
      </c>
      <c r="Y314">
        <v>1.71</v>
      </c>
      <c r="Z314" t="str">
        <v>0.22</v>
      </c>
      <c r="AA314" t="str">
        <v>0.06</v>
      </c>
      <c r="AB314" t="str">
        <v>欣技</v>
      </c>
      <c r="AC314" t="str">
        <v>上櫃電腦及週邊設備</v>
      </c>
      <c r="AD314" t="str">
        <v>專攻自動辨識系統的IPC廠</v>
      </c>
      <c r="AE314" t="str">
        <f t="array" ref="AE314:AH314">[1]!'6160.TW-CName,InvestorConferenceDate,DateofMeetingofShareHolders,TradingDate'</f>
        <v>欣技</v>
      </c>
      <c r="AF314" t="str">
        <v>--</v>
      </c>
      <c r="AG314" t="str">
        <v>2022/06/21</v>
      </c>
      <c r="AH314" t="str">
        <v>2022/08/01</v>
      </c>
    </row>
    <row r="315" spans="1:34" x14ac:dyDescent="0.3">
      <c r="A315" t="str">
        <f t="array" ref="A315:J315">[1]!'6161.TW-ID,Name,MarketValue,Capital,NetIncomeGrowthRate,OperIncomeGrowthRate,FinancialStatementsTime,TFXRatio,MonthlyNetSalesYoY,RevenueMonth'</f>
        <v>6161</v>
      </c>
      <c r="B315" t="str">
        <v>捷波</v>
      </c>
      <c r="C315" t="str">
        <v>18.7</v>
      </c>
      <c r="D315" t="str">
        <v>7.50</v>
      </c>
      <c r="E315" t="str">
        <v>78.80</v>
      </c>
      <c r="F315" t="str">
        <v>64.18</v>
      </c>
      <c r="G315" t="str">
        <v>2022/03</v>
      </c>
      <c r="H315" t="str">
        <v>-11.65</v>
      </c>
      <c r="I315" t="str">
        <v>-30.64</v>
      </c>
      <c r="J315" t="str">
        <v>2022/06</v>
      </c>
      <c r="K315" t="str">
        <f t="array" ref="K315:T315">[1]!'6161.TW-OperatingProfitRatio,Price,PriceChangeRatio,InOutRatioNumber,Value,YearReturn,MonthReturn,WeekReturn,FinanceBalanceDif,ChipsField2'</f>
        <v>12.81</v>
      </c>
      <c r="L315">
        <v>24.9</v>
      </c>
      <c r="M315">
        <v>0.61</v>
      </c>
      <c r="N315" t="str">
        <v>50.67%</v>
      </c>
      <c r="O315" t="str">
        <v>186萬</v>
      </c>
      <c r="P315" t="str">
        <v>+3.17</v>
      </c>
      <c r="Q315" t="str">
        <v>+5.06</v>
      </c>
      <c r="R315" t="str">
        <v>+0.40</v>
      </c>
      <c r="S315">
        <v>-11</v>
      </c>
      <c r="T315">
        <v>0</v>
      </c>
      <c r="U315">
        <f t="array" ref="U315:AD315">[1]!'6161.TW-ChipsField3,ChipsField1,ChipsField25,CashAndStockDividend,CashDividendYieldRate,ProfitFourSeason,ProfitSingle,CName,ExchangeIndustry,CompanyPos'</f>
        <v>0</v>
      </c>
      <c r="V315">
        <v>11</v>
      </c>
      <c r="W315" t="str">
        <v>2022/06/27</v>
      </c>
      <c r="X315" t="str">
        <v>3.00</v>
      </c>
      <c r="Y315">
        <v>12.05</v>
      </c>
      <c r="Z315" t="str">
        <v>3.68</v>
      </c>
      <c r="AA315" t="str">
        <v>0.89</v>
      </c>
      <c r="AB315" t="str">
        <v>捷波</v>
      </c>
      <c r="AC315" t="str">
        <v>上櫃電腦及週邊設備</v>
      </c>
      <c r="AD315" t="str">
        <v>台灣二線主機板廠</v>
      </c>
      <c r="AE315" t="str">
        <f t="array" ref="AE315:AH315">[1]!'6161.TW-CName,InvestorConferenceDate,DateofMeetingofShareHolders,TradingDate'</f>
        <v>捷波</v>
      </c>
      <c r="AF315" t="str">
        <v>2022/06/02</v>
      </c>
      <c r="AG315" t="str">
        <v>2022/06/09</v>
      </c>
      <c r="AH315" t="str">
        <v>2022/08/01</v>
      </c>
    </row>
    <row r="316" spans="1:34" x14ac:dyDescent="0.3">
      <c r="A316" t="str">
        <f t="array" ref="A316:J316">[1]!'6188.TW-ID,Name,MarketValue,Capital,NetIncomeGrowthRate,OperIncomeGrowthRate,FinancialStatementsTime,TFXRatio,MonthlyNetSalesYoY,RevenueMonth'</f>
        <v>6188</v>
      </c>
      <c r="B316" t="str">
        <v>廣明</v>
      </c>
      <c r="C316" t="str">
        <v>115.5</v>
      </c>
      <c r="D316" t="str">
        <v>27.84</v>
      </c>
      <c r="E316" t="str">
        <v>37.01</v>
      </c>
      <c r="F316" t="str">
        <v>15.42</v>
      </c>
      <c r="G316" t="str">
        <v>2022/03</v>
      </c>
      <c r="H316" t="str">
        <v>30.46</v>
      </c>
      <c r="I316" t="str">
        <v>76.65</v>
      </c>
      <c r="J316" t="str">
        <v>2022/06</v>
      </c>
      <c r="K316" t="str">
        <f t="array" ref="K316:T316">[1]!'6188.TW-OperatingProfitRatio,Price,PriceChangeRatio,InOutRatioNumber,Value,YearReturn,MonthReturn,WeekReturn,FinanceBalanceDif,ChipsField2'</f>
        <v>8.45</v>
      </c>
      <c r="L316">
        <v>41.5</v>
      </c>
      <c r="M316">
        <v>1.1000000000000001</v>
      </c>
      <c r="N316" t="str">
        <v>53.07%</v>
      </c>
      <c r="O316" t="str">
        <v>6721萬</v>
      </c>
      <c r="P316" t="str">
        <v>+20.61</v>
      </c>
      <c r="Q316" t="str">
        <v>+22.78</v>
      </c>
      <c r="R316" t="str">
        <v>+2.22</v>
      </c>
      <c r="S316">
        <v>-188</v>
      </c>
      <c r="T316">
        <v>0</v>
      </c>
      <c r="U316">
        <f t="array" ref="U316:AD316">[1]!'6188.TW-ChipsField3,ChipsField1,ChipsField25,CashAndStockDividend,CashDividendYieldRate,ProfitFourSeason,ProfitSingle,CName,ExchangeIndustry,CompanyPos'</f>
        <v>-2</v>
      </c>
      <c r="V316">
        <v>709</v>
      </c>
      <c r="W316" t="str">
        <v>2022/07/25</v>
      </c>
      <c r="X316" t="str">
        <v>2.80</v>
      </c>
      <c r="Y316">
        <v>6.75</v>
      </c>
      <c r="Z316" t="str">
        <v>3.82</v>
      </c>
      <c r="AA316" t="str">
        <v>0.93</v>
      </c>
      <c r="AB316" t="str">
        <v>廣明</v>
      </c>
      <c r="AC316" t="str">
        <v>上櫃電腦及週邊設備</v>
      </c>
      <c r="AD316" t="str">
        <v>廣達集團旗下的硬碟產品公司</v>
      </c>
      <c r="AE316" t="str">
        <f t="array" ref="AE316:AH316">[1]!'6188.TW-CName,InvestorConferenceDate,DateofMeetingofShareHolders,TradingDate'</f>
        <v>廣明</v>
      </c>
      <c r="AF316" t="str">
        <v>--</v>
      </c>
      <c r="AG316" t="str">
        <v>2022/06/14</v>
      </c>
      <c r="AH316" t="str">
        <v>2022/08/01</v>
      </c>
    </row>
    <row r="317" spans="1:34" x14ac:dyDescent="0.3">
      <c r="A317" t="str">
        <f t="array" ref="A317:J317">[1]!'6228.TW-ID,Name,MarketValue,Capital,NetIncomeGrowthRate,OperIncomeGrowthRate,FinancialStatementsTime,TFXRatio,MonthlyNetSalesYoY,RevenueMonth'</f>
        <v>6228</v>
      </c>
      <c r="B317" t="str">
        <v>全譜</v>
      </c>
      <c r="C317" t="str">
        <v>6.5</v>
      </c>
      <c r="D317" t="str">
        <v>4.00</v>
      </c>
      <c r="E317" t="str">
        <v>-911.44</v>
      </c>
      <c r="F317" t="str">
        <v>-874.74</v>
      </c>
      <c r="G317" t="str">
        <v>2022/03</v>
      </c>
      <c r="H317" t="str">
        <v>-70.92</v>
      </c>
      <c r="I317" t="str">
        <v>-67.50</v>
      </c>
      <c r="J317" t="str">
        <v>2022/06</v>
      </c>
      <c r="K317" t="str">
        <f t="array" ref="K317:T317">[1]!'6228.TW-OperatingProfitRatio,Price,PriceChangeRatio,InOutRatioNumber,Value,YearReturn,MonthReturn,WeekReturn,FinanceBalanceDif,ChipsField2'</f>
        <v>-105.87</v>
      </c>
      <c r="L317">
        <v>16.149999999999999</v>
      </c>
      <c r="M317">
        <v>9.86</v>
      </c>
      <c r="N317" t="str">
        <v>100.00%</v>
      </c>
      <c r="O317" t="str">
        <v>281萬</v>
      </c>
      <c r="P317" t="str">
        <v>+46.82</v>
      </c>
      <c r="Q317" t="str">
        <v>+24.23</v>
      </c>
      <c r="R317" t="str">
        <v>+5.90</v>
      </c>
      <c r="S317">
        <v>0</v>
      </c>
      <c r="T317">
        <v>0</v>
      </c>
      <c r="U317">
        <f t="array" ref="U317:AD317">[1]!'6228.TW-ChipsField3,ChipsField1,ChipsField25,CashAndStockDividend,CashDividendYieldRate,ProfitFourSeason,ProfitSingle,CName,ExchangeIndustry,CompanyPos'</f>
        <v>0</v>
      </c>
      <c r="V317">
        <v>-7</v>
      </c>
      <c r="W317" t="str">
        <v>--</v>
      </c>
      <c r="X317" t="str">
        <v>0.00</v>
      </c>
      <c r="Y317">
        <v>0</v>
      </c>
      <c r="Z317" t="str">
        <v>-0.32</v>
      </c>
      <c r="AA317" t="str">
        <v>-0.16</v>
      </c>
      <c r="AB317" t="str">
        <v>全譜</v>
      </c>
      <c r="AC317" t="str">
        <v>上櫃電腦及週邊設備</v>
      </c>
      <c r="AD317" t="str">
        <v>台灣底片掃瞄器及生物研究影像設備製造廠</v>
      </c>
      <c r="AE317" t="str">
        <f t="array" ref="AE317:AH317">[1]!'6228.TW-CName,InvestorConferenceDate,DateofMeetingofShareHolders,TradingDate'</f>
        <v>全譜</v>
      </c>
      <c r="AF317" t="str">
        <v>--</v>
      </c>
      <c r="AG317" t="str">
        <v>2022/06/21</v>
      </c>
      <c r="AH317" t="str">
        <v>2022/08/01</v>
      </c>
    </row>
    <row r="318" spans="1:34" x14ac:dyDescent="0.3">
      <c r="A318" t="str">
        <f t="array" ref="A318:J318">[1]!'6276.TW-ID,Name,MarketValue,Capital,NetIncomeGrowthRate,OperIncomeGrowthRate,FinancialStatementsTime,TFXRatio,MonthlyNetSalesYoY,RevenueMonth'</f>
        <v>6276</v>
      </c>
      <c r="B318" t="str">
        <v>安鈦克</v>
      </c>
      <c r="C318" t="str">
        <v>5.3</v>
      </c>
      <c r="D318" t="str">
        <v>3.15</v>
      </c>
      <c r="E318" t="str">
        <v>-119.88</v>
      </c>
      <c r="F318" t="str">
        <v>-131.83</v>
      </c>
      <c r="G318" t="str">
        <v>2022/03</v>
      </c>
      <c r="H318" t="str">
        <v>-20.03</v>
      </c>
      <c r="I318" t="str">
        <v>-21.31</v>
      </c>
      <c r="J318" t="str">
        <v>2022/06</v>
      </c>
      <c r="K318" t="str">
        <f t="array" ref="K318:T318">[1]!'6276.TW-OperatingProfitRatio,Price,PriceChangeRatio,InOutRatioNumber,Value,YearReturn,MonthReturn,WeekReturn,FinanceBalanceDif,ChipsField2'</f>
        <v>-4.05</v>
      </c>
      <c r="L318">
        <v>16.95</v>
      </c>
      <c r="M318">
        <v>3.99</v>
      </c>
      <c r="N318" t="str">
        <v>54.97%</v>
      </c>
      <c r="O318" t="str">
        <v>1347萬</v>
      </c>
      <c r="P318" t="str">
        <v>-47.23</v>
      </c>
      <c r="Q318" t="str">
        <v>+6.94</v>
      </c>
      <c r="R318" t="str">
        <v>+1.50</v>
      </c>
      <c r="S318">
        <v>22</v>
      </c>
      <c r="T318">
        <v>0</v>
      </c>
      <c r="U318">
        <f t="array" ref="U318:AD318">[1]!'6276.TW-ChipsField3,ChipsField1,ChipsField25,CashAndStockDividend,CashDividendYieldRate,ProfitFourSeason,ProfitSingle,CName,ExchangeIndustry,CompanyPos'</f>
        <v>0</v>
      </c>
      <c r="V318">
        <v>5</v>
      </c>
      <c r="W318" t="str">
        <v>2022/03/31</v>
      </c>
      <c r="X318" t="str">
        <v>1.00</v>
      </c>
      <c r="Y318">
        <v>5.9</v>
      </c>
      <c r="Z318" t="str">
        <v>-0.72</v>
      </c>
      <c r="AA318" t="str">
        <v>-0.30</v>
      </c>
      <c r="AB318" t="str">
        <v>安鈦克</v>
      </c>
      <c r="AC318" t="str">
        <v>上櫃電腦及週邊設備</v>
      </c>
      <c r="AD318" t="str">
        <v>產品主要應用於DIY PC之電源供應器與機殼廠</v>
      </c>
      <c r="AE318" t="str">
        <f t="array" ref="AE318:AH318">[1]!'6276.TW-CName,InvestorConferenceDate,DateofMeetingofShareHolders,TradingDate'</f>
        <v>安鈦克</v>
      </c>
      <c r="AF318" t="str">
        <v>--</v>
      </c>
      <c r="AG318" t="str">
        <v>2022/06/23</v>
      </c>
      <c r="AH318" t="str">
        <v>2022/08/01</v>
      </c>
    </row>
    <row r="319" spans="1:34" x14ac:dyDescent="0.3">
      <c r="A319" t="str">
        <f t="array" ref="A319:J319">[1]!'6441.TW-ID,Name,MarketValue,Capital,NetIncomeGrowthRate,OperIncomeGrowthRate,FinancialStatementsTime,TFXRatio,MonthlyNetSalesYoY,RevenueMonth'</f>
        <v>6441</v>
      </c>
      <c r="B319" t="str">
        <v>廣錠</v>
      </c>
      <c r="C319" t="str">
        <v>17.6</v>
      </c>
      <c r="D319" t="str">
        <v>4.33</v>
      </c>
      <c r="E319" t="str">
        <v>89.50</v>
      </c>
      <c r="F319" t="str">
        <v>54.85</v>
      </c>
      <c r="G319" t="str">
        <v>2022/03</v>
      </c>
      <c r="H319" t="str">
        <v>83.81</v>
      </c>
      <c r="I319" t="str">
        <v>-77.15</v>
      </c>
      <c r="J319" t="str">
        <v>2022/06</v>
      </c>
      <c r="K319" t="str">
        <f t="array" ref="K319:T319">[1]!'6441.TW-OperatingProfitRatio,Price,PriceChangeRatio,InOutRatioNumber,Value,YearReturn,MonthReturn,WeekReturn,FinanceBalanceDif,ChipsField2'</f>
        <v>-18.64</v>
      </c>
      <c r="L319">
        <v>40.700000000000003</v>
      </c>
      <c r="M319">
        <v>-0.25</v>
      </c>
      <c r="N319" t="str">
        <v>71.43%</v>
      </c>
      <c r="O319" t="str">
        <v>85.4萬</v>
      </c>
      <c r="P319" t="str">
        <v>-32.37</v>
      </c>
      <c r="Q319" t="str">
        <v>+7.11</v>
      </c>
      <c r="R319" t="str">
        <v>-2.98</v>
      </c>
      <c r="S319">
        <v>1</v>
      </c>
      <c r="T319">
        <v>0</v>
      </c>
      <c r="U319">
        <f t="array" ref="U319:AD319">[1]!'6441.TW-ChipsField3,ChipsField1,ChipsField25,CashAndStockDividend,CashDividendYieldRate,ProfitFourSeason,ProfitSingle,CName,ExchangeIndustry,CompanyPos'</f>
        <v>0</v>
      </c>
      <c r="V319">
        <v>15</v>
      </c>
      <c r="W319" t="str">
        <v>--</v>
      </c>
      <c r="X319" t="str">
        <v>0.00</v>
      </c>
      <c r="Y319">
        <v>0</v>
      </c>
      <c r="Z319" t="str">
        <v>-1.98</v>
      </c>
      <c r="AA319" t="str">
        <v>-0.11</v>
      </c>
      <c r="AB319" t="str">
        <v>廣錠</v>
      </c>
      <c r="AC319" t="str">
        <v>上櫃電腦及週邊設備</v>
      </c>
      <c r="AD319" t="str">
        <v>廣積旗下博奕機台兼儲能設備製造商</v>
      </c>
      <c r="AE319" t="str">
        <f t="array" ref="AE319:AH319">[1]!'6441.TW-CName,InvestorConferenceDate,DateofMeetingofShareHolders,TradingDate'</f>
        <v>廣錠</v>
      </c>
      <c r="AF319" t="str">
        <v>--</v>
      </c>
      <c r="AG319" t="str">
        <v>2022/05/24</v>
      </c>
      <c r="AH319" t="str">
        <v>2022/08/01</v>
      </c>
    </row>
    <row r="320" spans="1:34" x14ac:dyDescent="0.3">
      <c r="A320" t="str">
        <f t="array" ref="A320:J320">[1]!'6570.TW-ID,Name,MarketValue,Capital,NetIncomeGrowthRate,OperIncomeGrowthRate,FinancialStatementsTime,TFXRatio,MonthlyNetSalesYoY,RevenueMonth'</f>
        <v>6570</v>
      </c>
      <c r="B320" t="str">
        <v>維田</v>
      </c>
      <c r="C320" t="str">
        <v>13.2</v>
      </c>
      <c r="D320" t="str">
        <v>3.31</v>
      </c>
      <c r="E320" t="str">
        <v>58.73</v>
      </c>
      <c r="F320" t="str">
        <v>93.51</v>
      </c>
      <c r="G320" t="str">
        <v>2022/03</v>
      </c>
      <c r="H320" t="str">
        <v>5.77</v>
      </c>
      <c r="I320" t="str">
        <v>26.18</v>
      </c>
      <c r="J320" t="str">
        <v>2022/06</v>
      </c>
      <c r="K320" t="str">
        <f t="array" ref="K320:T320">[1]!'6570.TW-OperatingProfitRatio,Price,PriceChangeRatio,InOutRatioNumber,Value,YearReturn,MonthReturn,WeekReturn,FinanceBalanceDif,ChipsField2'</f>
        <v>11.32</v>
      </c>
      <c r="L320">
        <v>39.85</v>
      </c>
      <c r="M320">
        <v>0.25</v>
      </c>
      <c r="N320" t="str">
        <v>88.07%</v>
      </c>
      <c r="O320" t="str">
        <v>478萬</v>
      </c>
      <c r="P320" t="str">
        <v>+41.25</v>
      </c>
      <c r="Q320" t="str">
        <v>+4.73</v>
      </c>
      <c r="R320" t="str">
        <v>+0.89</v>
      </c>
      <c r="S320">
        <v>3</v>
      </c>
      <c r="T320">
        <v>0</v>
      </c>
      <c r="U320">
        <f t="array" ref="U320:AD320">[1]!'6570.TW-ChipsField3,ChipsField1,ChipsField25,CashAndStockDividend,CashDividendYieldRate,ProfitFourSeason,ProfitSingle,CName,ExchangeIndustry,CompanyPos'</f>
        <v>0</v>
      </c>
      <c r="V320">
        <v>4</v>
      </c>
      <c r="W320" t="str">
        <v>2022/06/22</v>
      </c>
      <c r="X320" t="str">
        <v>3.00</v>
      </c>
      <c r="Y320">
        <v>7.53</v>
      </c>
      <c r="Z320" t="str">
        <v>3.89</v>
      </c>
      <c r="AA320" t="str">
        <v>0.83</v>
      </c>
      <c r="AB320" t="str">
        <v>維田</v>
      </c>
      <c r="AC320" t="str">
        <v>上櫃電腦及週邊設備</v>
      </c>
      <c r="AD320" t="str">
        <v>以嵌入式系統為主之工業電腦廠商</v>
      </c>
      <c r="AE320" t="str">
        <f t="array" ref="AE320:AH320">[1]!'6570.TW-CName,InvestorConferenceDate,DateofMeetingofShareHolders,TradingDate'</f>
        <v>維田</v>
      </c>
      <c r="AF320" t="str">
        <v>2022/05/17</v>
      </c>
      <c r="AG320" t="str">
        <v>2022/05/27</v>
      </c>
      <c r="AH320" t="str">
        <v>2022/08/01</v>
      </c>
    </row>
    <row r="321" spans="1:34" x14ac:dyDescent="0.3">
      <c r="A321" t="str">
        <f t="array" ref="A321:J321">[1]!'6577.TW-ID,Name,MarketValue,Capital,NetIncomeGrowthRate,OperIncomeGrowthRate,FinancialStatementsTime,TFXRatio,MonthlyNetSalesYoY,RevenueMonth'</f>
        <v>6577</v>
      </c>
      <c r="B321" t="str">
        <v>勁豐</v>
      </c>
      <c r="C321" t="str">
        <v>23.1</v>
      </c>
      <c r="D321" t="str">
        <v>3.83</v>
      </c>
      <c r="E321" t="str">
        <v>24.18</v>
      </c>
      <c r="F321" t="str">
        <v>-7.66</v>
      </c>
      <c r="G321" t="str">
        <v>2022/03</v>
      </c>
      <c r="H321" t="str">
        <v>46.48</v>
      </c>
      <c r="I321" t="str">
        <v>69.81</v>
      </c>
      <c r="J321" t="str">
        <v>2022/06</v>
      </c>
      <c r="K321" t="str">
        <f t="array" ref="K321:T321">[1]!'6577.TW-OperatingProfitRatio,Price,PriceChangeRatio,InOutRatioNumber,Value,YearReturn,MonthReturn,WeekReturn,FinanceBalanceDif,ChipsField2'</f>
        <v>10.30</v>
      </c>
      <c r="L321">
        <v>60.3</v>
      </c>
      <c r="M321">
        <v>2.5499999999999998</v>
      </c>
      <c r="N321" t="str">
        <v>54.55%</v>
      </c>
      <c r="O321" t="str">
        <v>65.9萬</v>
      </c>
      <c r="P321" t="str">
        <v>+2.36</v>
      </c>
      <c r="Q321" t="str">
        <v>+7.10</v>
      </c>
      <c r="R321" t="str">
        <v>+1.01</v>
      </c>
      <c r="S321">
        <v>0</v>
      </c>
      <c r="T321">
        <v>-1</v>
      </c>
      <c r="U321">
        <f t="array" ref="U321:AD321">[1]!'6577.TW-ChipsField3,ChipsField1,ChipsField25,CashAndStockDividend,CashDividendYieldRate,ProfitFourSeason,ProfitSingle,CName,ExchangeIndustry,CompanyPos'</f>
        <v>0</v>
      </c>
      <c r="V321">
        <v>-4</v>
      </c>
      <c r="W321" t="str">
        <v>2022/06/30</v>
      </c>
      <c r="X321" t="str">
        <v>3.85</v>
      </c>
      <c r="Y321">
        <v>6.38</v>
      </c>
      <c r="Z321" t="str">
        <v>4.53</v>
      </c>
      <c r="AA321" t="str">
        <v>1.49</v>
      </c>
      <c r="AB321" t="str">
        <v>勁豐</v>
      </c>
      <c r="AC321" t="str">
        <v>上櫃電腦及週邊設備</v>
      </c>
      <c r="AD321" t="str">
        <v>豐藝旗下之工業電腦公司</v>
      </c>
      <c r="AE321" t="str">
        <f t="array" ref="AE321:AH321">[1]!'6577.TW-CName,InvestorConferenceDate,DateofMeetingofShareHolders,TradingDate'</f>
        <v>勁豐</v>
      </c>
      <c r="AF321" t="str">
        <v>--</v>
      </c>
      <c r="AG321" t="str">
        <v>2022/06/14</v>
      </c>
      <c r="AH321" t="str">
        <v>2022/08/01</v>
      </c>
    </row>
    <row r="322" spans="1:34" x14ac:dyDescent="0.3">
      <c r="A322" t="str">
        <f t="array" ref="A322:J322">[1]!'6680.TW-ID,Name,MarketValue,Capital,NetIncomeGrowthRate,OperIncomeGrowthRate,FinancialStatementsTime,TFXRatio,MonthlyNetSalesYoY,RevenueMonth'</f>
        <v>6680</v>
      </c>
      <c r="B322" t="str">
        <v>鑫創電子</v>
      </c>
      <c r="C322" t="str">
        <v>9.5</v>
      </c>
      <c r="D322" t="str">
        <v>1.91</v>
      </c>
      <c r="E322" t="str">
        <v>104.27</v>
      </c>
      <c r="F322" t="str">
        <v>3.16</v>
      </c>
      <c r="G322" t="str">
        <v>2022/06</v>
      </c>
      <c r="H322" t="str">
        <v>-20.33</v>
      </c>
      <c r="I322" t="str">
        <v>26.46</v>
      </c>
      <c r="J322" t="str">
        <v>2022/06</v>
      </c>
      <c r="K322" t="str">
        <f t="array" ref="K322:T322">[1]!'6680.TW-OperatingProfitRatio,Price,PriceChangeRatio,InOutRatioNumber,Value,YearReturn,MonthReturn,WeekReturn,FinanceBalanceDif,ChipsField2'</f>
        <v>7.45</v>
      </c>
      <c r="L322" t="str">
        <v>--</v>
      </c>
      <c r="M322" t="str">
        <v>--</v>
      </c>
      <c r="N322" t="str">
        <v>--</v>
      </c>
      <c r="O322" t="str">
        <v>--</v>
      </c>
      <c r="P322" t="str">
        <v>-1.08</v>
      </c>
      <c r="Q322" t="str">
        <v>+1.02</v>
      </c>
      <c r="R322" t="str">
        <v>+1.43</v>
      </c>
      <c r="S322">
        <v>0</v>
      </c>
      <c r="T322">
        <v>0</v>
      </c>
      <c r="U322">
        <f t="array" ref="U322:AD322">[1]!'6680.TW-ChipsField3,ChipsField1,ChipsField25,CashAndStockDividend,CashDividendYieldRate,ProfitFourSeason,ProfitSingle,CName,ExchangeIndustry,CompanyPos'</f>
        <v>0</v>
      </c>
      <c r="V322">
        <v>0</v>
      </c>
      <c r="W322" t="str">
        <v>2022/06/27</v>
      </c>
      <c r="X322" t="str">
        <v>1.50</v>
      </c>
      <c r="Y322">
        <v>3.02</v>
      </c>
      <c r="Z322" t="str">
        <v>2.47</v>
      </c>
      <c r="AA322" t="str">
        <v>0.85</v>
      </c>
      <c r="AB322" t="str">
        <v>鑫創電子</v>
      </c>
      <c r="AC322" t="str">
        <v>上櫃電腦及週邊設備</v>
      </c>
      <c r="AD322" t="str">
        <v>智能交通車載電腦系統製造商</v>
      </c>
      <c r="AE322" t="str">
        <f t="array" ref="AE322:AH322">[1]!'6680.TW-CName,InvestorConferenceDate,DateofMeetingofShareHolders,TradingDate'</f>
        <v>鑫創電子</v>
      </c>
      <c r="AF322" t="str">
        <v>--</v>
      </c>
      <c r="AG322" t="str">
        <v>2022/05/26</v>
      </c>
      <c r="AH322" t="str">
        <v>2022/08/01</v>
      </c>
    </row>
    <row r="323" spans="1:34" x14ac:dyDescent="0.3">
      <c r="A323" t="str">
        <f t="array" ref="A323:J323">[1]!'8050.TW-ID,Name,MarketValue,Capital,NetIncomeGrowthRate,OperIncomeGrowthRate,FinancialStatementsTime,TFXRatio,MonthlyNetSalesYoY,RevenueMonth'</f>
        <v>8050</v>
      </c>
      <c r="B323" t="str">
        <v>廣積</v>
      </c>
      <c r="C323" t="str">
        <v>124.3</v>
      </c>
      <c r="D323" t="str">
        <v>17.71</v>
      </c>
      <c r="E323" t="str">
        <v>109016.56</v>
      </c>
      <c r="F323" t="str">
        <v>1097.62</v>
      </c>
      <c r="G323" t="str">
        <v>2022/03</v>
      </c>
      <c r="H323" t="str">
        <v>44.56</v>
      </c>
      <c r="I323" t="str">
        <v>16.63</v>
      </c>
      <c r="J323" t="str">
        <v>2022/06</v>
      </c>
      <c r="K323" t="str">
        <f t="array" ref="K323:T323">[1]!'8050.TW-OperatingProfitRatio,Price,PriceChangeRatio,InOutRatioNumber,Value,YearReturn,MonthReturn,WeekReturn,FinanceBalanceDif,ChipsField2'</f>
        <v>12.15</v>
      </c>
      <c r="L323">
        <v>70.2</v>
      </c>
      <c r="M323">
        <v>2.0299999999999998</v>
      </c>
      <c r="N323" t="str">
        <v>53.17%</v>
      </c>
      <c r="O323" t="str">
        <v>11.5億</v>
      </c>
      <c r="P323" t="str">
        <v>+84.88</v>
      </c>
      <c r="Q323" t="str">
        <v>+19.50</v>
      </c>
      <c r="R323" t="str">
        <v>+6.36</v>
      </c>
      <c r="S323">
        <v>-79</v>
      </c>
      <c r="T323">
        <v>675</v>
      </c>
      <c r="U323">
        <f t="array" ref="U323:AD323">[1]!'8050.TW-ChipsField3,ChipsField1,ChipsField25,CashAndStockDividend,CashDividendYieldRate,ProfitFourSeason,ProfitSingle,CName,ExchangeIndustry,CompanyPos'</f>
        <v>15</v>
      </c>
      <c r="V323">
        <v>631</v>
      </c>
      <c r="W323" t="str">
        <v>2022/07/14</v>
      </c>
      <c r="X323" t="str">
        <v>2.16</v>
      </c>
      <c r="Y323">
        <v>3.08</v>
      </c>
      <c r="Z323" t="str">
        <v>3.88</v>
      </c>
      <c r="AA323" t="str">
        <v>1.53</v>
      </c>
      <c r="AB323" t="str">
        <v>廣積</v>
      </c>
      <c r="AC323" t="str">
        <v>上櫃電腦及週邊設備</v>
      </c>
      <c r="AD323" t="str">
        <v>以工業級嵌入式系統為主之工業電腦廠商</v>
      </c>
      <c r="AE323" t="str">
        <f t="array" ref="AE323:AH323">[1]!'8050.TW-CName,InvestorConferenceDate,DateofMeetingofShareHolders,TradingDate'</f>
        <v>廣積</v>
      </c>
      <c r="AF323" t="str">
        <v>2021/12/15</v>
      </c>
      <c r="AG323" t="str">
        <v>2022/06/22</v>
      </c>
      <c r="AH323" t="str">
        <v>2022/08/01</v>
      </c>
    </row>
    <row r="324" spans="1:34" x14ac:dyDescent="0.3">
      <c r="A324" t="str">
        <f t="array" ref="A324:J324">[1]!'8076.TW-ID,Name,MarketValue,Capital,NetIncomeGrowthRate,OperIncomeGrowthRate,FinancialStatementsTime,TFXRatio,MonthlyNetSalesYoY,RevenueMonth'</f>
        <v>8076</v>
      </c>
      <c r="B324" t="str">
        <v>伍豐</v>
      </c>
      <c r="C324" t="str">
        <v>87.1</v>
      </c>
      <c r="D324" t="str">
        <v>27.75</v>
      </c>
      <c r="E324" t="str">
        <v>377.66</v>
      </c>
      <c r="F324" t="str">
        <v>350.35</v>
      </c>
      <c r="G324" t="str">
        <v>2022/03</v>
      </c>
      <c r="H324" t="str">
        <v>2.02</v>
      </c>
      <c r="I324" t="str">
        <v>30.53</v>
      </c>
      <c r="J324" t="str">
        <v>2022/06</v>
      </c>
      <c r="K324" t="str">
        <f t="array" ref="K324:T324">[1]!'8076.TW-OperatingProfitRatio,Price,PriceChangeRatio,InOutRatioNumber,Value,YearReturn,MonthReturn,WeekReturn,FinanceBalanceDif,ChipsField2'</f>
        <v>3.99</v>
      </c>
      <c r="L324">
        <v>31.4</v>
      </c>
      <c r="M324">
        <v>0</v>
      </c>
      <c r="N324" t="str">
        <v>39.13%</v>
      </c>
      <c r="O324" t="str">
        <v>3024萬</v>
      </c>
      <c r="P324" t="str">
        <v>+0.56</v>
      </c>
      <c r="Q324" t="str">
        <v>+17.16</v>
      </c>
      <c r="R324" t="str">
        <v>+2.28</v>
      </c>
      <c r="S324">
        <v>-2</v>
      </c>
      <c r="T324">
        <v>0</v>
      </c>
      <c r="U324">
        <f t="array" ref="U324:AD324">[1]!'8076.TW-ChipsField3,ChipsField1,ChipsField25,CashAndStockDividend,CashDividendYieldRate,ProfitFourSeason,ProfitSingle,CName,ExchangeIndustry,CompanyPos'</f>
        <v>-9</v>
      </c>
      <c r="V324">
        <v>507</v>
      </c>
      <c r="W324" t="str">
        <v>--</v>
      </c>
      <c r="X324" t="str">
        <v>1.00</v>
      </c>
      <c r="Y324">
        <v>3.18</v>
      </c>
      <c r="Z324" t="str">
        <v>0.95</v>
      </c>
      <c r="AA324" t="str">
        <v>0.30</v>
      </c>
      <c r="AB324" t="str">
        <v>伍豐</v>
      </c>
      <c r="AC324" t="str">
        <v>上櫃電腦及週邊設備</v>
      </c>
      <c r="AD324" t="str">
        <v>跨入博奕產業之台灣POS專業廠商</v>
      </c>
      <c r="AE324" t="str">
        <f t="array" ref="AE324:AH324">[1]!'8076.TW-CName,InvestorConferenceDate,DateofMeetingofShareHolders,TradingDate'</f>
        <v>伍豐</v>
      </c>
      <c r="AF324" t="str">
        <v>2021/12/10</v>
      </c>
      <c r="AG324" t="str">
        <v>2022/06/29</v>
      </c>
      <c r="AH324" t="str">
        <v>2022/08/01</v>
      </c>
    </row>
    <row r="325" spans="1:34" x14ac:dyDescent="0.3">
      <c r="A325" t="str">
        <f t="array" ref="A325:J325">[1]!'8234.TW-ID,Name,MarketValue,Capital,NetIncomeGrowthRate,OperIncomeGrowthRate,FinancialStatementsTime,TFXRatio,MonthlyNetSalesYoY,RevenueMonth'</f>
        <v>8234</v>
      </c>
      <c r="B325" t="str">
        <v>新漢</v>
      </c>
      <c r="C325" t="str">
        <v>45.7</v>
      </c>
      <c r="D325" t="str">
        <v>14.12</v>
      </c>
      <c r="E325" t="str">
        <v>370.74</v>
      </c>
      <c r="F325" t="str">
        <v>322.10</v>
      </c>
      <c r="G325" t="str">
        <v>2022/03</v>
      </c>
      <c r="H325" t="str">
        <v>21.57</v>
      </c>
      <c r="I325" t="str">
        <v>17.62</v>
      </c>
      <c r="J325" t="str">
        <v>2022/06</v>
      </c>
      <c r="K325" t="str">
        <f t="array" ref="K325:T325">[1]!'8234.TW-OperatingProfitRatio,Price,PriceChangeRatio,InOutRatioNumber,Value,YearReturn,MonthReturn,WeekReturn,FinanceBalanceDif,ChipsField2'</f>
        <v>4.80</v>
      </c>
      <c r="L325">
        <v>32.35</v>
      </c>
      <c r="M325">
        <v>-1.22</v>
      </c>
      <c r="N325" t="str">
        <v>36.17%</v>
      </c>
      <c r="O325" t="str">
        <v>4949萬</v>
      </c>
      <c r="P325" t="str">
        <v>+45.56</v>
      </c>
      <c r="Q325" t="str">
        <v>+16.37</v>
      </c>
      <c r="R325" t="str">
        <v>+2.05</v>
      </c>
      <c r="S325">
        <v>-14</v>
      </c>
      <c r="T325">
        <v>0</v>
      </c>
      <c r="U325">
        <f t="array" ref="U325:AD325">[1]!'8234.TW-ChipsField3,ChipsField1,ChipsField25,CashAndStockDividend,CashDividendYieldRate,ProfitFourSeason,ProfitSingle,CName,ExchangeIndustry,CompanyPos'</f>
        <v>-8</v>
      </c>
      <c r="V325">
        <v>17</v>
      </c>
      <c r="W325" t="str">
        <v>--</v>
      </c>
      <c r="X325" t="str">
        <v>1.00</v>
      </c>
      <c r="Y325">
        <v>3.09</v>
      </c>
      <c r="Z325" t="str">
        <v>1.90</v>
      </c>
      <c r="AA325" t="str">
        <v>0.66</v>
      </c>
      <c r="AB325" t="str">
        <v>新漢</v>
      </c>
      <c r="AC325" t="str">
        <v>上櫃電腦及週邊設備</v>
      </c>
      <c r="AD325" t="str">
        <v>台灣工業電腦廠商</v>
      </c>
      <c r="AE325" t="str">
        <f t="array" ref="AE325:AH325">[1]!'8234.TW-CName,InvestorConferenceDate,DateofMeetingofShareHolders,TradingDate'</f>
        <v>新漢</v>
      </c>
      <c r="AF325" t="str">
        <v>--</v>
      </c>
      <c r="AG325" t="str">
        <v>2022/06/29</v>
      </c>
      <c r="AH325" t="str">
        <v>2022/08/01</v>
      </c>
    </row>
    <row r="326" spans="1:34" x14ac:dyDescent="0.3">
      <c r="A326" t="str">
        <f t="array" ref="A326:J326">[1]!'8410.TW-ID,Name,MarketValue,Capital,NetIncomeGrowthRate,OperIncomeGrowthRate,FinancialStatementsTime,TFXRatio,MonthlyNetSalesYoY,RevenueMonth'</f>
        <v>8410</v>
      </c>
      <c r="B326" t="str">
        <v>森田</v>
      </c>
      <c r="C326" t="str">
        <v>10.9</v>
      </c>
      <c r="D326" t="str">
        <v>3.66</v>
      </c>
      <c r="E326" t="str">
        <v>7.32</v>
      </c>
      <c r="F326" t="str">
        <v>-39.87</v>
      </c>
      <c r="G326" t="str">
        <v>2022/03</v>
      </c>
      <c r="H326" t="str">
        <v>-9.86</v>
      </c>
      <c r="I326" t="str">
        <v>17.44</v>
      </c>
      <c r="J326" t="str">
        <v>2022/06</v>
      </c>
      <c r="K326" t="str">
        <f t="array" ref="K326:T326">[1]!'8410.TW-OperatingProfitRatio,Price,PriceChangeRatio,InOutRatioNumber,Value,YearReturn,MonthReturn,WeekReturn,FinanceBalanceDif,ChipsField2'</f>
        <v>10.30</v>
      </c>
      <c r="L326">
        <v>29.85</v>
      </c>
      <c r="M326">
        <v>0.34</v>
      </c>
      <c r="N326" t="str">
        <v>60.00%</v>
      </c>
      <c r="O326" t="str">
        <v>32.9萬</v>
      </c>
      <c r="P326" t="str">
        <v>-21.74</v>
      </c>
      <c r="Q326" t="str">
        <v>+4.92</v>
      </c>
      <c r="R326" t="str">
        <v>+0.17</v>
      </c>
      <c r="S326">
        <v>0</v>
      </c>
      <c r="T326">
        <v>0</v>
      </c>
      <c r="U326">
        <f t="array" ref="U326:AD326">[1]!'8410.TW-ChipsField3,ChipsField1,ChipsField25,CashAndStockDividend,CashDividendYieldRate,ProfitFourSeason,ProfitSingle,CName,ExchangeIndustry,CompanyPos'</f>
        <v>0</v>
      </c>
      <c r="V326">
        <v>1</v>
      </c>
      <c r="W326" t="str">
        <v>--</v>
      </c>
      <c r="X326" t="str">
        <v>0.60</v>
      </c>
      <c r="Y326">
        <v>2.0099999999999998</v>
      </c>
      <c r="Z326" t="str">
        <v>1.24</v>
      </c>
      <c r="AA326" t="str">
        <v>1.32</v>
      </c>
      <c r="AB326" t="str">
        <v>森田</v>
      </c>
      <c r="AC326" t="str">
        <v>上櫃電腦及週邊設備</v>
      </c>
      <c r="AD326" t="str">
        <v>台灣最大3C產品之膜內轉印(IMR)印刷廠</v>
      </c>
      <c r="AE326" t="str">
        <f t="array" ref="AE326:AH326">[1]!'8410.TW-CName,InvestorConferenceDate,DateofMeetingofShareHolders,TradingDate'</f>
        <v>森田</v>
      </c>
      <c r="AF326" t="str">
        <v>--</v>
      </c>
      <c r="AG326" t="str">
        <v>2022/06/28</v>
      </c>
      <c r="AH326" t="str">
        <v>2022/08/01</v>
      </c>
    </row>
    <row r="327" spans="1:34" x14ac:dyDescent="0.3">
      <c r="A327" t="str">
        <f t="array" ref="A327:J327">[1]!'3066.TW-ID,Name,MarketValue,Capital,NetIncomeGrowthRate,OperIncomeGrowthRate,FinancialStatementsTime,TFXRatio,MonthlyNetSalesYoY,RevenueMonth'</f>
        <v>3066</v>
      </c>
      <c r="B327" t="str">
        <v>李洲</v>
      </c>
      <c r="C327" t="str">
        <v>19.9</v>
      </c>
      <c r="D327" t="str">
        <v>8.31</v>
      </c>
      <c r="E327" t="str">
        <v>37.77</v>
      </c>
      <c r="F327" t="str">
        <v>-306.61</v>
      </c>
      <c r="G327" t="str">
        <v>2022/03</v>
      </c>
      <c r="H327" t="str">
        <v>-9.92</v>
      </c>
      <c r="I327" t="str">
        <v>-50.42</v>
      </c>
      <c r="J327" t="str">
        <v>2022/06</v>
      </c>
      <c r="K327" t="str">
        <f t="array" ref="K327:T327">[1]!'3066.TW-OperatingProfitRatio,Price,PriceChangeRatio,InOutRatioNumber,Value,YearReturn,MonthReturn,WeekReturn,FinanceBalanceDif,ChipsField2'</f>
        <v>-15.91</v>
      </c>
      <c r="L327">
        <v>23.9</v>
      </c>
      <c r="M327">
        <v>9.89</v>
      </c>
      <c r="N327" t="str">
        <v>85.05%</v>
      </c>
      <c r="O327" t="str">
        <v>1874萬</v>
      </c>
      <c r="P327" t="str">
        <v>+57.24</v>
      </c>
      <c r="Q327" t="str">
        <v>-6.82</v>
      </c>
      <c r="R327" t="str">
        <v>+8.64</v>
      </c>
      <c r="S327">
        <v>-4</v>
      </c>
      <c r="T327">
        <v>0</v>
      </c>
      <c r="U327">
        <f t="array" ref="U327:AD327">[1]!'3066.TW-ChipsField3,ChipsField1,ChipsField25,CashAndStockDividend,CashDividendYieldRate,ProfitFourSeason,ProfitSingle,CName,ExchangeIndustry,CompanyPos'</f>
        <v>0</v>
      </c>
      <c r="V327">
        <v>-2</v>
      </c>
      <c r="W327" t="str">
        <v>--</v>
      </c>
      <c r="X327" t="str">
        <v>0.00</v>
      </c>
      <c r="Y327">
        <v>0</v>
      </c>
      <c r="Z327" t="str">
        <v>2.16</v>
      </c>
      <c r="AA327" t="str">
        <v>0.23</v>
      </c>
      <c r="AB327" t="str">
        <v>李洲</v>
      </c>
      <c r="AC327" t="str">
        <v>上櫃光電</v>
      </c>
      <c r="AD327" t="str">
        <v>台灣利基型LED封裝廠</v>
      </c>
      <c r="AE327" t="str">
        <f t="array" ref="AE327:AH327">[1]!'3066.TW-CName,InvestorConferenceDate,DateofMeetingofShareHolders,TradingDate'</f>
        <v>李洲</v>
      </c>
      <c r="AF327" t="str">
        <v>--</v>
      </c>
      <c r="AG327" t="str">
        <v>2022/05/30</v>
      </c>
      <c r="AH327" t="str">
        <v>2022/08/01</v>
      </c>
    </row>
    <row r="328" spans="1:34" x14ac:dyDescent="0.3">
      <c r="A328" t="str">
        <f t="array" ref="A328:J328">[1]!'3128.TW-ID,Name,MarketValue,Capital,NetIncomeGrowthRate,OperIncomeGrowthRate,FinancialStatementsTime,TFXRatio,MonthlyNetSalesYoY,RevenueMonth'</f>
        <v>3128</v>
      </c>
      <c r="B328" t="str">
        <v>昇銳</v>
      </c>
      <c r="C328" t="str">
        <v>8.2</v>
      </c>
      <c r="D328" t="str">
        <v>4.20</v>
      </c>
      <c r="E328" t="str">
        <v>90.63</v>
      </c>
      <c r="F328" t="str">
        <v>38.43</v>
      </c>
      <c r="G328" t="str">
        <v>2022/03</v>
      </c>
      <c r="H328" t="str">
        <v>32.29</v>
      </c>
      <c r="I328" t="str">
        <v>62.55</v>
      </c>
      <c r="J328" t="str">
        <v>2022/06</v>
      </c>
      <c r="K328" t="str">
        <f t="array" ref="K328:T328">[1]!'3128.TW-OperatingProfitRatio,Price,PriceChangeRatio,InOutRatioNumber,Value,YearReturn,MonthReturn,WeekReturn,FinanceBalanceDif,ChipsField2'</f>
        <v>5.05</v>
      </c>
      <c r="L328">
        <v>19.55</v>
      </c>
      <c r="M328">
        <v>0.77</v>
      </c>
      <c r="N328" t="str">
        <v>48.94%</v>
      </c>
      <c r="O328" t="str">
        <v>188萬</v>
      </c>
      <c r="P328" t="str">
        <v>+6.94</v>
      </c>
      <c r="Q328" t="str">
        <v>+12.03</v>
      </c>
      <c r="R328" t="str">
        <v>+0.51</v>
      </c>
      <c r="S328">
        <v>-29</v>
      </c>
      <c r="T328">
        <v>0</v>
      </c>
      <c r="U328">
        <f t="array" ref="U328:AD328">[1]!'3128.TW-ChipsField3,ChipsField1,ChipsField25,CashAndStockDividend,CashDividendYieldRate,ProfitFourSeason,ProfitSingle,CName,ExchangeIndustry,CompanyPos'</f>
        <v>0</v>
      </c>
      <c r="V328">
        <v>-3</v>
      </c>
      <c r="W328" t="str">
        <v>2022/08/03</v>
      </c>
      <c r="X328" t="str">
        <v>0.70</v>
      </c>
      <c r="Y328">
        <v>3.58</v>
      </c>
      <c r="Z328" t="str">
        <v>0.96</v>
      </c>
      <c r="AA328" t="str">
        <v>0.32</v>
      </c>
      <c r="AB328" t="str">
        <v>昇銳</v>
      </c>
      <c r="AC328" t="str">
        <v>上櫃光電</v>
      </c>
      <c r="AD328" t="str">
        <v>為監視系統領域之專業安全監控廠</v>
      </c>
      <c r="AE328" t="str">
        <f t="array" ref="AE328:AH328">[1]!'3128.TW-CName,InvestorConferenceDate,DateofMeetingofShareHolders,TradingDate'</f>
        <v>昇銳</v>
      </c>
      <c r="AF328" t="str">
        <v>--</v>
      </c>
      <c r="AG328" t="str">
        <v>2022/06/27</v>
      </c>
      <c r="AH328" t="str">
        <v>2022/08/01</v>
      </c>
    </row>
    <row r="329" spans="1:34" x14ac:dyDescent="0.3">
      <c r="A329" t="str">
        <f t="array" ref="A329:J329">[1]!'3230.TW-ID,Name,MarketValue,Capital,NetIncomeGrowthRate,OperIncomeGrowthRate,FinancialStatementsTime,TFXRatio,MonthlyNetSalesYoY,RevenueMonth'</f>
        <v>3230</v>
      </c>
      <c r="B329" t="str">
        <v>錦明</v>
      </c>
      <c r="C329" t="str">
        <v>12.3</v>
      </c>
      <c r="D329" t="str">
        <v>7.10</v>
      </c>
      <c r="E329" t="str">
        <v>-1012.45</v>
      </c>
      <c r="F329" t="str">
        <v>-1705.13</v>
      </c>
      <c r="G329" t="str">
        <v>2022/03</v>
      </c>
      <c r="H329" t="str">
        <v>-3.45</v>
      </c>
      <c r="I329" t="str">
        <v>-16.46</v>
      </c>
      <c r="J329" t="str">
        <v>2022/06</v>
      </c>
      <c r="K329" t="str">
        <f t="array" ref="K329:T329">[1]!'3230.TW-OperatingProfitRatio,Price,PriceChangeRatio,InOutRatioNumber,Value,YearReturn,MonthReturn,WeekReturn,FinanceBalanceDif,ChipsField2'</f>
        <v>-8.18</v>
      </c>
      <c r="L329">
        <v>17.3</v>
      </c>
      <c r="M329">
        <v>-1.98</v>
      </c>
      <c r="N329" t="str">
        <v>10.71%</v>
      </c>
      <c r="O329" t="str">
        <v>48.6萬</v>
      </c>
      <c r="P329" t="str">
        <v>+3.59</v>
      </c>
      <c r="Q329" t="str">
        <v>+10.19</v>
      </c>
      <c r="R329" t="str">
        <v>+0.29</v>
      </c>
      <c r="S329">
        <v>-124</v>
      </c>
      <c r="T329">
        <v>0</v>
      </c>
      <c r="U329">
        <f t="array" ref="U329:AD329">[1]!'3230.TW-ChipsField3,ChipsField1,ChipsField25,CashAndStockDividend,CashDividendYieldRate,ProfitFourSeason,ProfitSingle,CName,ExchangeIndustry,CompanyPos'</f>
        <v>0</v>
      </c>
      <c r="V329">
        <v>-10</v>
      </c>
      <c r="W329" t="str">
        <v>--</v>
      </c>
      <c r="X329" t="str">
        <v>0.00</v>
      </c>
      <c r="Y329">
        <v>0</v>
      </c>
      <c r="Z329" t="str">
        <v>-0.89</v>
      </c>
      <c r="AA329" t="str">
        <v>-0.39</v>
      </c>
      <c r="AB329" t="str">
        <v>錦明</v>
      </c>
      <c r="AC329" t="str">
        <v>上櫃光電</v>
      </c>
      <c r="AD329" t="str">
        <v>生產液晶螢幕金屬機構模具廠</v>
      </c>
      <c r="AE329" t="str">
        <f t="array" ref="AE329:AH329">[1]!'3230.TW-CName,InvestorConferenceDate,DateofMeetingofShareHolders,TradingDate'</f>
        <v>錦明</v>
      </c>
      <c r="AF329" t="str">
        <v>--</v>
      </c>
      <c r="AG329" t="str">
        <v>2022/06/21</v>
      </c>
      <c r="AH329" t="str">
        <v>2022/08/01</v>
      </c>
    </row>
    <row r="330" spans="1:34" x14ac:dyDescent="0.3">
      <c r="A330" t="str">
        <f t="array" ref="A330:J330">[1]!'3297.TW-ID,Name,MarketValue,Capital,NetIncomeGrowthRate,OperIncomeGrowthRate,FinancialStatementsTime,TFXRatio,MonthlyNetSalesYoY,RevenueMonth'</f>
        <v>3297</v>
      </c>
      <c r="B330" t="str">
        <v>杭特</v>
      </c>
      <c r="C330" t="str">
        <v>5.5</v>
      </c>
      <c r="D330" t="str">
        <v>3.60</v>
      </c>
      <c r="E330" t="str">
        <v>227.46</v>
      </c>
      <c r="F330" t="str">
        <v>26.19</v>
      </c>
      <c r="G330" t="str">
        <v>2022/03</v>
      </c>
      <c r="H330" t="str">
        <v>-23.17</v>
      </c>
      <c r="I330" t="str">
        <v>-23.01</v>
      </c>
      <c r="J330" t="str">
        <v>2022/06</v>
      </c>
      <c r="K330" t="str">
        <f t="array" ref="K330:T330">[1]!'3297.TW-OperatingProfitRatio,Price,PriceChangeRatio,InOutRatioNumber,Value,YearReturn,MonthReturn,WeekReturn,FinanceBalanceDif,ChipsField2'</f>
        <v>-7.30</v>
      </c>
      <c r="L330">
        <v>15.2</v>
      </c>
      <c r="M330">
        <v>-1.62</v>
      </c>
      <c r="N330" t="str">
        <v>12.50%</v>
      </c>
      <c r="O330" t="str">
        <v>50.4萬</v>
      </c>
      <c r="P330" t="str">
        <v>-1.30</v>
      </c>
      <c r="Q330" t="str">
        <v>+6.67</v>
      </c>
      <c r="R330" t="str">
        <v>0.00</v>
      </c>
      <c r="S330">
        <v>-1</v>
      </c>
      <c r="T330">
        <v>0</v>
      </c>
      <c r="U330">
        <f t="array" ref="U330:AD330">[1]!'3297.TW-ChipsField3,ChipsField1,ChipsField25,CashAndStockDividend,CashDividendYieldRate,ProfitFourSeason,ProfitSingle,CName,ExchangeIndustry,CompanyPos'</f>
        <v>0</v>
      </c>
      <c r="V330">
        <v>4</v>
      </c>
      <c r="W330" t="str">
        <v>--</v>
      </c>
      <c r="X330" t="str">
        <v>0.00</v>
      </c>
      <c r="Y330">
        <v>0</v>
      </c>
      <c r="Z330" t="str">
        <v>-0.13</v>
      </c>
      <c r="AA330" t="str">
        <v>0.16</v>
      </c>
      <c r="AB330" t="str">
        <v>杭特</v>
      </c>
      <c r="AC330" t="str">
        <v>上櫃光電</v>
      </c>
      <c r="AD330" t="str">
        <v>中低階安全監控設備廠商</v>
      </c>
      <c r="AE330" t="str">
        <f t="array" ref="AE330:AH330">[1]!'3297.TW-CName,InvestorConferenceDate,DateofMeetingofShareHolders,TradingDate'</f>
        <v>杭特</v>
      </c>
      <c r="AF330" t="str">
        <v>--</v>
      </c>
      <c r="AG330" t="str">
        <v>2022/05/26</v>
      </c>
      <c r="AH330" t="str">
        <v>2022/08/01</v>
      </c>
    </row>
    <row r="331" spans="1:34" x14ac:dyDescent="0.3">
      <c r="A331" t="str">
        <f t="array" ref="A331:J331">[1]!'3339.TW-ID,Name,MarketValue,Capital,NetIncomeGrowthRate,OperIncomeGrowthRate,FinancialStatementsTime,TFXRatio,MonthlyNetSalesYoY,RevenueMonth'</f>
        <v>3339</v>
      </c>
      <c r="B331" t="str">
        <v>泰谷</v>
      </c>
      <c r="C331" t="str">
        <v>7.0</v>
      </c>
      <c r="D331" t="str">
        <v>5.16</v>
      </c>
      <c r="E331" t="str">
        <v>-113.23</v>
      </c>
      <c r="F331" t="str">
        <v>-152.62</v>
      </c>
      <c r="G331" t="str">
        <v>2022/03</v>
      </c>
      <c r="H331" t="str">
        <v>-13.13</v>
      </c>
      <c r="I331" t="str">
        <v>-44.93</v>
      </c>
      <c r="J331" t="str">
        <v>2022/06</v>
      </c>
      <c r="K331" t="str">
        <f t="array" ref="K331:T331">[1]!'3339.TW-OperatingProfitRatio,Price,PriceChangeRatio,InOutRatioNumber,Value,YearReturn,MonthReturn,WeekReturn,FinanceBalanceDif,ChipsField2'</f>
        <v>-3.78</v>
      </c>
      <c r="L331">
        <v>13.55</v>
      </c>
      <c r="M331">
        <v>0.37</v>
      </c>
      <c r="N331" t="str">
        <v>45.52%</v>
      </c>
      <c r="O331" t="str">
        <v>974萬</v>
      </c>
      <c r="P331" t="str">
        <v>-41.85</v>
      </c>
      <c r="Q331" t="str">
        <v>+7.97</v>
      </c>
      <c r="R331" t="str">
        <v>+3.83</v>
      </c>
      <c r="S331">
        <v>24</v>
      </c>
      <c r="T331">
        <v>0</v>
      </c>
      <c r="U331">
        <f t="array" ref="U331:AD331">[1]!'3339.TW-ChipsField3,ChipsField1,ChipsField25,CashAndStockDividend,CashDividendYieldRate,ProfitFourSeason,ProfitSingle,CName,ExchangeIndustry,CompanyPos'</f>
        <v>0</v>
      </c>
      <c r="V331">
        <v>101</v>
      </c>
      <c r="W331" t="str">
        <v>--</v>
      </c>
      <c r="X331" t="str">
        <v>0.00</v>
      </c>
      <c r="Y331">
        <v>0</v>
      </c>
      <c r="Z331" t="str">
        <v>1.18</v>
      </c>
      <c r="AA331" t="str">
        <v>-0.06</v>
      </c>
      <c r="AB331" t="str">
        <v>泰谷</v>
      </c>
      <c r="AC331" t="str">
        <v>上櫃光電</v>
      </c>
      <c r="AD331" t="str">
        <v>台灣專業生產綠光、藍光、紫外光LED磊晶片及晶粒供應廠</v>
      </c>
      <c r="AE331" t="str">
        <f t="array" ref="AE331:AH331">[1]!'3339.TW-CName,InvestorConferenceDate,DateofMeetingofShareHolders,TradingDate'</f>
        <v>泰谷</v>
      </c>
      <c r="AF331" t="str">
        <v>2022/07/12</v>
      </c>
      <c r="AG331" t="str">
        <v>2022/06/08</v>
      </c>
      <c r="AH331" t="str">
        <v>2022/08/01</v>
      </c>
    </row>
    <row r="332" spans="1:34" x14ac:dyDescent="0.3">
      <c r="A332" t="str">
        <f t="array" ref="A332:J332">[1]!'3362.TW-ID,Name,MarketValue,Capital,NetIncomeGrowthRate,OperIncomeGrowthRate,FinancialStatementsTime,TFXRatio,MonthlyNetSalesYoY,RevenueMonth'</f>
        <v>3362</v>
      </c>
      <c r="B332" t="str">
        <v>先進光</v>
      </c>
      <c r="C332" t="str">
        <v>110.7</v>
      </c>
      <c r="D332" t="str">
        <v>14.19</v>
      </c>
      <c r="E332" t="str">
        <v>254.43</v>
      </c>
      <c r="F332" t="str">
        <v>98.15</v>
      </c>
      <c r="G332" t="str">
        <v>2022/03</v>
      </c>
      <c r="H332" t="str">
        <v>-23.50</v>
      </c>
      <c r="I332" t="str">
        <v>9.15</v>
      </c>
      <c r="J332" t="str">
        <v>2022/06</v>
      </c>
      <c r="K332" t="str">
        <f t="array" ref="K332:T332">[1]!'3362.TW-OperatingProfitRatio,Price,PriceChangeRatio,InOutRatioNumber,Value,YearReturn,MonthReturn,WeekReturn,FinanceBalanceDif,ChipsField2'</f>
        <v>6.78</v>
      </c>
      <c r="L332">
        <v>78.2</v>
      </c>
      <c r="M332">
        <v>-0.76</v>
      </c>
      <c r="N332" t="str">
        <v>50.62%</v>
      </c>
      <c r="O332" t="str">
        <v>1.13億</v>
      </c>
      <c r="P332" t="str">
        <v>+0.13</v>
      </c>
      <c r="Q332" t="str">
        <v>+50.38</v>
      </c>
      <c r="R332" t="str">
        <v>-1.14</v>
      </c>
      <c r="S332">
        <v>237</v>
      </c>
      <c r="T332">
        <v>0</v>
      </c>
      <c r="U332">
        <f t="array" ref="U332:AD332">[1]!'3362.TW-ChipsField3,ChipsField1,ChipsField25,CashAndStockDividend,CashDividendYieldRate,ProfitFourSeason,ProfitSingle,CName,ExchangeIndustry,CompanyPos'</f>
        <v>6</v>
      </c>
      <c r="V332">
        <v>320</v>
      </c>
      <c r="W332" t="str">
        <v>--</v>
      </c>
      <c r="X332" t="str">
        <v>0.00</v>
      </c>
      <c r="Y332">
        <v>0</v>
      </c>
      <c r="Z332" t="str">
        <v>0.60</v>
      </c>
      <c r="AA332" t="str">
        <v>0.81</v>
      </c>
      <c r="AB332" t="str">
        <v>先進光</v>
      </c>
      <c r="AC332" t="str">
        <v>上櫃光電</v>
      </c>
      <c r="AD332" t="str">
        <v>台灣光學鏡頭研發及製造廠商</v>
      </c>
      <c r="AE332" t="str">
        <f t="array" ref="AE332:AH332">[1]!'3362.TW-CName,InvestorConferenceDate,DateofMeetingofShareHolders,TradingDate'</f>
        <v>先進光</v>
      </c>
      <c r="AF332" t="str">
        <v>--</v>
      </c>
      <c r="AG332" t="str">
        <v>2022/06/22</v>
      </c>
      <c r="AH332" t="str">
        <v>2022/08/01</v>
      </c>
    </row>
    <row r="333" spans="1:34" x14ac:dyDescent="0.3">
      <c r="A333" t="str">
        <f t="array" ref="A333:J333">[1]!'3434.TW-ID,Name,MarketValue,Capital,NetIncomeGrowthRate,OperIncomeGrowthRate,FinancialStatementsTime,TFXRatio,MonthlyNetSalesYoY,RevenueMonth'</f>
        <v>3434</v>
      </c>
      <c r="B333" t="str">
        <v>哲固</v>
      </c>
      <c r="C333" t="str">
        <v>7.0</v>
      </c>
      <c r="D333" t="str">
        <v>2.41</v>
      </c>
      <c r="E333" t="str">
        <v>500.51</v>
      </c>
      <c r="F333" t="str">
        <v>210.99</v>
      </c>
      <c r="G333" t="str">
        <v>2022/03</v>
      </c>
      <c r="H333" t="str">
        <v>2.30</v>
      </c>
      <c r="I333" t="str">
        <v>-0.29</v>
      </c>
      <c r="J333" t="str">
        <v>2022/06</v>
      </c>
      <c r="K333" t="str">
        <f t="array" ref="K333:T333">[1]!'3434.TW-OperatingProfitRatio,Price,PriceChangeRatio,InOutRatioNumber,Value,YearReturn,MonthReturn,WeekReturn,FinanceBalanceDif,ChipsField2'</f>
        <v>3.86</v>
      </c>
      <c r="L333">
        <v>28.9</v>
      </c>
      <c r="M333">
        <v>9.89</v>
      </c>
      <c r="N333" t="str">
        <v>82.21%</v>
      </c>
      <c r="O333" t="str">
        <v>2094萬</v>
      </c>
      <c r="P333" t="str">
        <v>+120.48</v>
      </c>
      <c r="Q333" t="str">
        <v>+19.87</v>
      </c>
      <c r="R333" t="str">
        <v>+12.45</v>
      </c>
      <c r="S333">
        <v>-33</v>
      </c>
      <c r="T333">
        <v>0</v>
      </c>
      <c r="U333">
        <f t="array" ref="U333:AD333">[1]!'3434.TW-ChipsField3,ChipsField1,ChipsField25,CashAndStockDividend,CashDividendYieldRate,ProfitFourSeason,ProfitSingle,CName,ExchangeIndustry,CompanyPos'</f>
        <v>-6</v>
      </c>
      <c r="V333">
        <v>72</v>
      </c>
      <c r="W333" t="str">
        <v>2022/07/11</v>
      </c>
      <c r="X333" t="str">
        <v>0.80</v>
      </c>
      <c r="Y333">
        <v>2.77</v>
      </c>
      <c r="Z333" t="str">
        <v>1.21</v>
      </c>
      <c r="AA333" t="str">
        <v>0.47</v>
      </c>
      <c r="AB333" t="str">
        <v>哲固</v>
      </c>
      <c r="AC333" t="str">
        <v>上櫃光電</v>
      </c>
      <c r="AD333" t="str">
        <v>台灣安全監控顯示器廠商</v>
      </c>
      <c r="AE333" t="str">
        <f t="array" ref="AE333:AH333">[1]!'3434.TW-CName,InvestorConferenceDate,DateofMeetingofShareHolders,TradingDate'</f>
        <v>哲固</v>
      </c>
      <c r="AF333" t="str">
        <v>--</v>
      </c>
      <c r="AG333" t="str">
        <v>2022/06/15</v>
      </c>
      <c r="AH333" t="str">
        <v>2022/08/01</v>
      </c>
    </row>
    <row r="334" spans="1:34" x14ac:dyDescent="0.3">
      <c r="A334" t="str">
        <f t="array" ref="A334:J334">[1]!'3441.TW-ID,Name,MarketValue,Capital,NetIncomeGrowthRate,OperIncomeGrowthRate,FinancialStatementsTime,TFXRatio,MonthlyNetSalesYoY,RevenueMonth'</f>
        <v>3441</v>
      </c>
      <c r="B334" t="str">
        <v>聯一光</v>
      </c>
      <c r="C334" t="str">
        <v>16.2</v>
      </c>
      <c r="D334" t="str">
        <v>4.00</v>
      </c>
      <c r="E334" t="str">
        <v>1672.16</v>
      </c>
      <c r="F334" t="str">
        <v>773.96</v>
      </c>
      <c r="G334" t="str">
        <v>2022/03</v>
      </c>
      <c r="H334" t="str">
        <v>3.15</v>
      </c>
      <c r="I334" t="str">
        <v>8.94</v>
      </c>
      <c r="J334" t="str">
        <v>2022/06</v>
      </c>
      <c r="K334" t="str">
        <f t="array" ref="K334:T334">[1]!'3441.TW-OperatingProfitRatio,Price,PriceChangeRatio,InOutRatioNumber,Value,YearReturn,MonthReturn,WeekReturn,FinanceBalanceDif,ChipsField2'</f>
        <v>14.00</v>
      </c>
      <c r="L334">
        <v>40.549999999999997</v>
      </c>
      <c r="M334">
        <v>0</v>
      </c>
      <c r="N334" t="str">
        <v>33.78%</v>
      </c>
      <c r="O334" t="str">
        <v>6787萬</v>
      </c>
      <c r="P334" t="str">
        <v>+8.05</v>
      </c>
      <c r="Q334" t="str">
        <v>+37.24</v>
      </c>
      <c r="R334" t="str">
        <v>+1.76</v>
      </c>
      <c r="S334">
        <v>320</v>
      </c>
      <c r="T334">
        <v>0</v>
      </c>
      <c r="U334">
        <f t="array" ref="U334:AD334">[1]!'3441.TW-ChipsField3,ChipsField1,ChipsField25,CashAndStockDividend,CashDividendYieldRate,ProfitFourSeason,ProfitSingle,CName,ExchangeIndustry,CompanyPos'</f>
        <v>0</v>
      </c>
      <c r="V334">
        <v>364</v>
      </c>
      <c r="W334" t="str">
        <v>2022/07/08</v>
      </c>
      <c r="X334" t="str">
        <v>0.50</v>
      </c>
      <c r="Y334">
        <v>1.23</v>
      </c>
      <c r="Z334" t="str">
        <v>1.26</v>
      </c>
      <c r="AA334" t="str">
        <v>0.65</v>
      </c>
      <c r="AB334" t="str">
        <v>聯一光</v>
      </c>
      <c r="AC334" t="str">
        <v>上櫃光電</v>
      </c>
      <c r="AD334" t="str">
        <v>台灣光學鏡頭上游專業光學毛胚廠</v>
      </c>
      <c r="AE334" t="str">
        <f t="array" ref="AE334:AH334">[1]!'3441.TW-CName,InvestorConferenceDate,DateofMeetingofShareHolders,TradingDate'</f>
        <v>聯一光</v>
      </c>
      <c r="AF334" t="str">
        <v>--</v>
      </c>
      <c r="AG334" t="str">
        <v>2022/05/25</v>
      </c>
      <c r="AH334" t="str">
        <v>2022/08/01</v>
      </c>
    </row>
    <row r="335" spans="1:34" x14ac:dyDescent="0.3">
      <c r="A335" t="str">
        <f t="array" ref="A335:J335">[1]!'3455.TW-ID,Name,MarketValue,Capital,NetIncomeGrowthRate,OperIncomeGrowthRate,FinancialStatementsTime,TFXRatio,MonthlyNetSalesYoY,RevenueMonth'</f>
        <v>3455</v>
      </c>
      <c r="B335" t="str">
        <v>由田</v>
      </c>
      <c r="C335" t="str">
        <v>48.7</v>
      </c>
      <c r="D335" t="str">
        <v>5.99</v>
      </c>
      <c r="E335" t="str">
        <v>90.90</v>
      </c>
      <c r="F335" t="str">
        <v>11.28</v>
      </c>
      <c r="G335" t="str">
        <v>2022/03</v>
      </c>
      <c r="H335" t="str">
        <v>3.16</v>
      </c>
      <c r="I335" t="str">
        <v>45.30</v>
      </c>
      <c r="J335" t="str">
        <v>2022/06</v>
      </c>
      <c r="K335" t="str">
        <f t="array" ref="K335:T335">[1]!'3455.TW-OperatingProfitRatio,Price,PriceChangeRatio,InOutRatioNumber,Value,YearReturn,MonthReturn,WeekReturn,FinanceBalanceDif,ChipsField2'</f>
        <v>8.59</v>
      </c>
      <c r="L335">
        <v>81.400000000000006</v>
      </c>
      <c r="M335">
        <v>0.12</v>
      </c>
      <c r="N335" t="str">
        <v>47.47%</v>
      </c>
      <c r="O335" t="str">
        <v>824萬</v>
      </c>
      <c r="P335" t="str">
        <v>+45.46</v>
      </c>
      <c r="Q335" t="str">
        <v>+13.06</v>
      </c>
      <c r="R335" t="str">
        <v>+1.75</v>
      </c>
      <c r="S335">
        <v>-11</v>
      </c>
      <c r="T335">
        <v>0</v>
      </c>
      <c r="U335">
        <f t="array" ref="U335:AD335">[1]!'3455.TW-ChipsField3,ChipsField1,ChipsField25,CashAndStockDividend,CashDividendYieldRate,ProfitFourSeason,ProfitSingle,CName,ExchangeIndustry,CompanyPos'</f>
        <v>0</v>
      </c>
      <c r="V335">
        <v>107</v>
      </c>
      <c r="W335" t="str">
        <v>--</v>
      </c>
      <c r="X335" t="str">
        <v>5.50</v>
      </c>
      <c r="Y335">
        <v>6.76</v>
      </c>
      <c r="Z335" t="str">
        <v>8.12</v>
      </c>
      <c r="AA335" t="str">
        <v>1.29</v>
      </c>
      <c r="AB335" t="str">
        <v>由田</v>
      </c>
      <c r="AC335" t="str">
        <v>上櫃光電</v>
      </c>
      <c r="AD335" t="str">
        <v>台灣最大光學檢測設備製造商</v>
      </c>
      <c r="AE335" t="str">
        <f t="array" ref="AE335:AH335">[1]!'3455.TW-CName,InvestorConferenceDate,DateofMeetingofShareHolders,TradingDate'</f>
        <v>由田</v>
      </c>
      <c r="AF335" t="str">
        <v>--</v>
      </c>
      <c r="AG335" t="str">
        <v>2022/06/28</v>
      </c>
      <c r="AH335" t="str">
        <v>2022/08/01</v>
      </c>
    </row>
    <row r="336" spans="1:34" x14ac:dyDescent="0.3">
      <c r="A336" t="str">
        <f t="array" ref="A336:J336">[1]!'3490.TW-ID,Name,MarketValue,Capital,NetIncomeGrowthRate,OperIncomeGrowthRate,FinancialStatementsTime,TFXRatio,MonthlyNetSalesYoY,RevenueMonth'</f>
        <v>3490</v>
      </c>
      <c r="B336" t="str">
        <v>單井</v>
      </c>
      <c r="C336" t="str">
        <v>13.3</v>
      </c>
      <c r="D336" t="str">
        <v>5.70</v>
      </c>
      <c r="E336" t="str">
        <v>280.57</v>
      </c>
      <c r="F336" t="str">
        <v>323.84</v>
      </c>
      <c r="G336" t="str">
        <v>2022/03</v>
      </c>
      <c r="H336" t="str">
        <v>-6.39</v>
      </c>
      <c r="I336" t="str">
        <v>-15.00</v>
      </c>
      <c r="J336" t="str">
        <v>2022/06</v>
      </c>
      <c r="K336" t="str">
        <f t="array" ref="K336:T336">[1]!'3490.TW-OperatingProfitRatio,Price,PriceChangeRatio,InOutRatioNumber,Value,YearReturn,MonthReturn,WeekReturn,FinanceBalanceDif,ChipsField2'</f>
        <v>27.26</v>
      </c>
      <c r="L336">
        <v>23.3</v>
      </c>
      <c r="M336">
        <v>-0.43</v>
      </c>
      <c r="N336" t="str">
        <v>45.28%</v>
      </c>
      <c r="O336" t="str">
        <v>250萬</v>
      </c>
      <c r="P336" t="str">
        <v>-8.72</v>
      </c>
      <c r="Q336" t="str">
        <v>+6.38</v>
      </c>
      <c r="R336" t="str">
        <v>-1.27</v>
      </c>
      <c r="S336">
        <v>-9</v>
      </c>
      <c r="T336">
        <v>0</v>
      </c>
      <c r="U336">
        <f t="array" ref="U336:AD336">[1]!'3490.TW-ChipsField3,ChipsField1,ChipsField25,CashAndStockDividend,CashDividendYieldRate,ProfitFourSeason,ProfitSingle,CName,ExchangeIndustry,CompanyPos'</f>
        <v>0</v>
      </c>
      <c r="V336">
        <v>-11</v>
      </c>
      <c r="W336" t="str">
        <v>2022/07/15</v>
      </c>
      <c r="X336" t="str">
        <v>1.20</v>
      </c>
      <c r="Y336">
        <v>5.15</v>
      </c>
      <c r="Z336" t="str">
        <v>2.74</v>
      </c>
      <c r="AA336" t="str">
        <v>0.76</v>
      </c>
      <c r="AB336" t="str">
        <v>單井</v>
      </c>
      <c r="AC336" t="str">
        <v>上櫃光電</v>
      </c>
      <c r="AD336" t="str">
        <v>台灣半導體封裝模具、自動化設備及太陽能系統安裝廠商</v>
      </c>
      <c r="AE336" t="str">
        <f t="array" ref="AE336:AH336">[1]!'3490.TW-CName,InvestorConferenceDate,DateofMeetingofShareHolders,TradingDate'</f>
        <v>單井</v>
      </c>
      <c r="AF336" t="str">
        <v>--</v>
      </c>
      <c r="AG336" t="str">
        <v>2022/06/20</v>
      </c>
      <c r="AH336" t="str">
        <v>2022/08/01</v>
      </c>
    </row>
    <row r="337" spans="1:34" x14ac:dyDescent="0.3">
      <c r="A337" t="str">
        <f t="array" ref="A337:J337">[1]!'3516.TW-ID,Name,MarketValue,Capital,NetIncomeGrowthRate,OperIncomeGrowthRate,FinancialStatementsTime,TFXRatio,MonthlyNetSalesYoY,RevenueMonth'</f>
        <v>3516</v>
      </c>
      <c r="B337" t="str">
        <v>亞帝歐</v>
      </c>
      <c r="C337" t="str">
        <v>8.0</v>
      </c>
      <c r="D337" t="str">
        <v>5.06</v>
      </c>
      <c r="E337" t="str">
        <v>351.01</v>
      </c>
      <c r="F337" t="str">
        <v>104.24</v>
      </c>
      <c r="G337" t="str">
        <v>2022/03</v>
      </c>
      <c r="H337" t="str">
        <v>11.51</v>
      </c>
      <c r="I337" t="str">
        <v>-57.95</v>
      </c>
      <c r="J337" t="str">
        <v>2022/06</v>
      </c>
      <c r="K337" t="str">
        <f t="array" ref="K337:T337">[1]!'3516.TW-OperatingProfitRatio,Price,PriceChangeRatio,InOutRatioNumber,Value,YearReturn,MonthReturn,WeekReturn,FinanceBalanceDif,ChipsField2'</f>
        <v>0.22</v>
      </c>
      <c r="L337">
        <v>15.85</v>
      </c>
      <c r="M337">
        <v>0</v>
      </c>
      <c r="N337" t="str">
        <v>36.84%</v>
      </c>
      <c r="O337" t="str">
        <v>90.2萬</v>
      </c>
      <c r="P337" t="str">
        <v>-5.16</v>
      </c>
      <c r="Q337" t="str">
        <v>+1.94</v>
      </c>
      <c r="R337" t="str">
        <v>+1.93</v>
      </c>
      <c r="S337">
        <v>7</v>
      </c>
      <c r="T337">
        <v>0</v>
      </c>
      <c r="U337">
        <f t="array" ref="U337:AD337">[1]!'3516.TW-ChipsField3,ChipsField1,ChipsField25,CashAndStockDividend,CashDividendYieldRate,ProfitFourSeason,ProfitSingle,CName,ExchangeIndustry,CompanyPos'</f>
        <v>0</v>
      </c>
      <c r="V337">
        <v>0</v>
      </c>
      <c r="W337" t="str">
        <v>2022/07/07</v>
      </c>
      <c r="X337" t="str">
        <v>0.20</v>
      </c>
      <c r="Y337">
        <v>1.26</v>
      </c>
      <c r="Z337" t="str">
        <v>1.26</v>
      </c>
      <c r="AA337" t="str">
        <v>0.29</v>
      </c>
      <c r="AB337" t="str">
        <v>亞帝歐</v>
      </c>
      <c r="AC337" t="str">
        <v>上櫃光電</v>
      </c>
      <c r="AD337" t="str">
        <v>台灣連接線材及LED照明廠商</v>
      </c>
      <c r="AE337" t="str">
        <f t="array" ref="AE337:AH337">[1]!'3516.TW-CName,InvestorConferenceDate,DateofMeetingofShareHolders,TradingDate'</f>
        <v>亞帝歐</v>
      </c>
      <c r="AF337" t="str">
        <v>--</v>
      </c>
      <c r="AG337" t="str">
        <v>2022/06/14</v>
      </c>
      <c r="AH337" t="str">
        <v>2022/08/01</v>
      </c>
    </row>
    <row r="338" spans="1:34" x14ac:dyDescent="0.3">
      <c r="A338" t="str">
        <f t="array" ref="A338:J338">[1]!'3523.TW-ID,Name,MarketValue,Capital,NetIncomeGrowthRate,OperIncomeGrowthRate,FinancialStatementsTime,TFXRatio,MonthlyNetSalesYoY,RevenueMonth'</f>
        <v>3523</v>
      </c>
      <c r="B338" t="str">
        <v>迎輝</v>
      </c>
      <c r="C338" t="str">
        <v>6.6</v>
      </c>
      <c r="D338" t="str">
        <v>6.18</v>
      </c>
      <c r="E338" t="str">
        <v>3.71</v>
      </c>
      <c r="F338" t="str">
        <v>13.38</v>
      </c>
      <c r="G338" t="str">
        <v>2022/03</v>
      </c>
      <c r="H338" t="str">
        <v>-8.71</v>
      </c>
      <c r="I338" t="str">
        <v>-58.98</v>
      </c>
      <c r="J338" t="str">
        <v>2022/06</v>
      </c>
      <c r="K338" t="str">
        <f t="array" ref="K338:T338">[1]!'3523.TW-OperatingProfitRatio,Price,PriceChangeRatio,InOutRatioNumber,Value,YearReturn,MonthReturn,WeekReturn,FinanceBalanceDif,ChipsField2'</f>
        <v>-58.21</v>
      </c>
      <c r="L338">
        <v>10.7</v>
      </c>
      <c r="M338">
        <v>-2.2799999999999998</v>
      </c>
      <c r="N338" t="str">
        <v>0.00%</v>
      </c>
      <c r="O338" t="str">
        <v>44.7萬</v>
      </c>
      <c r="P338" t="str">
        <v>-28.27</v>
      </c>
      <c r="Q338" t="str">
        <v>-2.73</v>
      </c>
      <c r="R338" t="str">
        <v>+1.42</v>
      </c>
      <c r="S338">
        <v>0</v>
      </c>
      <c r="T338">
        <v>0</v>
      </c>
      <c r="U338">
        <f t="array" ref="U338:AD338">[1]!'3523.TW-ChipsField3,ChipsField1,ChipsField25,CashAndStockDividend,CashDividendYieldRate,ProfitFourSeason,ProfitSingle,CName,ExchangeIndustry,CompanyPos'</f>
        <v>0</v>
      </c>
      <c r="V338">
        <v>0</v>
      </c>
      <c r="W338" t="str">
        <v>--</v>
      </c>
      <c r="X338" t="str">
        <v>0.00</v>
      </c>
      <c r="Y338">
        <v>0</v>
      </c>
      <c r="Z338" t="str">
        <v>-1.64</v>
      </c>
      <c r="AA338" t="str">
        <v>-0.45</v>
      </c>
      <c r="AB338" t="str">
        <v>迎輝</v>
      </c>
      <c r="AC338" t="str">
        <v>上櫃光電</v>
      </c>
      <c r="AD338" t="str">
        <v>轉型為3D電影銀幕製造、量子點膜以及工控ITO導電膜</v>
      </c>
      <c r="AE338" t="str">
        <f t="array" ref="AE338:AH338">[1]!'3523.TW-CName,InvestorConferenceDate,DateofMeetingofShareHolders,TradingDate'</f>
        <v>迎輝</v>
      </c>
      <c r="AF338" t="str">
        <v>--</v>
      </c>
      <c r="AG338" t="str">
        <v>2022/06/17</v>
      </c>
      <c r="AH338" t="str">
        <v>2022/08/01</v>
      </c>
    </row>
    <row r="339" spans="1:34" x14ac:dyDescent="0.3">
      <c r="A339" t="str">
        <f t="array" ref="A339:J339">[1]!'3531.TW-ID,Name,MarketValue,Capital,NetIncomeGrowthRate,OperIncomeGrowthRate,FinancialStatementsTime,TFXRatio,MonthlyNetSalesYoY,RevenueMonth'</f>
        <v>3531</v>
      </c>
      <c r="B339" t="str">
        <v>先益</v>
      </c>
      <c r="C339" t="str">
        <v>13.5</v>
      </c>
      <c r="D339" t="str">
        <v>6.12</v>
      </c>
      <c r="E339" t="str">
        <v>777.69</v>
      </c>
      <c r="F339" t="str">
        <v>106.17</v>
      </c>
      <c r="G339" t="str">
        <v>2022/03</v>
      </c>
      <c r="H339" t="str">
        <v>-2.33</v>
      </c>
      <c r="I339" t="str">
        <v>27.24</v>
      </c>
      <c r="J339" t="str">
        <v>2022/06</v>
      </c>
      <c r="K339" t="str">
        <f t="array" ref="K339:T339">[1]!'3531.TW-OperatingProfitRatio,Price,PriceChangeRatio,InOutRatioNumber,Value,YearReturn,MonthReturn,WeekReturn,FinanceBalanceDif,ChipsField2'</f>
        <v>1.58</v>
      </c>
      <c r="L339">
        <v>22.05</v>
      </c>
      <c r="M339">
        <v>-0.45</v>
      </c>
      <c r="N339" t="str">
        <v>4.00%</v>
      </c>
      <c r="O339" t="str">
        <v>110萬</v>
      </c>
      <c r="P339" t="str">
        <v>+4.89</v>
      </c>
      <c r="Q339" t="str">
        <v>+6.43</v>
      </c>
      <c r="R339" t="str">
        <v>+0.24</v>
      </c>
      <c r="S339">
        <v>-2</v>
      </c>
      <c r="T339">
        <v>0</v>
      </c>
      <c r="U339">
        <f t="array" ref="U339:AD339">[1]!'3531.TW-ChipsField3,ChipsField1,ChipsField25,CashAndStockDividend,CashDividendYieldRate,ProfitFourSeason,ProfitSingle,CName,ExchangeIndustry,CompanyPos'</f>
        <v>0</v>
      </c>
      <c r="V339">
        <v>-1</v>
      </c>
      <c r="W339" t="str">
        <v>2022/07/27</v>
      </c>
      <c r="X339" t="str">
        <v>1.20</v>
      </c>
      <c r="Y339">
        <v>5.44</v>
      </c>
      <c r="Z339" t="str">
        <v>1.92</v>
      </c>
      <c r="AA339" t="str">
        <v>0.65</v>
      </c>
      <c r="AB339" t="str">
        <v>先益</v>
      </c>
      <c r="AC339" t="str">
        <v>上櫃光電</v>
      </c>
      <c r="AD339" t="str">
        <v>LED中小尺寸背光模組專業製造廠</v>
      </c>
      <c r="AE339" t="str">
        <f t="array" ref="AE339:AH339">[1]!'3531.TW-CName,InvestorConferenceDate,DateofMeetingofShareHolders,TradingDate'</f>
        <v>先益</v>
      </c>
      <c r="AF339" t="str">
        <v>--</v>
      </c>
      <c r="AG339" t="str">
        <v>2022/06/16</v>
      </c>
      <c r="AH339" t="str">
        <v>2022/08/01</v>
      </c>
    </row>
    <row r="340" spans="1:34" x14ac:dyDescent="0.3">
      <c r="A340" t="str">
        <f t="array" ref="A340:J340">[1]!'3615.TW-ID,Name,MarketValue,Capital,NetIncomeGrowthRate,OperIncomeGrowthRate,FinancialStatementsTime,TFXRatio,MonthlyNetSalesYoY,RevenueMonth'</f>
        <v>3615</v>
      </c>
      <c r="B340" t="str">
        <v>安可</v>
      </c>
      <c r="C340" t="str">
        <v>12.5</v>
      </c>
      <c r="D340" t="str">
        <v>6.85</v>
      </c>
      <c r="E340" t="str">
        <v>41.19</v>
      </c>
      <c r="F340" t="str">
        <v>154.77</v>
      </c>
      <c r="G340" t="str">
        <v>2022/03</v>
      </c>
      <c r="H340" t="str">
        <v>0.06</v>
      </c>
      <c r="I340" t="str">
        <v>-2.15</v>
      </c>
      <c r="J340" t="str">
        <v>2022/06</v>
      </c>
      <c r="K340" t="str">
        <f t="array" ref="K340:T340">[1]!'3615.TW-OperatingProfitRatio,Price,PriceChangeRatio,InOutRatioNumber,Value,YearReturn,MonthReturn,WeekReturn,FinanceBalanceDif,ChipsField2'</f>
        <v>9.74</v>
      </c>
      <c r="L340">
        <v>18.25</v>
      </c>
      <c r="M340">
        <v>0</v>
      </c>
      <c r="N340" t="str">
        <v>46.48%</v>
      </c>
      <c r="O340" t="str">
        <v>129萬</v>
      </c>
      <c r="P340" t="str">
        <v>-17.76</v>
      </c>
      <c r="Q340" t="str">
        <v>+7.68</v>
      </c>
      <c r="R340" t="str">
        <v>-1.08</v>
      </c>
      <c r="S340">
        <v>-13</v>
      </c>
      <c r="T340">
        <v>0</v>
      </c>
      <c r="U340">
        <f t="array" ref="U340:AD340">[1]!'3615.TW-ChipsField3,ChipsField1,ChipsField25,CashAndStockDividend,CashDividendYieldRate,ProfitFourSeason,ProfitSingle,CName,ExchangeIndustry,CompanyPos'</f>
        <v>0</v>
      </c>
      <c r="V340">
        <v>15</v>
      </c>
      <c r="W340" t="str">
        <v>2022/07/14</v>
      </c>
      <c r="X340" t="str">
        <v>0.37</v>
      </c>
      <c r="Y340">
        <v>2.0299999999999998</v>
      </c>
      <c r="Z340" t="str">
        <v>1.50</v>
      </c>
      <c r="AA340" t="str">
        <v>0.34</v>
      </c>
      <c r="AB340" t="str">
        <v>安可</v>
      </c>
      <c r="AC340" t="str">
        <v>上櫃光電</v>
      </c>
      <c r="AD340" t="str">
        <v>錸德轉投資的ITO導電玻璃專業鍍膜廠</v>
      </c>
      <c r="AE340" t="str">
        <f t="array" ref="AE340:AH340">[1]!'3615.TW-CName,InvestorConferenceDate,DateofMeetingofShareHolders,TradingDate'</f>
        <v>安可</v>
      </c>
      <c r="AF340" t="str">
        <v>--</v>
      </c>
      <c r="AG340" t="str">
        <v>2022/06/24</v>
      </c>
      <c r="AH340" t="str">
        <v>2022/08/01</v>
      </c>
    </row>
    <row r="341" spans="1:34" x14ac:dyDescent="0.3">
      <c r="A341" t="str">
        <f t="array" ref="A341:J341">[1]!'3623.TW-ID,Name,MarketValue,Capital,NetIncomeGrowthRate,OperIncomeGrowthRate,FinancialStatementsTime,TFXRatio,MonthlyNetSalesYoY,RevenueMonth'</f>
        <v>3623</v>
      </c>
      <c r="B341" t="str">
        <v>富晶通</v>
      </c>
      <c r="C341" t="str">
        <v>5.1</v>
      </c>
      <c r="D341" t="str">
        <v>2.92</v>
      </c>
      <c r="E341" t="str">
        <v>51.09</v>
      </c>
      <c r="F341" t="str">
        <v>47.28</v>
      </c>
      <c r="G341" t="str">
        <v>2022/03</v>
      </c>
      <c r="H341" t="str">
        <v>60.82</v>
      </c>
      <c r="I341" t="str">
        <v>39.40</v>
      </c>
      <c r="J341" t="str">
        <v>2022/06</v>
      </c>
      <c r="K341" t="str">
        <f t="array" ref="K341:T341">[1]!'3623.TW-OperatingProfitRatio,Price,PriceChangeRatio,InOutRatioNumber,Value,YearReturn,MonthReturn,WeekReturn,FinanceBalanceDif,ChipsField2'</f>
        <v>-9.33</v>
      </c>
      <c r="L341">
        <v>17.350000000000001</v>
      </c>
      <c r="M341">
        <v>9.81</v>
      </c>
      <c r="N341" t="str">
        <v>79.11%</v>
      </c>
      <c r="O341" t="str">
        <v>285萬</v>
      </c>
      <c r="P341" t="str">
        <v>+8.44</v>
      </c>
      <c r="Q341" t="str">
        <v>+15.67</v>
      </c>
      <c r="R341" t="str">
        <v>+7.10</v>
      </c>
      <c r="S341">
        <v>-27</v>
      </c>
      <c r="T341">
        <v>0</v>
      </c>
      <c r="U341">
        <f t="array" ref="U341:AD341">[1]!'3623.TW-ChipsField3,ChipsField1,ChipsField25,CashAndStockDividend,CashDividendYieldRate,ProfitFourSeason,ProfitSingle,CName,ExchangeIndustry,CompanyPos'</f>
        <v>0</v>
      </c>
      <c r="V341">
        <v>-5</v>
      </c>
      <c r="W341" t="str">
        <v>--</v>
      </c>
      <c r="X341" t="str">
        <v>0.00</v>
      </c>
      <c r="Y341">
        <v>0</v>
      </c>
      <c r="Z341" t="str">
        <v>-0.96</v>
      </c>
      <c r="AA341" t="str">
        <v>-0.27</v>
      </c>
      <c r="AB341" t="str">
        <v>富晶通</v>
      </c>
      <c r="AC341" t="str">
        <v>上櫃光電</v>
      </c>
      <c r="AD341" t="str">
        <v>中環與富士通合資之觸控面板廠</v>
      </c>
      <c r="AE341" t="str">
        <f t="array" ref="AE341:AH341">[1]!'3623.TW-CName,InvestorConferenceDate,DateofMeetingofShareHolders,TradingDate'</f>
        <v>富晶通</v>
      </c>
      <c r="AF341" t="str">
        <v>2021/12/17</v>
      </c>
      <c r="AG341" t="str">
        <v>2022/06/15</v>
      </c>
      <c r="AH341" t="str">
        <v>2022/08/01</v>
      </c>
    </row>
    <row r="342" spans="1:34" x14ac:dyDescent="0.3">
      <c r="A342" t="str">
        <f t="array" ref="A342:J342">[1]!'3630.TW-ID,Name,MarketValue,Capital,NetIncomeGrowthRate,OperIncomeGrowthRate,FinancialStatementsTime,TFXRatio,MonthlyNetSalesYoY,RevenueMonth'</f>
        <v>3630</v>
      </c>
      <c r="B342" t="str">
        <v>新鉅科</v>
      </c>
      <c r="C342" t="str">
        <v>55.4</v>
      </c>
      <c r="D342" t="str">
        <v>18.42</v>
      </c>
      <c r="E342" t="str">
        <v>-19.27</v>
      </c>
      <c r="F342" t="str">
        <v>-19.29</v>
      </c>
      <c r="G342" t="str">
        <v>2022/03</v>
      </c>
      <c r="H342" t="str">
        <v>-40.32</v>
      </c>
      <c r="I342" t="str">
        <v>-48.68</v>
      </c>
      <c r="J342" t="str">
        <v>2022/06</v>
      </c>
      <c r="K342" t="str">
        <f t="array" ref="K342:T342">[1]!'3630.TW-OperatingProfitRatio,Price,PriceChangeRatio,InOutRatioNumber,Value,YearReturn,MonthReturn,WeekReturn,FinanceBalanceDif,ChipsField2'</f>
        <v>-27.14</v>
      </c>
      <c r="L342">
        <v>30.1</v>
      </c>
      <c r="M342">
        <v>-0.66</v>
      </c>
      <c r="N342" t="str">
        <v>27.34%</v>
      </c>
      <c r="O342" t="str">
        <v>867萬</v>
      </c>
      <c r="P342" t="str">
        <v>-30.48</v>
      </c>
      <c r="Q342" t="str">
        <v>+16.22</v>
      </c>
      <c r="R342" t="str">
        <v>-4.44</v>
      </c>
      <c r="S342">
        <v>13</v>
      </c>
      <c r="T342">
        <v>0</v>
      </c>
      <c r="U342">
        <f t="array" ref="U342:AD342">[1]!'3630.TW-ChipsField3,ChipsField1,ChipsField25,CashAndStockDividend,CashDividendYieldRate,ProfitFourSeason,ProfitSingle,CName,ExchangeIndustry,CompanyPos'</f>
        <v>0</v>
      </c>
      <c r="V342">
        <v>144</v>
      </c>
      <c r="W342" t="str">
        <v>--</v>
      </c>
      <c r="X342" t="str">
        <v>0.00</v>
      </c>
      <c r="Y342">
        <v>0</v>
      </c>
      <c r="Z342" t="str">
        <v>-3.53</v>
      </c>
      <c r="AA342" t="str">
        <v>-0.64</v>
      </c>
      <c r="AB342" t="str">
        <v>新鉅科</v>
      </c>
      <c r="AC342" t="str">
        <v>上櫃光電</v>
      </c>
      <c r="AD342" t="str">
        <v>台灣感測鏡頭供應商</v>
      </c>
      <c r="AE342" t="str">
        <f t="array" ref="AE342:AH342">[1]!'3630.TW-CName,InvestorConferenceDate,DateofMeetingofShareHolders,TradingDate'</f>
        <v>新鉅科</v>
      </c>
      <c r="AF342" t="str">
        <v>--</v>
      </c>
      <c r="AG342" t="str">
        <v>2022/06/20</v>
      </c>
      <c r="AH342" t="str">
        <v>2022/08/01</v>
      </c>
    </row>
    <row r="343" spans="1:34" x14ac:dyDescent="0.3">
      <c r="A343" t="str">
        <f t="array" ref="A343:J343">[1]!'3666.TW-ID,Name,MarketValue,Capital,NetIncomeGrowthRate,OperIncomeGrowthRate,FinancialStatementsTime,TFXRatio,MonthlyNetSalesYoY,RevenueMonth'</f>
        <v>3666</v>
      </c>
      <c r="B343" t="str">
        <v>光耀</v>
      </c>
      <c r="C343" t="str">
        <v>15.2</v>
      </c>
      <c r="D343" t="str">
        <v>5.87</v>
      </c>
      <c r="E343" t="str">
        <v>-66.27</v>
      </c>
      <c r="F343" t="str">
        <v>-184.05</v>
      </c>
      <c r="G343" t="str">
        <v>2022/03</v>
      </c>
      <c r="H343" t="str">
        <v>-32.86</v>
      </c>
      <c r="I343" t="str">
        <v>-42.36</v>
      </c>
      <c r="J343" t="str">
        <v>2022/06</v>
      </c>
      <c r="K343" t="str">
        <f t="array" ref="K343:T343">[1]!'3666.TW-OperatingProfitRatio,Price,PriceChangeRatio,InOutRatioNumber,Value,YearReturn,MonthReturn,WeekReturn,FinanceBalanceDif,ChipsField2'</f>
        <v>-6.77</v>
      </c>
      <c r="L343">
        <v>25.9</v>
      </c>
      <c r="M343">
        <v>-3</v>
      </c>
      <c r="N343" t="str">
        <v>17.44%</v>
      </c>
      <c r="O343" t="str">
        <v>459萬</v>
      </c>
      <c r="P343" t="str">
        <v>-34.18</v>
      </c>
      <c r="Q343" t="str">
        <v>-1.33</v>
      </c>
      <c r="R343" t="str">
        <v>-0.19</v>
      </c>
      <c r="S343">
        <v>-42</v>
      </c>
      <c r="T343">
        <v>0</v>
      </c>
      <c r="U343">
        <f t="array" ref="U343:AD343">[1]!'3666.TW-ChipsField3,ChipsField1,ChipsField25,CashAndStockDividend,CashDividendYieldRate,ProfitFourSeason,ProfitSingle,CName,ExchangeIndustry,CompanyPos'</f>
        <v>0</v>
      </c>
      <c r="V343">
        <v>44</v>
      </c>
      <c r="W343" t="str">
        <v>--</v>
      </c>
      <c r="X343" t="str">
        <v>0.00</v>
      </c>
      <c r="Y343">
        <v>0</v>
      </c>
      <c r="Z343" t="str">
        <v>-0.97</v>
      </c>
      <c r="AA343" t="str">
        <v>0.22</v>
      </c>
      <c r="AB343" t="str">
        <v>光耀</v>
      </c>
      <c r="AC343" t="str">
        <v>上櫃光電</v>
      </c>
      <c r="AD343" t="str">
        <v>為光群雷轉投資之聚光片廠</v>
      </c>
      <c r="AE343" t="str">
        <f t="array" ref="AE343:AH343">[1]!'3666.TW-CName,InvestorConferenceDate,DateofMeetingofShareHolders,TradingDate'</f>
        <v>光耀</v>
      </c>
      <c r="AF343" t="str">
        <v>--</v>
      </c>
      <c r="AG343" t="str">
        <v>2022/06/08</v>
      </c>
      <c r="AH343" t="str">
        <v>2022/08/01</v>
      </c>
    </row>
    <row r="344" spans="1:34" x14ac:dyDescent="0.3">
      <c r="A344" t="str">
        <f t="array" ref="A344:J344">[1]!'3691.TW-ID,Name,MarketValue,Capital,NetIncomeGrowthRate,OperIncomeGrowthRate,FinancialStatementsTime,TFXRatio,MonthlyNetSalesYoY,RevenueMonth'</f>
        <v>3691</v>
      </c>
      <c r="B344" t="str">
        <v>碩禾</v>
      </c>
      <c r="C344" t="str">
        <v>110.4</v>
      </c>
      <c r="D344" t="str">
        <v>7.59</v>
      </c>
      <c r="E344" t="str">
        <v>124.98</v>
      </c>
      <c r="F344" t="str">
        <v>-140.95</v>
      </c>
      <c r="G344" t="str">
        <v>2022/03</v>
      </c>
      <c r="H344" t="str">
        <v>27.89</v>
      </c>
      <c r="I344" t="str">
        <v>4.85</v>
      </c>
      <c r="J344" t="str">
        <v>2022/06</v>
      </c>
      <c r="K344" t="str">
        <f t="array" ref="K344:T344">[1]!'3691.TW-OperatingProfitRatio,Price,PriceChangeRatio,InOutRatioNumber,Value,YearReturn,MonthReturn,WeekReturn,FinanceBalanceDif,ChipsField2'</f>
        <v>-1.77</v>
      </c>
      <c r="L344">
        <v>145.5</v>
      </c>
      <c r="M344">
        <v>-2.02</v>
      </c>
      <c r="N344" t="str">
        <v>50.72%</v>
      </c>
      <c r="O344" t="str">
        <v>5603萬</v>
      </c>
      <c r="P344" t="str">
        <v>-35.94</v>
      </c>
      <c r="Q344" t="str">
        <v>+1.75</v>
      </c>
      <c r="R344" t="str">
        <v>+0.69</v>
      </c>
      <c r="S344">
        <v>-28</v>
      </c>
      <c r="T344">
        <v>0</v>
      </c>
      <c r="U344">
        <f t="array" ref="U344:AD344">[1]!'3691.TW-ChipsField3,ChipsField1,ChipsField25,CashAndStockDividend,CashDividendYieldRate,ProfitFourSeason,ProfitSingle,CName,ExchangeIndustry,CompanyPos'</f>
        <v>10</v>
      </c>
      <c r="V344">
        <v>136</v>
      </c>
      <c r="W344" t="str">
        <v>--</v>
      </c>
      <c r="X344" t="str">
        <v>0.00</v>
      </c>
      <c r="Y344">
        <v>0</v>
      </c>
      <c r="Z344" t="str">
        <v>-5.15</v>
      </c>
      <c r="AA344" t="str">
        <v>0.66</v>
      </c>
      <c r="AB344" t="str">
        <v>碩禾</v>
      </c>
      <c r="AC344" t="str">
        <v>上櫃光電</v>
      </c>
      <c r="AD344" t="str">
        <v>國碩轉投資太陽能導電漿大廠</v>
      </c>
      <c r="AE344" t="str">
        <f t="array" ref="AE344:AH344">[1]!'3691.TW-CName,InvestorConferenceDate,DateofMeetingofShareHolders,TradingDate'</f>
        <v>碩禾</v>
      </c>
      <c r="AF344" t="str">
        <v>2021/11/11</v>
      </c>
      <c r="AG344" t="str">
        <v>2022/06/09</v>
      </c>
      <c r="AH344" t="str">
        <v>2022/08/01</v>
      </c>
    </row>
    <row r="345" spans="1:34" x14ac:dyDescent="0.3">
      <c r="A345" t="str">
        <f t="array" ref="A345:J345">[1]!'3713.TW-ID,Name,MarketValue,Capital,NetIncomeGrowthRate,OperIncomeGrowthRate,FinancialStatementsTime,TFXRatio,MonthlyNetSalesYoY,RevenueMonth'</f>
        <v>3713</v>
      </c>
      <c r="B345" t="str">
        <v>新晶投控</v>
      </c>
      <c r="C345" t="str">
        <v>22.8</v>
      </c>
      <c r="D345" t="str">
        <v>7.81</v>
      </c>
      <c r="E345" t="str">
        <v>-93.49</v>
      </c>
      <c r="F345" t="str">
        <v>-64.53</v>
      </c>
      <c r="G345" t="str">
        <v>2022/03</v>
      </c>
      <c r="H345" t="str">
        <v>248.51</v>
      </c>
      <c r="I345" t="str">
        <v>211.59</v>
      </c>
      <c r="J345" t="str">
        <v>2022/06</v>
      </c>
      <c r="K345" t="str">
        <f t="array" ref="K345:T345">[1]!'3713.TW-OperatingProfitRatio,Price,PriceChangeRatio,InOutRatioNumber,Value,YearReturn,MonthReturn,WeekReturn,FinanceBalanceDif,ChipsField2'</f>
        <v>4.61</v>
      </c>
      <c r="L345">
        <v>29.25</v>
      </c>
      <c r="M345">
        <v>0.17</v>
      </c>
      <c r="N345" t="str">
        <v>32.46%</v>
      </c>
      <c r="O345" t="str">
        <v>325萬</v>
      </c>
      <c r="P345" t="str">
        <v>-22.72</v>
      </c>
      <c r="Q345" t="str">
        <v>+0.34</v>
      </c>
      <c r="R345" t="str">
        <v>-0.51</v>
      </c>
      <c r="S345">
        <v>0</v>
      </c>
      <c r="T345">
        <v>0</v>
      </c>
      <c r="U345">
        <f t="array" ref="U345:AD345">[1]!'3713.TW-ChipsField3,ChipsField1,ChipsField25,CashAndStockDividend,CashDividendYieldRate,ProfitFourSeason,ProfitSingle,CName,ExchangeIndustry,CompanyPos'</f>
        <v>0</v>
      </c>
      <c r="V345">
        <v>1</v>
      </c>
      <c r="W345" t="str">
        <v>--</v>
      </c>
      <c r="X345" t="str">
        <v>0.00</v>
      </c>
      <c r="Y345">
        <v>0</v>
      </c>
      <c r="Z345" t="str">
        <v>0.18</v>
      </c>
      <c r="AA345" t="str">
        <v>0.02</v>
      </c>
      <c r="AB345" t="str">
        <v>新晶投控</v>
      </c>
      <c r="AC345" t="str">
        <v>上櫃光電</v>
      </c>
      <c r="AD345" t="str">
        <v>股份轉換成立，旗下100%持股頂晶科</v>
      </c>
      <c r="AE345" t="str">
        <f t="array" ref="AE345:AH345">[1]!'3713.TW-CName,InvestorConferenceDate,DateofMeetingofShareHolders,TradingDate'</f>
        <v>新晶投控</v>
      </c>
      <c r="AF345" t="str">
        <v>--</v>
      </c>
      <c r="AG345" t="str">
        <v>2022/06/28</v>
      </c>
      <c r="AH345" t="str">
        <v>2022/08/01</v>
      </c>
    </row>
    <row r="346" spans="1:34" x14ac:dyDescent="0.3">
      <c r="A346" t="str">
        <f t="array" ref="A346:J346">[1]!'4729.TW-ID,Name,MarketValue,Capital,NetIncomeGrowthRate,OperIncomeGrowthRate,FinancialStatementsTime,TFXRatio,MonthlyNetSalesYoY,RevenueMonth'</f>
        <v>4729</v>
      </c>
      <c r="B346" t="str">
        <v>熒茂</v>
      </c>
      <c r="C346" t="str">
        <v>11.9</v>
      </c>
      <c r="D346" t="str">
        <v>10.22</v>
      </c>
      <c r="E346" t="str">
        <v>122.26</v>
      </c>
      <c r="F346" t="str">
        <v>122.07</v>
      </c>
      <c r="G346" t="str">
        <v>2022/03</v>
      </c>
      <c r="H346" t="str">
        <v>-4.89</v>
      </c>
      <c r="I346" t="str">
        <v>24.14</v>
      </c>
      <c r="J346" t="str">
        <v>2022/06</v>
      </c>
      <c r="K346" t="str">
        <f t="array" ref="K346:T346">[1]!'4729.TW-OperatingProfitRatio,Price,PriceChangeRatio,InOutRatioNumber,Value,YearReturn,MonthReturn,WeekReturn,FinanceBalanceDif,ChipsField2'</f>
        <v>1.87</v>
      </c>
      <c r="L346">
        <v>11.6</v>
      </c>
      <c r="M346">
        <v>0.43</v>
      </c>
      <c r="N346" t="str">
        <v>12.82%</v>
      </c>
      <c r="O346" t="str">
        <v>45.1萬</v>
      </c>
      <c r="P346" t="str">
        <v>-7.94</v>
      </c>
      <c r="Q346" t="str">
        <v>+15.42</v>
      </c>
      <c r="R346" t="str">
        <v>-2.11</v>
      </c>
      <c r="S346">
        <v>0</v>
      </c>
      <c r="T346">
        <v>0</v>
      </c>
      <c r="U346">
        <f t="array" ref="U346:AD346">[1]!'4729.TW-ChipsField3,ChipsField1,ChipsField25,CashAndStockDividend,CashDividendYieldRate,ProfitFourSeason,ProfitSingle,CName,ExchangeIndustry,CompanyPos'</f>
        <v>0</v>
      </c>
      <c r="V346">
        <v>0</v>
      </c>
      <c r="W346" t="str">
        <v>--</v>
      </c>
      <c r="X346" t="str">
        <v>0.00</v>
      </c>
      <c r="Y346">
        <v>0</v>
      </c>
      <c r="Z346" t="str">
        <v>-1.08</v>
      </c>
      <c r="AA346" t="str">
        <v>0.04</v>
      </c>
      <c r="AB346" t="str">
        <v>熒茂</v>
      </c>
      <c r="AC346" t="str">
        <v>上櫃光電</v>
      </c>
      <c r="AD346" t="str">
        <v>強茂轉投資之觸控面板廠</v>
      </c>
      <c r="AE346" t="str">
        <f t="array" ref="AE346:AH346">[1]!'4729.TW-CName,InvestorConferenceDate,DateofMeetingofShareHolders,TradingDate'</f>
        <v>熒茂</v>
      </c>
      <c r="AF346" t="str">
        <v>2022/07/13</v>
      </c>
      <c r="AG346" t="str">
        <v>2022/06/10</v>
      </c>
      <c r="AH346" t="str">
        <v>2022/08/01</v>
      </c>
    </row>
    <row r="347" spans="1:34" x14ac:dyDescent="0.3">
      <c r="A347" t="str">
        <f t="array" ref="A347:J347">[1]!'4933.TW-ID,Name,MarketValue,Capital,NetIncomeGrowthRate,OperIncomeGrowthRate,FinancialStatementsTime,TFXRatio,MonthlyNetSalesYoY,RevenueMonth'</f>
        <v>4933</v>
      </c>
      <c r="B347" t="str">
        <v>友輝</v>
      </c>
      <c r="C347" t="str">
        <v>29.5</v>
      </c>
      <c r="D347" t="str">
        <v>8.01</v>
      </c>
      <c r="E347" t="str">
        <v>27.46</v>
      </c>
      <c r="F347" t="str">
        <v>-7.65</v>
      </c>
      <c r="G347" t="str">
        <v>2022/03</v>
      </c>
      <c r="H347" t="str">
        <v>-9.39</v>
      </c>
      <c r="I347" t="str">
        <v>-16.06</v>
      </c>
      <c r="J347" t="str">
        <v>2022/06</v>
      </c>
      <c r="K347" t="str">
        <f t="array" ref="K347:T347">[1]!'4933.TW-OperatingProfitRatio,Price,PriceChangeRatio,InOutRatioNumber,Value,YearReturn,MonthReturn,WeekReturn,FinanceBalanceDif,ChipsField2'</f>
        <v>11.81</v>
      </c>
      <c r="L347">
        <v>36.9</v>
      </c>
      <c r="M347">
        <v>0.82</v>
      </c>
      <c r="N347" t="str">
        <v>57.75%</v>
      </c>
      <c r="O347" t="str">
        <v>262萬</v>
      </c>
      <c r="P347" t="str">
        <v>-1.70</v>
      </c>
      <c r="Q347" t="str">
        <v>+6.49</v>
      </c>
      <c r="R347" t="str">
        <v>+5.28</v>
      </c>
      <c r="S347">
        <v>-4</v>
      </c>
      <c r="T347">
        <v>0</v>
      </c>
      <c r="U347">
        <f t="array" ref="U347:AD347">[1]!'4933.TW-ChipsField3,ChipsField1,ChipsField25,CashAndStockDividend,CashDividendYieldRate,ProfitFourSeason,ProfitSingle,CName,ExchangeIndustry,CompanyPos'</f>
        <v>0</v>
      </c>
      <c r="V347">
        <v>0</v>
      </c>
      <c r="W347" t="str">
        <v>2022/08/03</v>
      </c>
      <c r="X347" t="str">
        <v>3.32</v>
      </c>
      <c r="Y347">
        <v>9</v>
      </c>
      <c r="Z347" t="str">
        <v>3.89</v>
      </c>
      <c r="AA347" t="str">
        <v>1.10</v>
      </c>
      <c r="AB347" t="str">
        <v>友輝</v>
      </c>
      <c r="AC347" t="str">
        <v>上櫃光電</v>
      </c>
      <c r="AD347" t="str">
        <v>新纖轉投資的聚光片廠</v>
      </c>
      <c r="AE347" t="str">
        <f t="array" ref="AE347:AH347">[1]!'4933.TW-CName,InvestorConferenceDate,DateofMeetingofShareHolders,TradingDate'</f>
        <v>友輝</v>
      </c>
      <c r="AF347" t="str">
        <v>--</v>
      </c>
      <c r="AG347" t="str">
        <v>2022/06/06</v>
      </c>
      <c r="AH347" t="str">
        <v>2022/08/01</v>
      </c>
    </row>
    <row r="348" spans="1:34" x14ac:dyDescent="0.3">
      <c r="A348" t="str">
        <f t="array" ref="A348:J348">[1]!'4944.TW-ID,Name,MarketValue,Capital,NetIncomeGrowthRate,OperIncomeGrowthRate,FinancialStatementsTime,TFXRatio,MonthlyNetSalesYoY,RevenueMonth'</f>
        <v>4944</v>
      </c>
      <c r="B348" t="str">
        <v>兆遠</v>
      </c>
      <c r="C348" t="str">
        <v>7.8</v>
      </c>
      <c r="D348" t="str">
        <v>8.79</v>
      </c>
      <c r="E348" t="str">
        <v>-0.71</v>
      </c>
      <c r="F348" t="str">
        <v>1.06</v>
      </c>
      <c r="G348" t="str">
        <v>2022/03</v>
      </c>
      <c r="H348" t="str">
        <v>-45.55</v>
      </c>
      <c r="I348" t="str">
        <v>-49.78</v>
      </c>
      <c r="J348" t="str">
        <v>2022/06</v>
      </c>
      <c r="K348" t="str">
        <f t="array" ref="K348:T348">[1]!'4944.TW-OperatingProfitRatio,Price,PriceChangeRatio,InOutRatioNumber,Value,YearReturn,MonthReturn,WeekReturn,FinanceBalanceDif,ChipsField2'</f>
        <v>-35.10</v>
      </c>
      <c r="L348">
        <v>8.8800000000000008</v>
      </c>
      <c r="M348">
        <v>-1.33</v>
      </c>
      <c r="N348" t="str">
        <v>75.00%</v>
      </c>
      <c r="O348" t="str">
        <v>38.0萬</v>
      </c>
      <c r="P348" t="str">
        <v>-69.90</v>
      </c>
      <c r="Q348" t="str">
        <v>-4.00</v>
      </c>
      <c r="R348" t="str">
        <v>-2.42</v>
      </c>
      <c r="S348">
        <v>0</v>
      </c>
      <c r="T348">
        <v>0</v>
      </c>
      <c r="U348">
        <f t="array" ref="U348:AD348">[1]!'4944.TW-ChipsField3,ChipsField1,ChipsField25,CashAndStockDividend,CashDividendYieldRate,ProfitFourSeason,ProfitSingle,CName,ExchangeIndustry,CompanyPos'</f>
        <v>0</v>
      </c>
      <c r="V348">
        <v>0</v>
      </c>
      <c r="W348" t="str">
        <v>--</v>
      </c>
      <c r="X348" t="str">
        <v>0.00</v>
      </c>
      <c r="Y348">
        <v>0</v>
      </c>
      <c r="Z348" t="str">
        <v>-3.60</v>
      </c>
      <c r="AA348" t="str">
        <v>-0.44</v>
      </c>
      <c r="AB348" t="str">
        <v>兆遠</v>
      </c>
      <c r="AC348" t="str">
        <v>上櫃光電</v>
      </c>
      <c r="AD348" t="str">
        <v>台灣LED藍寶石基板大廠</v>
      </c>
      <c r="AE348" t="str">
        <f t="array" ref="AE348:AH348">[1]!'4944.TW-CName,InvestorConferenceDate,DateofMeetingofShareHolders,TradingDate'</f>
        <v>兆遠</v>
      </c>
      <c r="AF348" t="str">
        <v>--</v>
      </c>
      <c r="AG348" t="str">
        <v>2022/06/14</v>
      </c>
      <c r="AH348" t="str">
        <v>2022/08/01</v>
      </c>
    </row>
    <row r="349" spans="1:34" x14ac:dyDescent="0.3">
      <c r="A349" t="str">
        <f t="array" ref="A349:J349">[1]!'4972.TW-ID,Name,MarketValue,Capital,NetIncomeGrowthRate,OperIncomeGrowthRate,FinancialStatementsTime,TFXRatio,MonthlyNetSalesYoY,RevenueMonth'</f>
        <v>4972</v>
      </c>
      <c r="B349" t="str">
        <v>湯石照明</v>
      </c>
      <c r="C349" t="str">
        <v>12.0</v>
      </c>
      <c r="D349" t="str">
        <v>3.94</v>
      </c>
      <c r="E349" t="str">
        <v>140.36</v>
      </c>
      <c r="F349" t="str">
        <v>19.97</v>
      </c>
      <c r="G349" t="str">
        <v>2022/06</v>
      </c>
      <c r="H349" t="str">
        <v>-1.97</v>
      </c>
      <c r="I349" t="str">
        <v>9.96</v>
      </c>
      <c r="J349" t="str">
        <v>2022/06</v>
      </c>
      <c r="K349" t="str">
        <f t="array" ref="K349:T349">[1]!'4972.TW-OperatingProfitRatio,Price,PriceChangeRatio,InOutRatioNumber,Value,YearReturn,MonthReturn,WeekReturn,FinanceBalanceDif,ChipsField2'</f>
        <v>9.77</v>
      </c>
      <c r="L349">
        <v>30.4</v>
      </c>
      <c r="M349">
        <v>-0.16</v>
      </c>
      <c r="N349" t="str">
        <v>42.86%</v>
      </c>
      <c r="O349" t="str">
        <v>45.6萬</v>
      </c>
      <c r="P349" t="str">
        <v>+3.51</v>
      </c>
      <c r="Q349" t="str">
        <v>+3.05</v>
      </c>
      <c r="R349" t="str">
        <v>+0.33</v>
      </c>
      <c r="S349">
        <v>0</v>
      </c>
      <c r="T349">
        <v>0</v>
      </c>
      <c r="U349">
        <f t="array" ref="U349:AD349">[1]!'4972.TW-ChipsField3,ChipsField1,ChipsField25,CashAndStockDividend,CashDividendYieldRate,ProfitFourSeason,ProfitSingle,CName,ExchangeIndustry,CompanyPos'</f>
        <v>0</v>
      </c>
      <c r="V349">
        <v>0</v>
      </c>
      <c r="W349" t="str">
        <v>2022/06/15</v>
      </c>
      <c r="X349" t="str">
        <v>2.10</v>
      </c>
      <c r="Y349">
        <v>6.91</v>
      </c>
      <c r="Z349" t="str">
        <v>2.81</v>
      </c>
      <c r="AA349" t="str">
        <v>0.33</v>
      </c>
      <c r="AB349" t="str">
        <v>湯石照明</v>
      </c>
      <c r="AC349" t="str">
        <v>上櫃光電</v>
      </c>
      <c r="AD349" t="str">
        <v>以自有品牌行銷歐美之LED燈具商</v>
      </c>
      <c r="AE349" t="str">
        <f t="array" ref="AE349:AH349">[1]!'4972.TW-CName,InvestorConferenceDate,DateofMeetingofShareHolders,TradingDate'</f>
        <v>湯石照明</v>
      </c>
      <c r="AF349" t="str">
        <v>2022/03/08</v>
      </c>
      <c r="AG349" t="str">
        <v>2022/05/26</v>
      </c>
      <c r="AH349" t="str">
        <v>2022/08/01</v>
      </c>
    </row>
    <row r="350" spans="1:34" x14ac:dyDescent="0.3">
      <c r="A350" t="str">
        <f t="array" ref="A350:J350">[1]!'4995.TW-ID,Name,MarketValue,Capital,NetIncomeGrowthRate,OperIncomeGrowthRate,FinancialStatementsTime,TFXRatio,MonthlyNetSalesYoY,RevenueMonth'</f>
        <v>4995</v>
      </c>
      <c r="B350" t="str">
        <v>晶達</v>
      </c>
      <c r="C350" t="str">
        <v>15.1</v>
      </c>
      <c r="D350" t="str">
        <v>4.19</v>
      </c>
      <c r="E350" t="str">
        <v>336.96</v>
      </c>
      <c r="F350" t="str">
        <v>243.36</v>
      </c>
      <c r="G350" t="str">
        <v>2022/03</v>
      </c>
      <c r="H350" t="str">
        <v>36.21</v>
      </c>
      <c r="I350" t="str">
        <v>32.91</v>
      </c>
      <c r="J350" t="str">
        <v>2022/06</v>
      </c>
      <c r="K350" t="str">
        <f t="array" ref="K350:T350">[1]!'4995.TW-OperatingProfitRatio,Price,PriceChangeRatio,InOutRatioNumber,Value,YearReturn,MonthReturn,WeekReturn,FinanceBalanceDif,ChipsField2'</f>
        <v>11.24</v>
      </c>
      <c r="L350">
        <v>36</v>
      </c>
      <c r="M350">
        <v>2.27</v>
      </c>
      <c r="N350" t="str">
        <v>61.90%</v>
      </c>
      <c r="O350" t="str">
        <v>74.8萬</v>
      </c>
      <c r="P350" t="str">
        <v>+12.69</v>
      </c>
      <c r="Q350" t="str">
        <v>+7.62</v>
      </c>
      <c r="R350" t="str">
        <v>+4.05</v>
      </c>
      <c r="S350">
        <v>-1</v>
      </c>
      <c r="T350">
        <v>0</v>
      </c>
      <c r="U350">
        <f t="array" ref="U350:AD350">[1]!'4995.TW-ChipsField3,ChipsField1,ChipsField25,CashAndStockDividend,CashDividendYieldRate,ProfitFourSeason,ProfitSingle,CName,ExchangeIndustry,CompanyPos'</f>
        <v>0</v>
      </c>
      <c r="V350">
        <v>2</v>
      </c>
      <c r="W350" t="str">
        <v>2022/06/01</v>
      </c>
      <c r="X350" t="str">
        <v>2.50</v>
      </c>
      <c r="Y350">
        <v>6.94</v>
      </c>
      <c r="Z350" t="str">
        <v>3.48</v>
      </c>
      <c r="AA350" t="str">
        <v>1.04</v>
      </c>
      <c r="AB350" t="str">
        <v>晶達</v>
      </c>
      <c r="AC350" t="str">
        <v>上櫃光電</v>
      </c>
      <c r="AD350" t="str">
        <v>工業用高亮度面板專業廠商</v>
      </c>
      <c r="AE350" t="str">
        <f t="array" ref="AE350:AH350">[1]!'4995.TW-CName,InvestorConferenceDate,DateofMeetingofShareHolders,TradingDate'</f>
        <v>晶達</v>
      </c>
      <c r="AF350" t="str">
        <v>--</v>
      </c>
      <c r="AG350" t="str">
        <v>2022/05/26</v>
      </c>
      <c r="AH350" t="str">
        <v>2022/08/01</v>
      </c>
    </row>
    <row r="351" spans="1:34" x14ac:dyDescent="0.3">
      <c r="A351" t="str">
        <f t="array" ref="A351:J351">[1]!'5220.TW-ID,Name,MarketValue,Capital,NetIncomeGrowthRate,OperIncomeGrowthRate,FinancialStatementsTime,TFXRatio,MonthlyNetSalesYoY,RevenueMonth'</f>
        <v>5220</v>
      </c>
      <c r="B351" t="str">
        <v>萬達光電</v>
      </c>
      <c r="C351" t="str">
        <v>11.3</v>
      </c>
      <c r="D351" t="str">
        <v>3.97</v>
      </c>
      <c r="E351" t="str">
        <v>-15.98</v>
      </c>
      <c r="F351" t="str">
        <v>-30.79</v>
      </c>
      <c r="G351" t="str">
        <v>2022/03</v>
      </c>
      <c r="H351" t="str">
        <v>-24.29</v>
      </c>
      <c r="I351" t="str">
        <v>-26.25</v>
      </c>
      <c r="J351" t="str">
        <v>2022/06</v>
      </c>
      <c r="K351" t="str">
        <f t="array" ref="K351:T351">[1]!'5220.TW-OperatingProfitRatio,Price,PriceChangeRatio,InOutRatioNumber,Value,YearReturn,MonthReturn,WeekReturn,FinanceBalanceDif,ChipsField2'</f>
        <v>11.46</v>
      </c>
      <c r="L351">
        <v>28.5</v>
      </c>
      <c r="M351">
        <v>0.35</v>
      </c>
      <c r="N351" t="str">
        <v>80.00%</v>
      </c>
      <c r="O351" t="str">
        <v>45.5萬</v>
      </c>
      <c r="P351" t="str">
        <v>-17.22</v>
      </c>
      <c r="Q351" t="str">
        <v>-1.46</v>
      </c>
      <c r="R351" t="str">
        <v>0.00</v>
      </c>
      <c r="S351">
        <v>-2</v>
      </c>
      <c r="T351">
        <v>0</v>
      </c>
      <c r="U351">
        <f t="array" ref="U351:AD351">[1]!'5220.TW-ChipsField3,ChipsField1,ChipsField25,CashAndStockDividend,CashDividendYieldRate,ProfitFourSeason,ProfitSingle,CName,ExchangeIndustry,CompanyPos'</f>
        <v>0</v>
      </c>
      <c r="V351">
        <v>0</v>
      </c>
      <c r="W351" t="str">
        <v>2022/07/14</v>
      </c>
      <c r="X351" t="str">
        <v>2.20</v>
      </c>
      <c r="Y351">
        <v>7.72</v>
      </c>
      <c r="Z351" t="str">
        <v>3.27</v>
      </c>
      <c r="AA351" t="str">
        <v>0.80</v>
      </c>
      <c r="AB351" t="str">
        <v>萬達光電</v>
      </c>
      <c r="AC351" t="str">
        <v>上櫃光電</v>
      </c>
      <c r="AD351" t="str">
        <v>台灣觸控面板廠，主要聚焦於軍、工控等市場</v>
      </c>
      <c r="AE351" t="str">
        <f t="array" ref="AE351:AH351">[1]!'5220.TW-CName,InvestorConferenceDate,DateofMeetingofShareHolders,TradingDate'</f>
        <v>萬達光電</v>
      </c>
      <c r="AF351" t="str">
        <v>--</v>
      </c>
      <c r="AG351" t="str">
        <v>2022/06/24</v>
      </c>
      <c r="AH351" t="str">
        <v>2022/08/01</v>
      </c>
    </row>
    <row r="352" spans="1:34" x14ac:dyDescent="0.3">
      <c r="A352" t="str">
        <f t="array" ref="A352:J352">[1]!'5230.TW-ID,Name,MarketValue,Capital,NetIncomeGrowthRate,OperIncomeGrowthRate,FinancialStatementsTime,TFXRatio,MonthlyNetSalesYoY,RevenueMonth'</f>
        <v>5230</v>
      </c>
      <c r="B352" t="str">
        <v>雷笛克光學</v>
      </c>
      <c r="C352" t="str">
        <v>10.8</v>
      </c>
      <c r="D352" t="str">
        <v>4.70</v>
      </c>
      <c r="E352" t="str">
        <v>85.82</v>
      </c>
      <c r="F352" t="str">
        <v>24.20</v>
      </c>
      <c r="G352" t="str">
        <v>2022/03</v>
      </c>
      <c r="H352" t="str">
        <v>-0.60</v>
      </c>
      <c r="I352" t="str">
        <v>0.00</v>
      </c>
      <c r="J352" t="str">
        <v>2022/06</v>
      </c>
      <c r="K352" t="str">
        <f t="array" ref="K352:T352">[1]!'5230.TW-OperatingProfitRatio,Price,PriceChangeRatio,InOutRatioNumber,Value,YearReturn,MonthReturn,WeekReturn,FinanceBalanceDif,ChipsField2'</f>
        <v>3.87</v>
      </c>
      <c r="L352">
        <v>23</v>
      </c>
      <c r="M352">
        <v>0</v>
      </c>
      <c r="N352" t="str">
        <v>16.67%</v>
      </c>
      <c r="O352" t="str">
        <v>68.6萬</v>
      </c>
      <c r="P352" t="str">
        <v>-21.15</v>
      </c>
      <c r="Q352" t="str">
        <v>+6.98</v>
      </c>
      <c r="R352" t="str">
        <v>-1.08</v>
      </c>
      <c r="S352">
        <v>1</v>
      </c>
      <c r="T352">
        <v>0</v>
      </c>
      <c r="U352">
        <f t="array" ref="U352:AD352">[1]!'5230.TW-ChipsField3,ChipsField1,ChipsField25,CashAndStockDividend,CashDividendYieldRate,ProfitFourSeason,ProfitSingle,CName,ExchangeIndustry,CompanyPos'</f>
        <v>0</v>
      </c>
      <c r="V352">
        <v>-2</v>
      </c>
      <c r="W352" t="str">
        <v>2022/06/23</v>
      </c>
      <c r="X352" t="str">
        <v>0.80</v>
      </c>
      <c r="Y352">
        <v>3.48</v>
      </c>
      <c r="Z352" t="str">
        <v>1.39</v>
      </c>
      <c r="AA352" t="str">
        <v>0.27</v>
      </c>
      <c r="AB352" t="str">
        <v>雷笛克光學</v>
      </c>
      <c r="AC352" t="str">
        <v>上櫃光電</v>
      </c>
      <c r="AD352" t="str">
        <v>全球最大LED二次光學透鏡廠</v>
      </c>
      <c r="AE352" t="str">
        <f t="array" ref="AE352:AH352">[1]!'5230.TW-CName,InvestorConferenceDate,DateofMeetingofShareHolders,TradingDate'</f>
        <v>雷笛克光學</v>
      </c>
      <c r="AF352" t="str">
        <v>2021/11/30</v>
      </c>
      <c r="AG352" t="str">
        <v>2022/06/08</v>
      </c>
      <c r="AH352" t="str">
        <v>2022/08/01</v>
      </c>
    </row>
    <row r="353" spans="1:34" x14ac:dyDescent="0.3">
      <c r="A353" t="str">
        <f t="array" ref="A353:J353">[1]!'5245.TW-ID,Name,MarketValue,Capital,NetIncomeGrowthRate,OperIncomeGrowthRate,FinancialStatementsTime,TFXRatio,MonthlyNetSalesYoY,RevenueMonth'</f>
        <v>5245</v>
      </c>
      <c r="B353" t="str">
        <v>智晶</v>
      </c>
      <c r="C353" t="str">
        <v>28.9</v>
      </c>
      <c r="D353" t="str">
        <v>4.50</v>
      </c>
      <c r="E353" t="str">
        <v>23.11</v>
      </c>
      <c r="F353" t="str">
        <v>13.12</v>
      </c>
      <c r="G353" t="str">
        <v>2022/03</v>
      </c>
      <c r="H353" t="str">
        <v>-1.41</v>
      </c>
      <c r="I353" t="str">
        <v>15.56</v>
      </c>
      <c r="J353" t="str">
        <v>2022/06</v>
      </c>
      <c r="K353" t="str">
        <f t="array" ref="K353:T353">[1]!'5245.TW-OperatingProfitRatio,Price,PriceChangeRatio,InOutRatioNumber,Value,YearReturn,MonthReturn,WeekReturn,FinanceBalanceDif,ChipsField2'</f>
        <v>14.48</v>
      </c>
      <c r="L353">
        <v>64.3</v>
      </c>
      <c r="M353">
        <v>-2.87</v>
      </c>
      <c r="N353" t="str">
        <v>17.88%</v>
      </c>
      <c r="O353" t="str">
        <v>2663萬</v>
      </c>
      <c r="P353" t="str">
        <v>+63.57</v>
      </c>
      <c r="Q353" t="str">
        <v>+18.52</v>
      </c>
      <c r="R353" t="str">
        <v>-2.58</v>
      </c>
      <c r="S353">
        <v>21</v>
      </c>
      <c r="T353">
        <v>0</v>
      </c>
      <c r="U353">
        <f t="array" ref="U353:AD353">[1]!'5245.TW-ChipsField3,ChipsField1,ChipsField25,CashAndStockDividend,CashDividendYieldRate,ProfitFourSeason,ProfitSingle,CName,ExchangeIndustry,CompanyPos'</f>
        <v>-3</v>
      </c>
      <c r="V353">
        <v>47</v>
      </c>
      <c r="W353" t="str">
        <v>2022/07/13</v>
      </c>
      <c r="X353" t="str">
        <v>4.48</v>
      </c>
      <c r="Y353">
        <v>6.97</v>
      </c>
      <c r="Z353" t="str">
        <v>4.67</v>
      </c>
      <c r="AA353" t="str">
        <v>1.05</v>
      </c>
      <c r="AB353" t="str">
        <v>智晶</v>
      </c>
      <c r="AC353" t="str">
        <v>上櫃光電</v>
      </c>
      <c r="AD353" t="str">
        <v>PMOLED出貨量居全球第二大</v>
      </c>
      <c r="AE353" t="str">
        <f t="array" ref="AE353:AH353">[1]!'5245.TW-CName,InvestorConferenceDate,DateofMeetingofShareHolders,TradingDate'</f>
        <v>智晶</v>
      </c>
      <c r="AF353" t="str">
        <v>2022/03/29</v>
      </c>
      <c r="AG353" t="str">
        <v>2022/06/27</v>
      </c>
      <c r="AH353" t="str">
        <v>2022/08/01</v>
      </c>
    </row>
    <row r="354" spans="1:34" x14ac:dyDescent="0.3">
      <c r="A354" t="str">
        <f t="array" ref="A354:J354">[1]!'5251.TW-ID,Name,MarketValue,Capital,NetIncomeGrowthRate,OperIncomeGrowthRate,FinancialStatementsTime,TFXRatio,MonthlyNetSalesYoY,RevenueMonth'</f>
        <v>5251</v>
      </c>
      <c r="B354" t="str">
        <v>天鉞電</v>
      </c>
      <c r="C354" t="str">
        <v>6.4</v>
      </c>
      <c r="D354" t="str">
        <v>3.57</v>
      </c>
      <c r="E354" t="str">
        <v>-8.99</v>
      </c>
      <c r="F354" t="str">
        <v>-18.10</v>
      </c>
      <c r="G354" t="str">
        <v>2022/03</v>
      </c>
      <c r="H354" t="str">
        <v>8.56</v>
      </c>
      <c r="I354" t="str">
        <v>91.58</v>
      </c>
      <c r="J354" t="str">
        <v>2022/06</v>
      </c>
      <c r="K354" t="str">
        <f t="array" ref="K354:T354">[1]!'5251.TW-OperatingProfitRatio,Price,PriceChangeRatio,InOutRatioNumber,Value,YearReturn,MonthReturn,WeekReturn,FinanceBalanceDif,ChipsField2'</f>
        <v>-54.79</v>
      </c>
      <c r="L354">
        <v>18.05</v>
      </c>
      <c r="M354">
        <v>0.84</v>
      </c>
      <c r="N354" t="str">
        <v>54.69%</v>
      </c>
      <c r="O354" t="str">
        <v>2134萬</v>
      </c>
      <c r="P354" t="str">
        <v>+29.86</v>
      </c>
      <c r="Q354" t="str">
        <v>+14.24</v>
      </c>
      <c r="R354" t="str">
        <v>+3.74</v>
      </c>
      <c r="S354">
        <v>-18</v>
      </c>
      <c r="T354">
        <v>0</v>
      </c>
      <c r="U354">
        <f t="array" ref="U354:AD354">[1]!'5251.TW-ChipsField3,ChipsField1,ChipsField25,CashAndStockDividend,CashDividendYieldRate,ProfitFourSeason,ProfitSingle,CName,ExchangeIndustry,CompanyPos'</f>
        <v>0</v>
      </c>
      <c r="V354">
        <v>6</v>
      </c>
      <c r="W354" t="str">
        <v>--</v>
      </c>
      <c r="X354" t="str">
        <v>0.00</v>
      </c>
      <c r="Y354">
        <v>0</v>
      </c>
      <c r="Z354" t="str">
        <v>-2.36</v>
      </c>
      <c r="AA354" t="str">
        <v>-0.54</v>
      </c>
      <c r="AB354" t="str">
        <v>天鉞電</v>
      </c>
      <c r="AC354" t="str">
        <v>上櫃光電</v>
      </c>
      <c r="AD354" t="str">
        <v>以DIY類無線居家安控產品為主之數位家庭整合系統商</v>
      </c>
      <c r="AE354" t="str">
        <f t="array" ref="AE354:AH354">[1]!'5251.TW-CName,InvestorConferenceDate,DateofMeetingofShareHolders,TradingDate'</f>
        <v>天鉞電</v>
      </c>
      <c r="AF354" t="str">
        <v>--</v>
      </c>
      <c r="AG354" t="str">
        <v>2022/06/22</v>
      </c>
      <c r="AH354" t="str">
        <v>2022/08/01</v>
      </c>
    </row>
    <row r="355" spans="1:34" x14ac:dyDescent="0.3">
      <c r="A355" t="str">
        <f t="array" ref="A355:J355">[1]!'5281.TW-ID,Name,MarketValue,Capital,NetIncomeGrowthRate,OperIncomeGrowthRate,FinancialStatementsTime,TFXRatio,MonthlyNetSalesYoY,RevenueMonth'</f>
        <v>5281</v>
      </c>
      <c r="B355" t="str">
        <v>大峽谷-KY</v>
      </c>
      <c r="C355" t="str">
        <v>6.5</v>
      </c>
      <c r="D355" t="str">
        <v>3.70</v>
      </c>
      <c r="E355" t="str">
        <v>-46.24</v>
      </c>
      <c r="F355" t="str">
        <v>-61.45</v>
      </c>
      <c r="G355" t="str">
        <v>2022/03</v>
      </c>
      <c r="H355" t="str">
        <v>-4.63</v>
      </c>
      <c r="I355" t="str">
        <v>-58.52</v>
      </c>
      <c r="J355" t="str">
        <v>2022/06</v>
      </c>
      <c r="K355" t="str">
        <f t="array" ref="K355:T355">[1]!'5281.TW-OperatingProfitRatio,Price,PriceChangeRatio,InOutRatioNumber,Value,YearReturn,MonthReturn,WeekReturn,FinanceBalanceDif,ChipsField2'</f>
        <v>-27.97</v>
      </c>
      <c r="L355">
        <v>17.45</v>
      </c>
      <c r="M355">
        <v>0.57999999999999996</v>
      </c>
      <c r="N355" t="str">
        <v>50.00%</v>
      </c>
      <c r="O355" t="str">
        <v>10.6萬</v>
      </c>
      <c r="P355" t="str">
        <v>-23.56</v>
      </c>
      <c r="Q355" t="str">
        <v>-6.18</v>
      </c>
      <c r="R355" t="str">
        <v>+0.58</v>
      </c>
      <c r="S355">
        <v>-3</v>
      </c>
      <c r="T355">
        <v>0</v>
      </c>
      <c r="U355">
        <f t="array" ref="U355:AD355">[1]!'5281.TW-ChipsField3,ChipsField1,ChipsField25,CashAndStockDividend,CashDividendYieldRate,ProfitFourSeason,ProfitSingle,CName,ExchangeIndustry,CompanyPos'</f>
        <v>0</v>
      </c>
      <c r="V355">
        <v>-1</v>
      </c>
      <c r="W355" t="str">
        <v>--</v>
      </c>
      <c r="X355" t="str">
        <v>0.00</v>
      </c>
      <c r="Y355">
        <v>0</v>
      </c>
      <c r="Z355" t="str">
        <v>-0.92</v>
      </c>
      <c r="AA355" t="str">
        <v>-0.91</v>
      </c>
      <c r="AB355" t="str">
        <v>大峽谷-KY</v>
      </c>
      <c r="AC355" t="str">
        <v>上櫃光電</v>
      </c>
      <c r="AD355" t="str">
        <v>大陸LED建築景觀照明系統商</v>
      </c>
      <c r="AE355" t="str">
        <f t="array" ref="AE355:AH355">[1]!'5281.TW-CName,InvestorConferenceDate,DateofMeetingofShareHolders,TradingDate'</f>
        <v>大峽谷-KY</v>
      </c>
      <c r="AF355" t="str">
        <v>2021/12/29</v>
      </c>
      <c r="AG355" t="str">
        <v>2022/06/27</v>
      </c>
      <c r="AH355" t="str">
        <v>2022/08/01</v>
      </c>
    </row>
    <row r="356" spans="1:34" x14ac:dyDescent="0.3">
      <c r="A356" t="str">
        <f t="array" ref="A356:J356">[1]!'5315.TW-ID,Name,MarketValue,Capital,NetIncomeGrowthRate,OperIncomeGrowthRate,FinancialStatementsTime,TFXRatio,MonthlyNetSalesYoY,RevenueMonth'</f>
        <v>5315</v>
      </c>
      <c r="B356" t="str">
        <v>光聯</v>
      </c>
      <c r="C356" t="str">
        <v>17.1</v>
      </c>
      <c r="D356" t="str">
        <v>10.64</v>
      </c>
      <c r="E356" t="str">
        <v>14.82</v>
      </c>
      <c r="F356" t="str">
        <v>9.03</v>
      </c>
      <c r="G356" t="str">
        <v>2022/03</v>
      </c>
      <c r="H356" t="str">
        <v>1.23</v>
      </c>
      <c r="I356" t="str">
        <v>-8.13</v>
      </c>
      <c r="J356" t="str">
        <v>2022/06</v>
      </c>
      <c r="K356" t="str">
        <f t="array" ref="K356:T356">[1]!'5315.TW-OperatingProfitRatio,Price,PriceChangeRatio,InOutRatioNumber,Value,YearReturn,MonthReturn,WeekReturn,FinanceBalanceDif,ChipsField2'</f>
        <v>10.08</v>
      </c>
      <c r="L356">
        <v>16.05</v>
      </c>
      <c r="M356">
        <v>0.94</v>
      </c>
      <c r="N356" t="str">
        <v>47.66%</v>
      </c>
      <c r="O356" t="str">
        <v>171萬</v>
      </c>
      <c r="P356" t="str">
        <v>-9.97</v>
      </c>
      <c r="Q356" t="str">
        <v>+5.25</v>
      </c>
      <c r="R356" t="str">
        <v>+1.90</v>
      </c>
      <c r="S356">
        <v>-78</v>
      </c>
      <c r="T356">
        <v>0</v>
      </c>
      <c r="U356">
        <f t="array" ref="U356:AD356">[1]!'5315.TW-ChipsField3,ChipsField1,ChipsField25,CashAndStockDividend,CashDividendYieldRate,ProfitFourSeason,ProfitSingle,CName,ExchangeIndustry,CompanyPos'</f>
        <v>0</v>
      </c>
      <c r="V356">
        <v>25</v>
      </c>
      <c r="W356" t="str">
        <v>2022/07/01</v>
      </c>
      <c r="X356" t="str">
        <v>1.30</v>
      </c>
      <c r="Y356">
        <v>8.1</v>
      </c>
      <c r="Z356" t="str">
        <v>1.80</v>
      </c>
      <c r="AA356" t="str">
        <v>0.52</v>
      </c>
      <c r="AB356" t="str">
        <v>光聯</v>
      </c>
      <c r="AC356" t="str">
        <v>上櫃光電</v>
      </c>
      <c r="AD356" t="str">
        <v>各尺寸液晶顯示器模組整合加工與銷售</v>
      </c>
      <c r="AE356" t="str">
        <f t="array" ref="AE356:AH356">[1]!'5315.TW-CName,InvestorConferenceDate,DateofMeetingofShareHolders,TradingDate'</f>
        <v>光聯</v>
      </c>
      <c r="AF356" t="str">
        <v>--</v>
      </c>
      <c r="AG356" t="str">
        <v>2022/05/23</v>
      </c>
      <c r="AH356" t="str">
        <v>2022/08/01</v>
      </c>
    </row>
    <row r="357" spans="1:34" x14ac:dyDescent="0.3">
      <c r="A357" t="str">
        <f t="array" ref="A357:J357">[1]!'5371.TW-ID,Name,MarketValue,Capital,NetIncomeGrowthRate,OperIncomeGrowthRate,FinancialStatementsTime,TFXRatio,MonthlyNetSalesYoY,RevenueMonth'</f>
        <v>5371</v>
      </c>
      <c r="B357" t="str">
        <v>中光電</v>
      </c>
      <c r="C357" t="str">
        <v>211.9</v>
      </c>
      <c r="D357" t="str">
        <v>39.10</v>
      </c>
      <c r="E357" t="str">
        <v>45.55</v>
      </c>
      <c r="F357" t="str">
        <v>117.30</v>
      </c>
      <c r="G357" t="str">
        <v>2022/06</v>
      </c>
      <c r="H357" t="str">
        <v>20.60</v>
      </c>
      <c r="I357" t="str">
        <v>25.30</v>
      </c>
      <c r="J357" t="str">
        <v>2022/06</v>
      </c>
      <c r="K357" t="str">
        <f t="array" ref="K357:T357">[1]!'5371.TW-OperatingProfitRatio,Price,PriceChangeRatio,InOutRatioNumber,Value,YearReturn,MonthReturn,WeekReturn,FinanceBalanceDif,ChipsField2'</f>
        <v>3.92</v>
      </c>
      <c r="L357">
        <v>54.2</v>
      </c>
      <c r="M357">
        <v>0.74</v>
      </c>
      <c r="N357" t="str">
        <v>43.00%</v>
      </c>
      <c r="O357" t="str">
        <v>1.24億</v>
      </c>
      <c r="P357" t="str">
        <v>+5.86</v>
      </c>
      <c r="Q357" t="str">
        <v>+23.97</v>
      </c>
      <c r="R357" t="str">
        <v>+5.67</v>
      </c>
      <c r="S357">
        <v>-97</v>
      </c>
      <c r="T357">
        <v>0</v>
      </c>
      <c r="U357">
        <f t="array" ref="U357:AD357">[1]!'5371.TW-ChipsField3,ChipsField1,ChipsField25,CashAndStockDividend,CashDividendYieldRate,ProfitFourSeason,ProfitSingle,CName,ExchangeIndustry,CompanyPos'</f>
        <v>179</v>
      </c>
      <c r="V357">
        <v>1231</v>
      </c>
      <c r="W357" t="str">
        <v>2022/07/27</v>
      </c>
      <c r="X357" t="str">
        <v>4.00</v>
      </c>
      <c r="Y357">
        <v>7.38</v>
      </c>
      <c r="Z357" t="str">
        <v>6.08</v>
      </c>
      <c r="AA357" t="str">
        <v>2.07</v>
      </c>
      <c r="AB357" t="str">
        <v>中光電</v>
      </c>
      <c r="AC357" t="str">
        <v>上櫃光電</v>
      </c>
      <c r="AD357" t="str">
        <v>台灣第二大背光模組廠，及全球最大DLP投影機製造商</v>
      </c>
      <c r="AE357" t="str">
        <f t="array" ref="AE357:AH357">[1]!'5371.TW-CName,InvestorConferenceDate,DateofMeetingofShareHolders,TradingDate'</f>
        <v>中光電</v>
      </c>
      <c r="AF357" t="str">
        <v>2022/07/26</v>
      </c>
      <c r="AG357" t="str">
        <v>2022/06/10</v>
      </c>
      <c r="AH357" t="str">
        <v>2022/08/01</v>
      </c>
    </row>
    <row r="358" spans="1:34" x14ac:dyDescent="0.3">
      <c r="A358" t="str">
        <f t="array" ref="A358:J358">[1]!'5392.TW-ID,Name,MarketValue,Capital,NetIncomeGrowthRate,OperIncomeGrowthRate,FinancialStatementsTime,TFXRatio,MonthlyNetSalesYoY,RevenueMonth'</f>
        <v>5392</v>
      </c>
      <c r="B358" t="str">
        <v>能率</v>
      </c>
      <c r="C358" t="str">
        <v>35.2</v>
      </c>
      <c r="D358" t="str">
        <v>17.00</v>
      </c>
      <c r="E358" t="str">
        <v>-50.90</v>
      </c>
      <c r="F358" t="str">
        <v>-31.33</v>
      </c>
      <c r="G358" t="str">
        <v>2022/03</v>
      </c>
      <c r="H358" t="str">
        <v>14.20</v>
      </c>
      <c r="I358" t="str">
        <v>-8.02</v>
      </c>
      <c r="J358" t="str">
        <v>2022/06</v>
      </c>
      <c r="K358" t="str">
        <f t="array" ref="K358:T358">[1]!'5392.TW-OperatingProfitRatio,Price,PriceChangeRatio,InOutRatioNumber,Value,YearReturn,MonthReturn,WeekReturn,FinanceBalanceDif,ChipsField2'</f>
        <v>1.16</v>
      </c>
      <c r="L358">
        <v>20.7</v>
      </c>
      <c r="M358">
        <v>-0.96</v>
      </c>
      <c r="N358" t="str">
        <v>30.00%</v>
      </c>
      <c r="O358" t="str">
        <v>104萬</v>
      </c>
      <c r="P358" t="str">
        <v>-21.18</v>
      </c>
      <c r="Q358" t="str">
        <v>+7.25</v>
      </c>
      <c r="R358" t="str">
        <v>-1.43</v>
      </c>
      <c r="S358">
        <v>-1</v>
      </c>
      <c r="T358">
        <v>0</v>
      </c>
      <c r="U358">
        <f t="array" ref="U358:AD358">[1]!'5392.TW-ChipsField3,ChipsField1,ChipsField25,CashAndStockDividend,CashDividendYieldRate,ProfitFourSeason,ProfitSingle,CName,ExchangeIndustry,CompanyPos'</f>
        <v>0</v>
      </c>
      <c r="V358">
        <v>0</v>
      </c>
      <c r="W358" t="str">
        <v>--</v>
      </c>
      <c r="X358" t="str">
        <v>0.30</v>
      </c>
      <c r="Y358">
        <v>1.45</v>
      </c>
      <c r="Z358" t="str">
        <v>0.09</v>
      </c>
      <c r="AA358" t="str">
        <v>0.05</v>
      </c>
      <c r="AB358" t="str">
        <v>能率</v>
      </c>
      <c r="AC358" t="str">
        <v>上櫃光電</v>
      </c>
      <c r="AD358" t="str">
        <v>佳能轉投資之3C電子產品金屬機殼大廠</v>
      </c>
      <c r="AE358" t="str">
        <f t="array" ref="AE358:AH358">[1]!'5392.TW-CName,InvestorConferenceDate,DateofMeetingofShareHolders,TradingDate'</f>
        <v>能率</v>
      </c>
      <c r="AF358" t="str">
        <v>--</v>
      </c>
      <c r="AG358" t="str">
        <v>2022/06/14</v>
      </c>
      <c r="AH358" t="str">
        <v>2022/08/01</v>
      </c>
    </row>
    <row r="359" spans="1:34" x14ac:dyDescent="0.3">
      <c r="A359" t="str">
        <f t="array" ref="A359:J359">[1]!'5432.TW-ID,Name,MarketValue,Capital,NetIncomeGrowthRate,OperIncomeGrowthRate,FinancialStatementsTime,TFXRatio,MonthlyNetSalesYoY,RevenueMonth'</f>
        <v>5432</v>
      </c>
      <c r="B359" t="str">
        <v>新門</v>
      </c>
      <c r="C359" t="str">
        <v>7.2</v>
      </c>
      <c r="D359" t="str">
        <v>2.07</v>
      </c>
      <c r="E359" t="str">
        <v>647.39</v>
      </c>
      <c r="F359" t="str">
        <v>539.37</v>
      </c>
      <c r="G359" t="str">
        <v>2022/03</v>
      </c>
      <c r="H359" t="str">
        <v>1.10</v>
      </c>
      <c r="I359" t="str">
        <v>322.13</v>
      </c>
      <c r="J359" t="str">
        <v>2022/06</v>
      </c>
      <c r="K359" t="str">
        <f t="array" ref="K359:T359">[1]!'5432.TW-OperatingProfitRatio,Price,PriceChangeRatio,InOutRatioNumber,Value,YearReturn,MonthReturn,WeekReturn,FinanceBalanceDif,ChipsField2'</f>
        <v>10.14</v>
      </c>
      <c r="L359">
        <v>34.950000000000003</v>
      </c>
      <c r="M359">
        <v>0</v>
      </c>
      <c r="N359" t="str">
        <v>0.00%</v>
      </c>
      <c r="O359" t="str">
        <v>3.50萬</v>
      </c>
      <c r="P359" t="str">
        <v>+9.56</v>
      </c>
      <c r="Q359" t="str">
        <v>-4.38</v>
      </c>
      <c r="R359" t="str">
        <v>+0.72</v>
      </c>
      <c r="S359">
        <v>-4</v>
      </c>
      <c r="T359">
        <v>0</v>
      </c>
      <c r="U359">
        <f t="array" ref="U359:AD359">[1]!'5432.TW-ChipsField3,ChipsField1,ChipsField25,CashAndStockDividend,CashDividendYieldRate,ProfitFourSeason,ProfitSingle,CName,ExchangeIndustry,CompanyPos'</f>
        <v>0</v>
      </c>
      <c r="V359">
        <v>0</v>
      </c>
      <c r="W359" t="str">
        <v>--</v>
      </c>
      <c r="X359" t="str">
        <v>0.00</v>
      </c>
      <c r="Y359">
        <v>0</v>
      </c>
      <c r="Z359" t="str">
        <v>0.69</v>
      </c>
      <c r="AA359" t="str">
        <v>0.42</v>
      </c>
      <c r="AB359" t="str">
        <v>新門</v>
      </c>
      <c r="AC359" t="str">
        <v>上櫃光電</v>
      </c>
      <c r="AD359" t="str">
        <v>所羅門子公司，中小尺寸液晶顯示器模組廠</v>
      </c>
      <c r="AE359" t="str">
        <f t="array" ref="AE359:AH359">[1]!'5432.TW-CName,InvestorConferenceDate,DateofMeetingofShareHolders,TradingDate'</f>
        <v>新門</v>
      </c>
      <c r="AF359" t="str">
        <v>--</v>
      </c>
      <c r="AG359" t="str">
        <v>2022/06/14</v>
      </c>
      <c r="AH359" t="str">
        <v>2022/08/01</v>
      </c>
    </row>
    <row r="360" spans="1:34" x14ac:dyDescent="0.3">
      <c r="A360" t="str">
        <f t="array" ref="A360:J360">[1]!'5443.TW-ID,Name,MarketValue,Capital,NetIncomeGrowthRate,OperIncomeGrowthRate,FinancialStatementsTime,TFXRatio,MonthlyNetSalesYoY,RevenueMonth'</f>
        <v>5443</v>
      </c>
      <c r="B360" t="str">
        <v>均豪</v>
      </c>
      <c r="C360" t="str">
        <v>41.4</v>
      </c>
      <c r="D360" t="str">
        <v>16.51</v>
      </c>
      <c r="E360" t="str">
        <v>117.05</v>
      </c>
      <c r="F360" t="str">
        <v>90.30</v>
      </c>
      <c r="G360" t="str">
        <v>2022/03</v>
      </c>
      <c r="H360" t="str">
        <v>22.38</v>
      </c>
      <c r="I360" t="str">
        <v>11.55</v>
      </c>
      <c r="J360" t="str">
        <v>2022/06</v>
      </c>
      <c r="K360" t="str">
        <f t="array" ref="K360:T360">[1]!'5443.TW-OperatingProfitRatio,Price,PriceChangeRatio,InOutRatioNumber,Value,YearReturn,MonthReturn,WeekReturn,FinanceBalanceDif,ChipsField2'</f>
        <v>12.31</v>
      </c>
      <c r="L360">
        <v>25.1</v>
      </c>
      <c r="M360">
        <v>0</v>
      </c>
      <c r="N360" t="str">
        <v>54.55%</v>
      </c>
      <c r="O360" t="str">
        <v>252萬</v>
      </c>
      <c r="P360" t="str">
        <v>-32.36</v>
      </c>
      <c r="Q360" t="str">
        <v>+12.16</v>
      </c>
      <c r="R360" t="str">
        <v>-1.18</v>
      </c>
      <c r="S360">
        <v>-50</v>
      </c>
      <c r="T360">
        <v>0</v>
      </c>
      <c r="U360">
        <f t="array" ref="U360:AD360">[1]!'5443.TW-ChipsField3,ChipsField1,ChipsField25,CashAndStockDividend,CashDividendYieldRate,ProfitFourSeason,ProfitSingle,CName,ExchangeIndustry,CompanyPos'</f>
        <v>0</v>
      </c>
      <c r="V360">
        <v>5</v>
      </c>
      <c r="W360" t="str">
        <v>2022/07/26</v>
      </c>
      <c r="X360" t="str">
        <v>1.50</v>
      </c>
      <c r="Y360">
        <v>5.98</v>
      </c>
      <c r="Z360" t="str">
        <v>1.84</v>
      </c>
      <c r="AA360" t="str">
        <v>0.68</v>
      </c>
      <c r="AB360" t="str">
        <v>均豪</v>
      </c>
      <c r="AC360" t="str">
        <v>上櫃光電</v>
      </c>
      <c r="AD360" t="str">
        <v>台灣TFT製程及封裝設備供應商</v>
      </c>
      <c r="AE360" t="str">
        <f t="array" ref="AE360:AH360">[1]!'5443.TW-CName,InvestorConferenceDate,DateofMeetingofShareHolders,TradingDate'</f>
        <v>均豪</v>
      </c>
      <c r="AF360" t="str">
        <v>2021/11/23</v>
      </c>
      <c r="AG360" t="str">
        <v>2022/06/08</v>
      </c>
      <c r="AH360" t="str">
        <v>2022/08/01</v>
      </c>
    </row>
    <row r="361" spans="1:34" x14ac:dyDescent="0.3">
      <c r="A361" t="str">
        <f t="array" ref="A361:J361">[1]!'6125.TW-ID,Name,MarketValue,Capital,NetIncomeGrowthRate,OperIncomeGrowthRate,FinancialStatementsTime,TFXRatio,MonthlyNetSalesYoY,RevenueMonth'</f>
        <v>6125</v>
      </c>
      <c r="B361" t="str">
        <v>廣運</v>
      </c>
      <c r="C361" t="str">
        <v>72.7</v>
      </c>
      <c r="D361" t="str">
        <v>24.90</v>
      </c>
      <c r="E361" t="str">
        <v>138.82</v>
      </c>
      <c r="F361" t="str">
        <v>78.28</v>
      </c>
      <c r="G361" t="str">
        <v>2022/03</v>
      </c>
      <c r="H361" t="str">
        <v>11.37</v>
      </c>
      <c r="I361" t="str">
        <v>50.65</v>
      </c>
      <c r="J361" t="str">
        <v>2022/06</v>
      </c>
      <c r="K361" t="str">
        <f t="array" ref="K361:T361">[1]!'6125.TW-OperatingProfitRatio,Price,PriceChangeRatio,InOutRatioNumber,Value,YearReturn,MonthReturn,WeekReturn,FinanceBalanceDif,ChipsField2'</f>
        <v>-2.71</v>
      </c>
      <c r="L361">
        <v>29.2</v>
      </c>
      <c r="M361">
        <v>-3.79</v>
      </c>
      <c r="N361" t="str">
        <v>28.38%</v>
      </c>
      <c r="O361" t="str">
        <v>1.42億</v>
      </c>
      <c r="P361" t="str">
        <v>+21.96</v>
      </c>
      <c r="Q361" t="str">
        <v>+8.51</v>
      </c>
      <c r="R361" t="str">
        <v>-1.35</v>
      </c>
      <c r="S361">
        <v>794</v>
      </c>
      <c r="T361">
        <v>200</v>
      </c>
      <c r="U361">
        <f t="array" ref="U361:AD361">[1]!'6125.TW-ChipsField3,ChipsField1,ChipsField25,CashAndStockDividend,CashDividendYieldRate,ProfitFourSeason,ProfitSingle,CName,ExchangeIndustry,CompanyPos'</f>
        <v>-28</v>
      </c>
      <c r="V361">
        <v>-2226</v>
      </c>
      <c r="W361" t="str">
        <v>2022/07/12</v>
      </c>
      <c r="X361" t="str">
        <v>1.61</v>
      </c>
      <c r="Y361">
        <v>5.51</v>
      </c>
      <c r="Z361" t="str">
        <v>-0.35</v>
      </c>
      <c r="AA361" t="str">
        <v>0.50</v>
      </c>
      <c r="AB361" t="str">
        <v>廣運</v>
      </c>
      <c r="AC361" t="str">
        <v>上櫃光電</v>
      </c>
      <c r="AD361" t="str">
        <v>經營自動化物流系統及太陽能電池等業務</v>
      </c>
      <c r="AE361" t="str">
        <f t="array" ref="AE361:AH361">[1]!'6125.TW-CName,InvestorConferenceDate,DateofMeetingofShareHolders,TradingDate'</f>
        <v>廣運</v>
      </c>
      <c r="AF361" t="str">
        <v>2021/11/17</v>
      </c>
      <c r="AG361" t="str">
        <v>2022/06/24</v>
      </c>
      <c r="AH361" t="str">
        <v>2022/08/01</v>
      </c>
    </row>
    <row r="362" spans="1:34" x14ac:dyDescent="0.3">
      <c r="A362" t="str">
        <f t="array" ref="A362:J362">[1]!'6167.TW-ID,Name,MarketValue,Capital,NetIncomeGrowthRate,OperIncomeGrowthRate,FinancialStatementsTime,TFXRatio,MonthlyNetSalesYoY,RevenueMonth'</f>
        <v>6167</v>
      </c>
      <c r="B362" t="str">
        <v>久正</v>
      </c>
      <c r="C362" t="str">
        <v>21.4</v>
      </c>
      <c r="D362" t="str">
        <v>16.22</v>
      </c>
      <c r="E362" t="str">
        <v>311.52</v>
      </c>
      <c r="F362" t="str">
        <v>1475.77</v>
      </c>
      <c r="G362" t="str">
        <v>2022/03</v>
      </c>
      <c r="H362" t="str">
        <v>-5.35</v>
      </c>
      <c r="I362" t="str">
        <v>32.42</v>
      </c>
      <c r="J362" t="str">
        <v>2022/06</v>
      </c>
      <c r="K362" t="str">
        <f t="array" ref="K362:T362">[1]!'6167.TW-OperatingProfitRatio,Price,PriceChangeRatio,InOutRatioNumber,Value,YearReturn,MonthReturn,WeekReturn,FinanceBalanceDif,ChipsField2'</f>
        <v>5.82</v>
      </c>
      <c r="L362">
        <v>13.2</v>
      </c>
      <c r="M362">
        <v>0.76</v>
      </c>
      <c r="N362" t="str">
        <v>51.27%</v>
      </c>
      <c r="O362" t="str">
        <v>552萬</v>
      </c>
      <c r="P362" t="str">
        <v>+38.66</v>
      </c>
      <c r="Q362" t="str">
        <v>+16.81</v>
      </c>
      <c r="R362" t="str">
        <v>-1.49</v>
      </c>
      <c r="S362">
        <v>0</v>
      </c>
      <c r="T362">
        <v>0</v>
      </c>
      <c r="U362">
        <f t="array" ref="U362:AD362">[1]!'6167.TW-ChipsField3,ChipsField1,ChipsField25,CashAndStockDividend,CashDividendYieldRate,ProfitFourSeason,ProfitSingle,CName,ExchangeIndustry,CompanyPos'</f>
        <v>0</v>
      </c>
      <c r="V362">
        <v>105</v>
      </c>
      <c r="W362" t="str">
        <v>--</v>
      </c>
      <c r="X362" t="str">
        <v>0.19</v>
      </c>
      <c r="Y362">
        <v>1.44</v>
      </c>
      <c r="Z362" t="str">
        <v>0.71</v>
      </c>
      <c r="AA362" t="str">
        <v>0.27</v>
      </c>
      <c r="AB362" t="str">
        <v>久正</v>
      </c>
      <c r="AC362" t="str">
        <v>上櫃光電</v>
      </c>
      <c r="AD362" t="str">
        <v>中小尺寸TN/STN面板模組廠</v>
      </c>
      <c r="AE362" t="str">
        <f t="array" ref="AE362:AH362">[1]!'6167.TW-CName,InvestorConferenceDate,DateofMeetingofShareHolders,TradingDate'</f>
        <v>久正</v>
      </c>
      <c r="AF362" t="str">
        <v>--</v>
      </c>
      <c r="AG362" t="str">
        <v>2022/06/08</v>
      </c>
      <c r="AH362" t="str">
        <v>2022/08/01</v>
      </c>
    </row>
    <row r="363" spans="1:34" x14ac:dyDescent="0.3">
      <c r="A363" t="str">
        <f t="array" ref="A363:J363">[1]!'6222.TW-ID,Name,MarketValue,Capital,NetIncomeGrowthRate,OperIncomeGrowthRate,FinancialStatementsTime,TFXRatio,MonthlyNetSalesYoY,RevenueMonth'</f>
        <v>6222</v>
      </c>
      <c r="B363" t="str">
        <v>上揚</v>
      </c>
      <c r="C363" t="str">
        <v>6.3</v>
      </c>
      <c r="D363" t="str">
        <v>4.06</v>
      </c>
      <c r="E363" t="str">
        <v>-333.10</v>
      </c>
      <c r="F363" t="str">
        <v>-513.77</v>
      </c>
      <c r="G363" t="str">
        <v>2022/03</v>
      </c>
      <c r="H363" t="str">
        <v>-60.76</v>
      </c>
      <c r="I363" t="str">
        <v>-99.09</v>
      </c>
      <c r="J363" t="str">
        <v>2022/06</v>
      </c>
      <c r="K363" t="str">
        <f t="array" ref="K363:T363">[1]!'6222.TW-OperatingProfitRatio,Price,PriceChangeRatio,InOutRatioNumber,Value,YearReturn,MonthReturn,WeekReturn,FinanceBalanceDif,ChipsField2'</f>
        <v>-103.08</v>
      </c>
      <c r="L363">
        <v>15.5</v>
      </c>
      <c r="M363">
        <v>-1.59</v>
      </c>
      <c r="N363" t="str">
        <v>33.68%</v>
      </c>
      <c r="O363" t="str">
        <v>157萬</v>
      </c>
      <c r="P363" t="str">
        <v>-0.64</v>
      </c>
      <c r="Q363" t="str">
        <v>+8.77</v>
      </c>
      <c r="R363" t="str">
        <v>+8.39</v>
      </c>
      <c r="S363">
        <v>0</v>
      </c>
      <c r="T363">
        <v>0</v>
      </c>
      <c r="U363">
        <f t="array" ref="U363:AD363">[1]!'6222.TW-ChipsField3,ChipsField1,ChipsField25,CashAndStockDividend,CashDividendYieldRate,ProfitFourSeason,ProfitSingle,CName,ExchangeIndustry,CompanyPos'</f>
        <v>0</v>
      </c>
      <c r="V363">
        <v>0</v>
      </c>
      <c r="W363" t="str">
        <v>--</v>
      </c>
      <c r="X363" t="str">
        <v>0.00</v>
      </c>
      <c r="Y363">
        <v>0</v>
      </c>
      <c r="Z363" t="str">
        <v>-0.51</v>
      </c>
      <c r="AA363" t="str">
        <v>-0.09</v>
      </c>
      <c r="AB363" t="str">
        <v>上揚</v>
      </c>
      <c r="AC363" t="str">
        <v>上櫃光電</v>
      </c>
      <c r="AD363" t="str">
        <v>轉型為LED照明產品及小家電事業</v>
      </c>
      <c r="AE363" t="str">
        <f t="array" ref="AE363:AH363">[1]!'6222.TW-CName,InvestorConferenceDate,DateofMeetingofShareHolders,TradingDate'</f>
        <v>上揚</v>
      </c>
      <c r="AF363" t="str">
        <v>--</v>
      </c>
      <c r="AG363" t="str">
        <v>2022/06/30</v>
      </c>
      <c r="AH363" t="str">
        <v>2022/08/01</v>
      </c>
    </row>
    <row r="364" spans="1:34" x14ac:dyDescent="0.3">
      <c r="A364" t="str">
        <f t="array" ref="A364:J364">[1]!'6234.TW-ID,Name,MarketValue,Capital,NetIncomeGrowthRate,OperIncomeGrowthRate,FinancialStatementsTime,TFXRatio,MonthlyNetSalesYoY,RevenueMonth'</f>
        <v>6234</v>
      </c>
      <c r="B364" t="str">
        <v>高僑</v>
      </c>
      <c r="C364" t="str">
        <v>18.9</v>
      </c>
      <c r="D364" t="str">
        <v>10.04</v>
      </c>
      <c r="E364" t="str">
        <v>374.06</v>
      </c>
      <c r="F364" t="str">
        <v>286.56</v>
      </c>
      <c r="G364" t="str">
        <v>2022/03</v>
      </c>
      <c r="H364" t="str">
        <v>46.10</v>
      </c>
      <c r="I364" t="str">
        <v>11.30</v>
      </c>
      <c r="J364" t="str">
        <v>2022/06</v>
      </c>
      <c r="K364" t="str">
        <f t="array" ref="K364:T364">[1]!'6234.TW-OperatingProfitRatio,Price,PriceChangeRatio,InOutRatioNumber,Value,YearReturn,MonthReturn,WeekReturn,FinanceBalanceDif,ChipsField2'</f>
        <v>14.19</v>
      </c>
      <c r="L364">
        <v>18.8</v>
      </c>
      <c r="M364">
        <v>1.62</v>
      </c>
      <c r="N364" t="str">
        <v>84.52%</v>
      </c>
      <c r="O364" t="str">
        <v>159萬</v>
      </c>
      <c r="P364" t="str">
        <v>-9.77</v>
      </c>
      <c r="Q364" t="str">
        <v>+4.16</v>
      </c>
      <c r="R364" t="str">
        <v>+1.90</v>
      </c>
      <c r="S364">
        <v>-1</v>
      </c>
      <c r="T364">
        <v>0</v>
      </c>
      <c r="U364">
        <f t="array" ref="U364:AD364">[1]!'6234.TW-ChipsField3,ChipsField1,ChipsField25,CashAndStockDividend,CashDividendYieldRate,ProfitFourSeason,ProfitSingle,CName,ExchangeIndustry,CompanyPos'</f>
        <v>0</v>
      </c>
      <c r="V364">
        <v>3</v>
      </c>
      <c r="W364" t="str">
        <v>2022/08/16</v>
      </c>
      <c r="X364" t="str">
        <v>0.75</v>
      </c>
      <c r="Y364">
        <v>3.99</v>
      </c>
      <c r="Z364" t="str">
        <v>2.11</v>
      </c>
      <c r="AA364" t="str">
        <v>1.09</v>
      </c>
      <c r="AB364" t="str">
        <v>高僑</v>
      </c>
      <c r="AC364" t="str">
        <v>上櫃光電</v>
      </c>
      <c r="AD364" t="str">
        <v>經營自動化設備及PCB微型鑽頭的公司</v>
      </c>
      <c r="AE364" t="str">
        <f t="array" ref="AE364:AH364">[1]!'6234.TW-CName,InvestorConferenceDate,DateofMeetingofShareHolders,TradingDate'</f>
        <v>高僑</v>
      </c>
      <c r="AF364" t="str">
        <v>--</v>
      </c>
      <c r="AG364" t="str">
        <v>2022/06/17</v>
      </c>
      <c r="AH364" t="str">
        <v>2022/08/01</v>
      </c>
    </row>
    <row r="365" spans="1:34" x14ac:dyDescent="0.3">
      <c r="A365" t="str">
        <f t="array" ref="A365:J365">[1]!'6244.TW-ID,Name,MarketValue,Capital,NetIncomeGrowthRate,OperIncomeGrowthRate,FinancialStatementsTime,TFXRatio,MonthlyNetSalesYoY,RevenueMonth'</f>
        <v>6244</v>
      </c>
      <c r="B365" t="str">
        <v>茂迪</v>
      </c>
      <c r="C365" t="str">
        <v>113.8</v>
      </c>
      <c r="D365" t="str">
        <v>38.70</v>
      </c>
      <c r="E365" t="str">
        <v>268.92</v>
      </c>
      <c r="F365" t="str">
        <v>243.11</v>
      </c>
      <c r="G365" t="str">
        <v>2022/03</v>
      </c>
      <c r="H365" t="str">
        <v>8.76</v>
      </c>
      <c r="I365" t="str">
        <v>-39.55</v>
      </c>
      <c r="J365" t="str">
        <v>2022/06</v>
      </c>
      <c r="K365" t="str">
        <f t="array" ref="K365:T365">[1]!'6244.TW-OperatingProfitRatio,Price,PriceChangeRatio,InOutRatioNumber,Value,YearReturn,MonthReturn,WeekReturn,FinanceBalanceDif,ChipsField2'</f>
        <v>2.71</v>
      </c>
      <c r="L365">
        <v>29.4</v>
      </c>
      <c r="M365">
        <v>-1.34</v>
      </c>
      <c r="N365" t="str">
        <v>38.87%</v>
      </c>
      <c r="O365" t="str">
        <v>7868萬</v>
      </c>
      <c r="P365" t="str">
        <v>-7.23</v>
      </c>
      <c r="Q365" t="str">
        <v>+5.39</v>
      </c>
      <c r="R365" t="str">
        <v>+5.77</v>
      </c>
      <c r="S365">
        <v>0</v>
      </c>
      <c r="T365">
        <v>0</v>
      </c>
      <c r="U365">
        <f t="array" ref="U365:AD365">[1]!'6244.TW-ChipsField3,ChipsField1,ChipsField25,CashAndStockDividend,CashDividendYieldRate,ProfitFourSeason,ProfitSingle,CName,ExchangeIndustry,CompanyPos'</f>
        <v>-30</v>
      </c>
      <c r="V365">
        <v>1469</v>
      </c>
      <c r="W365" t="str">
        <v>2022/07/28</v>
      </c>
      <c r="X365" t="str">
        <v>0.20</v>
      </c>
      <c r="Y365">
        <v>0.68</v>
      </c>
      <c r="Z365" t="str">
        <v>0.49</v>
      </c>
      <c r="AA365" t="str">
        <v>0.12</v>
      </c>
      <c r="AB365" t="str">
        <v>茂迪</v>
      </c>
      <c r="AC365" t="str">
        <v>上櫃光電</v>
      </c>
      <c r="AD365" t="str">
        <v>全球前十大太陽能電池模組廠</v>
      </c>
      <c r="AE365" t="str">
        <f t="array" ref="AE365:AH365">[1]!'6244.TW-CName,InvestorConferenceDate,DateofMeetingofShareHolders,TradingDate'</f>
        <v>茂迪</v>
      </c>
      <c r="AF365" t="str">
        <v>--</v>
      </c>
      <c r="AG365" t="str">
        <v>2022/06/21</v>
      </c>
      <c r="AH365" t="str">
        <v>2022/08/01</v>
      </c>
    </row>
    <row r="366" spans="1:34" x14ac:dyDescent="0.3">
      <c r="A366" t="str">
        <f t="array" ref="A366:J366">[1]!'6246.TW-ID,Name,MarketValue,Capital,NetIncomeGrowthRate,OperIncomeGrowthRate,FinancialStatementsTime,TFXRatio,MonthlyNetSalesYoY,RevenueMonth'</f>
        <v>6246</v>
      </c>
      <c r="B366" t="str">
        <v>臺龍</v>
      </c>
      <c r="C366" t="str">
        <v>5.2</v>
      </c>
      <c r="D366" t="str">
        <v>3.71</v>
      </c>
      <c r="E366" t="str">
        <v>-149.46</v>
      </c>
      <c r="F366" t="str">
        <v>-108.98</v>
      </c>
      <c r="G366" t="str">
        <v>2022/03</v>
      </c>
      <c r="H366" t="str">
        <v>28.60</v>
      </c>
      <c r="I366" t="str">
        <v>51.35</v>
      </c>
      <c r="J366" t="str">
        <v>2022/06</v>
      </c>
      <c r="K366" t="str">
        <f t="array" ref="K366:T366">[1]!'6246.TW-OperatingProfitRatio,Price,PriceChangeRatio,InOutRatioNumber,Value,YearReturn,MonthReturn,WeekReturn,FinanceBalanceDif,ChipsField2'</f>
        <v>-0.27</v>
      </c>
      <c r="L366">
        <v>13.9</v>
      </c>
      <c r="M366">
        <v>-1.07</v>
      </c>
      <c r="N366" t="str">
        <v>30.00%</v>
      </c>
      <c r="O366" t="str">
        <v>15.3萬</v>
      </c>
      <c r="P366" t="str">
        <v>-15.76</v>
      </c>
      <c r="Q366" t="str">
        <v>+4.51</v>
      </c>
      <c r="R366" t="str">
        <v>-1.07</v>
      </c>
      <c r="S366">
        <v>-18</v>
      </c>
      <c r="T366">
        <v>0</v>
      </c>
      <c r="U366">
        <f t="array" ref="U366:AD366">[1]!'6246.TW-ChipsField3,ChipsField1,ChipsField25,CashAndStockDividend,CashDividendYieldRate,ProfitFourSeason,ProfitSingle,CName,ExchangeIndustry,CompanyPos'</f>
        <v>0</v>
      </c>
      <c r="V366">
        <v>0</v>
      </c>
      <c r="W366" t="str">
        <v>--</v>
      </c>
      <c r="X366" t="str">
        <v>0.00</v>
      </c>
      <c r="Y366">
        <v>0</v>
      </c>
      <c r="Z366" t="str">
        <v>0.40</v>
      </c>
      <c r="AA366" t="str">
        <v>-0.16</v>
      </c>
      <c r="AB366" t="str">
        <v>臺龍</v>
      </c>
      <c r="AC366" t="str">
        <v>上櫃光電</v>
      </c>
      <c r="AD366" t="str">
        <v>中小尺寸背光模組及LED燈條生產廠商</v>
      </c>
      <c r="AE366" t="str">
        <f t="array" ref="AE366:AH366">[1]!'6246.TW-CName,InvestorConferenceDate,DateofMeetingofShareHolders,TradingDate'</f>
        <v>臺龍</v>
      </c>
      <c r="AF366" t="str">
        <v>--</v>
      </c>
      <c r="AG366" t="str">
        <v>2022/06/21</v>
      </c>
      <c r="AH366" t="str">
        <v>2022/08/01</v>
      </c>
    </row>
    <row r="367" spans="1:34" x14ac:dyDescent="0.3">
      <c r="A367" t="str">
        <f t="array" ref="A367:J367">[1]!'6419.TW-ID,Name,MarketValue,Capital,NetIncomeGrowthRate,OperIncomeGrowthRate,FinancialStatementsTime,TFXRatio,MonthlyNetSalesYoY,RevenueMonth'</f>
        <v>6419</v>
      </c>
      <c r="B367" t="str">
        <v>京晨科</v>
      </c>
      <c r="C367" t="str">
        <v>4.0</v>
      </c>
      <c r="D367" t="str">
        <v>1.32</v>
      </c>
      <c r="E367" t="str">
        <v>93.46</v>
      </c>
      <c r="F367" t="str">
        <v>-14.04</v>
      </c>
      <c r="G367" t="str">
        <v>2022/03</v>
      </c>
      <c r="H367" t="str">
        <v>-5.23</v>
      </c>
      <c r="I367" t="str">
        <v>-41.61</v>
      </c>
      <c r="J367" t="str">
        <v>2022/06</v>
      </c>
      <c r="K367" t="str">
        <f t="array" ref="K367:T367">[1]!'6419.TW-OperatingProfitRatio,Price,PriceChangeRatio,InOutRatioNumber,Value,YearReturn,MonthReturn,WeekReturn,FinanceBalanceDif,ChipsField2'</f>
        <v>-13.29</v>
      </c>
      <c r="L367">
        <v>30.6</v>
      </c>
      <c r="M367">
        <v>0.49</v>
      </c>
      <c r="N367" t="str">
        <v>61.90%</v>
      </c>
      <c r="O367" t="str">
        <v>63.4萬</v>
      </c>
      <c r="P367" t="str">
        <v>+37.22</v>
      </c>
      <c r="Q367" t="str">
        <v>-1.29</v>
      </c>
      <c r="R367" t="str">
        <v>+1.83</v>
      </c>
      <c r="S367">
        <v>0</v>
      </c>
      <c r="T367">
        <v>0</v>
      </c>
      <c r="U367">
        <f t="array" ref="U367:AD367">[1]!'6419.TW-ChipsField3,ChipsField1,ChipsField25,CashAndStockDividend,CashDividendYieldRate,ProfitFourSeason,ProfitSingle,CName,ExchangeIndustry,CompanyPos'</f>
        <v>0</v>
      </c>
      <c r="V367">
        <v>0</v>
      </c>
      <c r="W367" t="str">
        <v>--</v>
      </c>
      <c r="X367" t="str">
        <v>0.00</v>
      </c>
      <c r="Y367">
        <v>0</v>
      </c>
      <c r="Z367" t="str">
        <v>5.50</v>
      </c>
      <c r="AA367" t="str">
        <v>1.29</v>
      </c>
      <c r="AB367" t="str">
        <v>京晨科</v>
      </c>
      <c r="AC367" t="str">
        <v>上櫃光電</v>
      </c>
      <c r="AD367" t="str">
        <v>台灣網路視訊監控系統商</v>
      </c>
      <c r="AE367" t="str">
        <f t="array" ref="AE367:AH367">[1]!'6419.TW-CName,InvestorConferenceDate,DateofMeetingofShareHolders,TradingDate'</f>
        <v>京晨科</v>
      </c>
      <c r="AF367" t="str">
        <v>--</v>
      </c>
      <c r="AG367" t="str">
        <v>2022/06/30</v>
      </c>
      <c r="AH367" t="str">
        <v>2022/08/01</v>
      </c>
    </row>
    <row r="368" spans="1:34" x14ac:dyDescent="0.3">
      <c r="A368" t="str">
        <f t="array" ref="A368:J368">[1]!'6556.TW-ID,Name,MarketValue,Capital,NetIncomeGrowthRate,OperIncomeGrowthRate,FinancialStatementsTime,TFXRatio,MonthlyNetSalesYoY,RevenueMonth'</f>
        <v>6556</v>
      </c>
      <c r="B368" t="str">
        <v>勝品</v>
      </c>
      <c r="C368" t="str">
        <v>17.3</v>
      </c>
      <c r="D368" t="str">
        <v>2.88</v>
      </c>
      <c r="E368" t="str">
        <v>190.24</v>
      </c>
      <c r="F368" t="str">
        <v>144.79</v>
      </c>
      <c r="G368" t="str">
        <v>2022/03</v>
      </c>
      <c r="H368" t="str">
        <v>-2.32</v>
      </c>
      <c r="I368" t="str">
        <v>11.55</v>
      </c>
      <c r="J368" t="str">
        <v>2022/06</v>
      </c>
      <c r="K368" t="str">
        <f t="array" ref="K368:T368">[1]!'6556.TW-OperatingProfitRatio,Price,PriceChangeRatio,InOutRatioNumber,Value,YearReturn,MonthReturn,WeekReturn,FinanceBalanceDif,ChipsField2'</f>
        <v>10.50</v>
      </c>
      <c r="L368">
        <v>60.3</v>
      </c>
      <c r="M368">
        <v>0</v>
      </c>
      <c r="N368" t="str">
        <v>100.00%</v>
      </c>
      <c r="O368" t="str">
        <v>18.1萬</v>
      </c>
      <c r="P368" t="str">
        <v>+41.58</v>
      </c>
      <c r="Q368" t="str">
        <v>+10.42</v>
      </c>
      <c r="R368" t="str">
        <v>+0.17</v>
      </c>
      <c r="S368">
        <v>0</v>
      </c>
      <c r="T368">
        <v>0</v>
      </c>
      <c r="U368">
        <f t="array" ref="U368:AD368">[1]!'6556.TW-ChipsField3,ChipsField1,ChipsField25,CashAndStockDividend,CashDividendYieldRate,ProfitFourSeason,ProfitSingle,CName,ExchangeIndustry,CompanyPos'</f>
        <v>0</v>
      </c>
      <c r="V368">
        <v>0</v>
      </c>
      <c r="W368" t="str">
        <v>2022/07/14</v>
      </c>
      <c r="X368" t="str">
        <v>3.20</v>
      </c>
      <c r="Y368">
        <v>5.31</v>
      </c>
      <c r="Z368" t="str">
        <v>5.67</v>
      </c>
      <c r="AA368" t="str">
        <v>1.85</v>
      </c>
      <c r="AB368" t="str">
        <v>勝品</v>
      </c>
      <c r="AC368" t="str">
        <v>上櫃光電</v>
      </c>
      <c r="AD368" t="str">
        <v>由崇越電通分割所設立之專業監控攝影機製造商</v>
      </c>
      <c r="AE368" t="str">
        <f t="array" ref="AE368:AH368">[1]!'6556.TW-CName,InvestorConferenceDate,DateofMeetingofShareHolders,TradingDate'</f>
        <v>勝品</v>
      </c>
      <c r="AF368" t="str">
        <v>--</v>
      </c>
      <c r="AG368" t="str">
        <v>2022/06/08</v>
      </c>
      <c r="AH368" t="str">
        <v>2022/08/01</v>
      </c>
    </row>
    <row r="369" spans="1:34" x14ac:dyDescent="0.3">
      <c r="A369" t="str">
        <f t="array" ref="A369:J369">[1]!'6560.TW-ID,Name,MarketValue,Capital,NetIncomeGrowthRate,OperIncomeGrowthRate,FinancialStatementsTime,TFXRatio,MonthlyNetSalesYoY,RevenueMonth'</f>
        <v>6560</v>
      </c>
      <c r="B369" t="str">
        <v>欣普羅</v>
      </c>
      <c r="C369" t="str">
        <v>9.1</v>
      </c>
      <c r="D369" t="str">
        <v>2.59</v>
      </c>
      <c r="E369" t="str">
        <v>-53.30</v>
      </c>
      <c r="F369" t="str">
        <v>-64.85</v>
      </c>
      <c r="G369" t="str">
        <v>2022/03</v>
      </c>
      <c r="H369" t="str">
        <v>6.56</v>
      </c>
      <c r="I369" t="str">
        <v>-78.08</v>
      </c>
      <c r="J369" t="str">
        <v>2022/06</v>
      </c>
      <c r="K369" t="str">
        <f t="array" ref="K369:T369">[1]!'6560.TW-OperatingProfitRatio,Price,PriceChangeRatio,InOutRatioNumber,Value,YearReturn,MonthReturn,WeekReturn,FinanceBalanceDif,ChipsField2'</f>
        <v>12.31</v>
      </c>
      <c r="L369">
        <v>35.1</v>
      </c>
      <c r="M369">
        <v>0.28999999999999998</v>
      </c>
      <c r="N369" t="str">
        <v>15.38%</v>
      </c>
      <c r="O369" t="str">
        <v>230萬</v>
      </c>
      <c r="P369" t="str">
        <v>-44.80</v>
      </c>
      <c r="Q369" t="str">
        <v>-7.32</v>
      </c>
      <c r="R369" t="str">
        <v>-0.14</v>
      </c>
      <c r="S369">
        <v>0</v>
      </c>
      <c r="T369">
        <v>0</v>
      </c>
      <c r="U369">
        <f t="array" ref="U369:AD369">[1]!'6560.TW-ChipsField3,ChipsField1,ChipsField25,CashAndStockDividend,CashDividendYieldRate,ProfitFourSeason,ProfitSingle,CName,ExchangeIndustry,CompanyPos'</f>
        <v>0</v>
      </c>
      <c r="V369">
        <v>-1</v>
      </c>
      <c r="W369" t="str">
        <v>2022/07/07</v>
      </c>
      <c r="X369" t="str">
        <v>7.50</v>
      </c>
      <c r="Y369">
        <v>21.37</v>
      </c>
      <c r="Z369" t="str">
        <v>8.44</v>
      </c>
      <c r="AA369" t="str">
        <v>1.05</v>
      </c>
      <c r="AB369" t="str">
        <v>欣普羅</v>
      </c>
      <c r="AC369" t="str">
        <v>上櫃光電</v>
      </c>
      <c r="AD369" t="str">
        <v>專業影像處理及軟硬體開發廠商</v>
      </c>
      <c r="AE369" t="str">
        <f t="array" ref="AE369:AH369">[1]!'6560.TW-CName,InvestorConferenceDate,DateofMeetingofShareHolders,TradingDate'</f>
        <v>欣普羅</v>
      </c>
      <c r="AF369" t="str">
        <v>--</v>
      </c>
      <c r="AG369" t="str">
        <v>2022/05/24</v>
      </c>
      <c r="AH369" t="str">
        <v>2022/08/01</v>
      </c>
    </row>
    <row r="370" spans="1:34" x14ac:dyDescent="0.3">
      <c r="A370" t="str">
        <f t="array" ref="A370:J370">[1]!'7402.TW-ID,Name,MarketValue,Capital,NetIncomeGrowthRate,OperIncomeGrowthRate,FinancialStatementsTime,TFXRatio,MonthlyNetSalesYoY,RevenueMonth'</f>
        <v>7402</v>
      </c>
      <c r="B370" t="str">
        <v>邑錡</v>
      </c>
      <c r="C370" t="str">
        <v>11.7</v>
      </c>
      <c r="D370" t="str">
        <v>2.48</v>
      </c>
      <c r="E370" t="str">
        <v>7.85</v>
      </c>
      <c r="F370" t="str">
        <v>-100.10</v>
      </c>
      <c r="G370" t="str">
        <v>2022/03</v>
      </c>
      <c r="H370" t="str">
        <v>5.31</v>
      </c>
      <c r="I370" t="str">
        <v>26.52</v>
      </c>
      <c r="J370" t="str">
        <v>2022/06</v>
      </c>
      <c r="K370" t="str">
        <f t="array" ref="K370:T370">[1]!'7402.TW-OperatingProfitRatio,Price,PriceChangeRatio,InOutRatioNumber,Value,YearReturn,MonthReturn,WeekReturn,FinanceBalanceDif,ChipsField2'</f>
        <v>0.00</v>
      </c>
      <c r="L370">
        <v>47</v>
      </c>
      <c r="M370">
        <v>0</v>
      </c>
      <c r="N370" t="str">
        <v>10.53%</v>
      </c>
      <c r="O370" t="str">
        <v>89.3萬</v>
      </c>
      <c r="P370" t="str">
        <v>+20.05</v>
      </c>
      <c r="Q370" t="str">
        <v>-8.56</v>
      </c>
      <c r="R370" t="str">
        <v>-0.42</v>
      </c>
      <c r="S370">
        <v>0</v>
      </c>
      <c r="T370">
        <v>0</v>
      </c>
      <c r="U370">
        <f t="array" ref="U370:AD370">[1]!'7402.TW-ChipsField3,ChipsField1,ChipsField25,CashAndStockDividend,CashDividendYieldRate,ProfitFourSeason,ProfitSingle,CName,ExchangeIndustry,CompanyPos'</f>
        <v>-10</v>
      </c>
      <c r="V370">
        <v>0</v>
      </c>
      <c r="W370" t="str">
        <v>--</v>
      </c>
      <c r="X370" t="str">
        <v>1.50</v>
      </c>
      <c r="Y370">
        <v>3.19</v>
      </c>
      <c r="Z370" t="str">
        <v>1.59</v>
      </c>
      <c r="AA370" t="str">
        <v>0.18</v>
      </c>
      <c r="AB370" t="str">
        <v>邑錡</v>
      </c>
      <c r="AC370" t="str">
        <v>上櫃光電</v>
      </c>
      <c r="AD370" t="str">
        <v>以「Brinno」為品牌之縮時攝影機供應商</v>
      </c>
      <c r="AE370" t="str">
        <f t="array" ref="AE370:AH370">[1]!'7402.TW-CName,InvestorConferenceDate,DateofMeetingofShareHolders,TradingDate'</f>
        <v>邑錡</v>
      </c>
      <c r="AF370" t="str">
        <v>--</v>
      </c>
      <c r="AG370" t="str">
        <v>2022/06/17</v>
      </c>
      <c r="AH370" t="str">
        <v>2022/08/01</v>
      </c>
    </row>
    <row r="371" spans="1:34" x14ac:dyDescent="0.3">
      <c r="A371" t="str">
        <f t="array" ref="A371:J371">[1]!'8049.TW-ID,Name,MarketValue,Capital,NetIncomeGrowthRate,OperIncomeGrowthRate,FinancialStatementsTime,TFXRatio,MonthlyNetSalesYoY,RevenueMonth'</f>
        <v>8049</v>
      </c>
      <c r="B371" t="str">
        <v>晶采</v>
      </c>
      <c r="C371" t="str">
        <v>31.7</v>
      </c>
      <c r="D371" t="str">
        <v>11.83</v>
      </c>
      <c r="E371" t="str">
        <v>-7.97</v>
      </c>
      <c r="F371" t="str">
        <v>-8.40</v>
      </c>
      <c r="G371" t="str">
        <v>2022/03</v>
      </c>
      <c r="H371" t="str">
        <v>25.91</v>
      </c>
      <c r="I371" t="str">
        <v>22.61</v>
      </c>
      <c r="J371" t="str">
        <v>2022/06</v>
      </c>
      <c r="K371" t="str">
        <f t="array" ref="K371:T371">[1]!'8049.TW-OperatingProfitRatio,Price,PriceChangeRatio,InOutRatioNumber,Value,YearReturn,MonthReturn,WeekReturn,FinanceBalanceDif,ChipsField2'</f>
        <v>13.07</v>
      </c>
      <c r="L371">
        <v>26.8</v>
      </c>
      <c r="M371">
        <v>1.9</v>
      </c>
      <c r="N371" t="str">
        <v>45.55%</v>
      </c>
      <c r="O371" t="str">
        <v>7331萬</v>
      </c>
      <c r="P371" t="str">
        <v>+17.84</v>
      </c>
      <c r="Q371" t="str">
        <v>+10.29</v>
      </c>
      <c r="R371" t="str">
        <v>+1.52</v>
      </c>
      <c r="S371">
        <v>-43</v>
      </c>
      <c r="T371">
        <v>0</v>
      </c>
      <c r="U371">
        <f t="array" ref="U371:AD371">[1]!'8049.TW-ChipsField3,ChipsField1,ChipsField25,CashAndStockDividend,CashDividendYieldRate,ProfitFourSeason,ProfitSingle,CName,ExchangeIndustry,CompanyPos'</f>
        <v>0</v>
      </c>
      <c r="V371">
        <v>84</v>
      </c>
      <c r="W371" t="str">
        <v>--</v>
      </c>
      <c r="X371" t="str">
        <v>2.10</v>
      </c>
      <c r="Y371">
        <v>7.84</v>
      </c>
      <c r="Z371" t="str">
        <v>2.56</v>
      </c>
      <c r="AA371" t="str">
        <v>0.61</v>
      </c>
      <c r="AB371" t="str">
        <v>晶采</v>
      </c>
      <c r="AC371" t="str">
        <v>上櫃光電</v>
      </c>
      <c r="AD371" t="str">
        <v>台灣中小尺寸液晶模組廠</v>
      </c>
      <c r="AE371" t="str">
        <f t="array" ref="AE371:AH371">[1]!'8049.TW-CName,InvestorConferenceDate,DateofMeetingofShareHolders,TradingDate'</f>
        <v>晶采</v>
      </c>
      <c r="AF371" t="str">
        <v>--</v>
      </c>
      <c r="AG371" t="str">
        <v>2022/05/31</v>
      </c>
      <c r="AH371" t="str">
        <v>2022/08/01</v>
      </c>
    </row>
    <row r="372" spans="1:34" x14ac:dyDescent="0.3">
      <c r="A372" t="str">
        <f t="array" ref="A372:J372">[1]!'8064.TW-ID,Name,MarketValue,Capital,NetIncomeGrowthRate,OperIncomeGrowthRate,FinancialStatementsTime,TFXRatio,MonthlyNetSalesYoY,RevenueMonth'</f>
        <v>8064</v>
      </c>
      <c r="B372" t="str">
        <v>東捷</v>
      </c>
      <c r="C372" t="str">
        <v>25.9</v>
      </c>
      <c r="D372" t="str">
        <v>16.48</v>
      </c>
      <c r="E372" t="str">
        <v>156.89</v>
      </c>
      <c r="F372" t="str">
        <v>-30.86</v>
      </c>
      <c r="G372" t="str">
        <v>2022/03</v>
      </c>
      <c r="H372" t="str">
        <v>-19.67</v>
      </c>
      <c r="I372" t="str">
        <v>-53.14</v>
      </c>
      <c r="J372" t="str">
        <v>2022/06</v>
      </c>
      <c r="K372" t="str">
        <f t="array" ref="K372:T372">[1]!'8064.TW-OperatingProfitRatio,Price,PriceChangeRatio,InOutRatioNumber,Value,YearReturn,MonthReturn,WeekReturn,FinanceBalanceDif,ChipsField2'</f>
        <v>6.40</v>
      </c>
      <c r="L372">
        <v>15.7</v>
      </c>
      <c r="M372">
        <v>1.62</v>
      </c>
      <c r="N372" t="str">
        <v>59.78%</v>
      </c>
      <c r="O372" t="str">
        <v>144萬</v>
      </c>
      <c r="P372" t="str">
        <v>-17.57</v>
      </c>
      <c r="Q372" t="str">
        <v>+4.24</v>
      </c>
      <c r="R372" t="str">
        <v>-0.63</v>
      </c>
      <c r="S372">
        <v>-2</v>
      </c>
      <c r="T372">
        <v>0</v>
      </c>
      <c r="U372">
        <f t="array" ref="U372:AD372">[1]!'8064.TW-ChipsField3,ChipsField1,ChipsField25,CashAndStockDividend,CashDividendYieldRate,ProfitFourSeason,ProfitSingle,CName,ExchangeIndustry,CompanyPos'</f>
        <v>-85</v>
      </c>
      <c r="V372">
        <v>12</v>
      </c>
      <c r="W372" t="str">
        <v>2022/07/06</v>
      </c>
      <c r="X372" t="str">
        <v>1.25</v>
      </c>
      <c r="Y372">
        <v>7.96</v>
      </c>
      <c r="Z372" t="str">
        <v>2.48</v>
      </c>
      <c r="AA372" t="str">
        <v>0.59</v>
      </c>
      <c r="AB372" t="str">
        <v>東捷</v>
      </c>
      <c r="AC372" t="str">
        <v>上櫃光電</v>
      </c>
      <c r="AD372" t="str">
        <v>提供群創的面板設備供應商</v>
      </c>
      <c r="AE372" t="str">
        <f t="array" ref="AE372:AH372">[1]!'8064.TW-CName,InvestorConferenceDate,DateofMeetingofShareHolders,TradingDate'</f>
        <v>東捷</v>
      </c>
      <c r="AF372" t="str">
        <v>--</v>
      </c>
      <c r="AG372" t="str">
        <v>2022/06/21</v>
      </c>
      <c r="AH372" t="str">
        <v>2022/08/01</v>
      </c>
    </row>
    <row r="373" spans="1:34" x14ac:dyDescent="0.3">
      <c r="A373" t="str">
        <f t="array" ref="A373:J373">[1]!'8069.TW-ID,Name,MarketValue,Capital,NetIncomeGrowthRate,OperIncomeGrowthRate,FinancialStatementsTime,TFXRatio,MonthlyNetSalesYoY,RevenueMonth'</f>
        <v>8069</v>
      </c>
      <c r="B373" t="str">
        <v>元太</v>
      </c>
      <c r="C373" t="str">
        <v>2161.1</v>
      </c>
      <c r="D373" t="str">
        <v>114.04</v>
      </c>
      <c r="E373" t="str">
        <v>24.37</v>
      </c>
      <c r="F373" t="str">
        <v>47.27</v>
      </c>
      <c r="G373" t="str">
        <v>2022/03</v>
      </c>
      <c r="H373" t="str">
        <v>-2.07</v>
      </c>
      <c r="I373" t="str">
        <v>81.36</v>
      </c>
      <c r="J373" t="str">
        <v>2022/06</v>
      </c>
      <c r="K373" t="str">
        <f t="array" ref="K373:T373">[1]!'8069.TW-OperatingProfitRatio,Price,PriceChangeRatio,InOutRatioNumber,Value,YearReturn,MonthReturn,WeekReturn,FinanceBalanceDif,ChipsField2'</f>
        <v>23.92</v>
      </c>
      <c r="L373">
        <v>189.5</v>
      </c>
      <c r="M373">
        <v>-3.07</v>
      </c>
      <c r="N373" t="str">
        <v>44.43%</v>
      </c>
      <c r="O373" t="str">
        <v>28.8億</v>
      </c>
      <c r="P373" t="str">
        <v>+139.18</v>
      </c>
      <c r="Q373" t="str">
        <v>+13.40</v>
      </c>
      <c r="R373" t="str">
        <v>+2.16</v>
      </c>
      <c r="S373">
        <v>-216</v>
      </c>
      <c r="T373">
        <v>433</v>
      </c>
      <c r="U373">
        <f t="array" ref="U373:AD373">[1]!'8069.TW-ChipsField3,ChipsField1,ChipsField25,CashAndStockDividend,CashDividendYieldRate,ProfitFourSeason,ProfitSingle,CName,ExchangeIndustry,CompanyPos'</f>
        <v>-583</v>
      </c>
      <c r="V373">
        <v>1076</v>
      </c>
      <c r="W373" t="str">
        <v>2022/07/25</v>
      </c>
      <c r="X373" t="str">
        <v>3.20</v>
      </c>
      <c r="Y373">
        <v>1.69</v>
      </c>
      <c r="Z373" t="str">
        <v>4.78</v>
      </c>
      <c r="AA373" t="str">
        <v>1.28</v>
      </c>
      <c r="AB373" t="str">
        <v>元太</v>
      </c>
      <c r="AC373" t="str">
        <v>上櫃光電</v>
      </c>
      <c r="AD373" t="str">
        <v>全球電子紙龍頭廠</v>
      </c>
      <c r="AE373" t="str">
        <f t="array" ref="AE373:AH373">[1]!'8069.TW-CName,InvestorConferenceDate,DateofMeetingofShareHolders,TradingDate'</f>
        <v>元太</v>
      </c>
      <c r="AF373" t="str">
        <v>2022/05/18</v>
      </c>
      <c r="AG373" t="str">
        <v>2022/06/22</v>
      </c>
      <c r="AH373" t="str">
        <v>2022/08/01</v>
      </c>
    </row>
    <row r="374" spans="1:34" x14ac:dyDescent="0.3">
      <c r="A374" t="str">
        <f t="array" ref="A374:J374">[1]!'8087.TW-ID,Name,MarketValue,Capital,NetIncomeGrowthRate,OperIncomeGrowthRate,FinancialStatementsTime,TFXRatio,MonthlyNetSalesYoY,RevenueMonth'</f>
        <v>8087</v>
      </c>
      <c r="B374" t="str">
        <v>華鎂鑫</v>
      </c>
      <c r="C374" t="str">
        <v>10.5</v>
      </c>
      <c r="D374" t="str">
        <v>2.91</v>
      </c>
      <c r="E374" t="str">
        <v>17921.96</v>
      </c>
      <c r="F374" t="str">
        <v>-137.43</v>
      </c>
      <c r="G374" t="str">
        <v>2022/03</v>
      </c>
      <c r="H374" t="str">
        <v>-30.17</v>
      </c>
      <c r="I374" t="str">
        <v>880.99</v>
      </c>
      <c r="J374" t="str">
        <v>2022/06</v>
      </c>
      <c r="K374" t="str">
        <f t="array" ref="K374:T374">[1]!'8087.TW-OperatingProfitRatio,Price,PriceChangeRatio,InOutRatioNumber,Value,YearReturn,MonthReturn,WeekReturn,FinanceBalanceDif,ChipsField2'</f>
        <v>-10.22</v>
      </c>
      <c r="L374">
        <v>36.15</v>
      </c>
      <c r="M374">
        <v>-1.5</v>
      </c>
      <c r="N374" t="str">
        <v>32.49%</v>
      </c>
      <c r="O374" t="str">
        <v>2654萬</v>
      </c>
      <c r="P374" t="str">
        <v>+30.51</v>
      </c>
      <c r="Q374" t="str">
        <v>+7.43</v>
      </c>
      <c r="R374" t="str">
        <v>+13.32</v>
      </c>
      <c r="S374">
        <v>0</v>
      </c>
      <c r="T374">
        <v>0</v>
      </c>
      <c r="U374">
        <f t="array" ref="U374:AD374">[1]!'8087.TW-ChipsField3,ChipsField1,ChipsField25,CashAndStockDividend,CashDividendYieldRate,ProfitFourSeason,ProfitSingle,CName,ExchangeIndustry,CompanyPos'</f>
        <v>0</v>
      </c>
      <c r="V374">
        <v>12</v>
      </c>
      <c r="W374" t="str">
        <v>--</v>
      </c>
      <c r="X374" t="str">
        <v>0.00</v>
      </c>
      <c r="Y374">
        <v>0</v>
      </c>
      <c r="Z374" t="str">
        <v>0.73</v>
      </c>
      <c r="AA374" t="str">
        <v>1.58</v>
      </c>
      <c r="AB374" t="str">
        <v>華鎂鑫</v>
      </c>
      <c r="AC374" t="str">
        <v>上櫃光電</v>
      </c>
      <c r="AD374" t="str">
        <v>台灣專業碟片預錄廠</v>
      </c>
      <c r="AE374" t="str">
        <f t="array" ref="AE374:AH374">[1]!'8087.TW-CName,InvestorConferenceDate,DateofMeetingofShareHolders,TradingDate'</f>
        <v>華鎂鑫</v>
      </c>
      <c r="AF374" t="str">
        <v>--</v>
      </c>
      <c r="AG374" t="str">
        <v>2022/04/08</v>
      </c>
      <c r="AH374" t="str">
        <v>2022/08/01</v>
      </c>
    </row>
    <row r="375" spans="1:34" x14ac:dyDescent="0.3">
      <c r="A375" t="str">
        <f t="array" ref="A375:J375">[1]!'8111.TW-ID,Name,MarketValue,Capital,NetIncomeGrowthRate,OperIncomeGrowthRate,FinancialStatementsTime,TFXRatio,MonthlyNetSalesYoY,RevenueMonth'</f>
        <v>8111</v>
      </c>
      <c r="B375" t="str">
        <v>立碁</v>
      </c>
      <c r="C375" t="str">
        <v>18.4</v>
      </c>
      <c r="D375" t="str">
        <v>10.91</v>
      </c>
      <c r="E375" t="str">
        <v>-39.53</v>
      </c>
      <c r="F375" t="str">
        <v>-64.80</v>
      </c>
      <c r="G375" t="str">
        <v>2022/03</v>
      </c>
      <c r="H375" t="str">
        <v>-0.45</v>
      </c>
      <c r="I375" t="str">
        <v>-29.28</v>
      </c>
      <c r="J375" t="str">
        <v>2022/06</v>
      </c>
      <c r="K375" t="str">
        <f t="array" ref="K375:T375">[1]!'8111.TW-OperatingProfitRatio,Price,PriceChangeRatio,InOutRatioNumber,Value,YearReturn,MonthReturn,WeekReturn,FinanceBalanceDif,ChipsField2'</f>
        <v>6.80</v>
      </c>
      <c r="L375">
        <v>16.850000000000001</v>
      </c>
      <c r="M375">
        <v>-0.59</v>
      </c>
      <c r="N375" t="str">
        <v>33.99%</v>
      </c>
      <c r="O375" t="str">
        <v>260萬</v>
      </c>
      <c r="P375" t="str">
        <v>-11.46</v>
      </c>
      <c r="Q375" t="str">
        <v>+7.32</v>
      </c>
      <c r="R375" t="str">
        <v>-3.71</v>
      </c>
      <c r="S375">
        <v>-8</v>
      </c>
      <c r="T375">
        <v>0</v>
      </c>
      <c r="U375">
        <f t="array" ref="U375:AD375">[1]!'8111.TW-ChipsField3,ChipsField1,ChipsField25,CashAndStockDividend,CashDividendYieldRate,ProfitFourSeason,ProfitSingle,CName,ExchangeIndustry,CompanyPos'</f>
        <v>0</v>
      </c>
      <c r="V375">
        <v>35</v>
      </c>
      <c r="W375" t="str">
        <v>2022/06/27</v>
      </c>
      <c r="X375" t="str">
        <v>2.10</v>
      </c>
      <c r="Y375">
        <v>12.46</v>
      </c>
      <c r="Z375" t="str">
        <v>3.44</v>
      </c>
      <c r="AA375" t="str">
        <v>0.29</v>
      </c>
      <c r="AB375" t="str">
        <v>立碁</v>
      </c>
      <c r="AC375" t="str">
        <v>上櫃光電</v>
      </c>
      <c r="AD375" t="str">
        <v>台灣LED元件生產商及封裝大廠</v>
      </c>
      <c r="AE375" t="str">
        <f t="array" ref="AE375:AH375">[1]!'8111.TW-CName,InvestorConferenceDate,DateofMeetingofShareHolders,TradingDate'</f>
        <v>立碁</v>
      </c>
      <c r="AF375" t="str">
        <v>2021/11/09</v>
      </c>
      <c r="AG375" t="str">
        <v>2022/06/09</v>
      </c>
      <c r="AH375" t="str">
        <v>2022/08/01</v>
      </c>
    </row>
    <row r="376" spans="1:34" x14ac:dyDescent="0.3">
      <c r="A376" t="str">
        <f t="array" ref="A376:J376">[1]!'8240.TW-ID,Name,MarketValue,Capital,NetIncomeGrowthRate,OperIncomeGrowthRate,FinancialStatementsTime,TFXRatio,MonthlyNetSalesYoY,RevenueMonth'</f>
        <v>8240</v>
      </c>
      <c r="B376" t="str">
        <v>華宏</v>
      </c>
      <c r="C376" t="str">
        <v>26.2</v>
      </c>
      <c r="D376" t="str">
        <v>10.00</v>
      </c>
      <c r="E376" t="str">
        <v>-30.16</v>
      </c>
      <c r="F376" t="str">
        <v>24.60</v>
      </c>
      <c r="G376" t="str">
        <v>2022/03</v>
      </c>
      <c r="H376" t="str">
        <v>-0.21</v>
      </c>
      <c r="I376" t="str">
        <v>-16.49</v>
      </c>
      <c r="J376" t="str">
        <v>2022/06</v>
      </c>
      <c r="K376" t="str">
        <f t="array" ref="K376:T376">[1]!'8240.TW-OperatingProfitRatio,Price,PriceChangeRatio,InOutRatioNumber,Value,YearReturn,MonthReturn,WeekReturn,FinanceBalanceDif,ChipsField2'</f>
        <v>4.51</v>
      </c>
      <c r="L376">
        <v>26.15</v>
      </c>
      <c r="M376">
        <v>-0.76</v>
      </c>
      <c r="N376" t="str">
        <v>8.11%</v>
      </c>
      <c r="O376" t="str">
        <v>96.3萬</v>
      </c>
      <c r="P376" t="str">
        <v>-13.45</v>
      </c>
      <c r="Q376" t="str">
        <v>+1.95</v>
      </c>
      <c r="R376" t="str">
        <v>-1.51</v>
      </c>
      <c r="S376">
        <v>-1</v>
      </c>
      <c r="T376">
        <v>0</v>
      </c>
      <c r="U376">
        <f t="array" ref="U376:AD376">[1]!'8240.TW-ChipsField3,ChipsField1,ChipsField25,CashAndStockDividend,CashDividendYieldRate,ProfitFourSeason,ProfitSingle,CName,ExchangeIndustry,CompanyPos'</f>
        <v>0</v>
      </c>
      <c r="V376">
        <v>5</v>
      </c>
      <c r="W376" t="str">
        <v>2022/06/16</v>
      </c>
      <c r="X376" t="str">
        <v>2.50</v>
      </c>
      <c r="Y376">
        <v>9.56</v>
      </c>
      <c r="Z376" t="str">
        <v>4.10</v>
      </c>
      <c r="AA376" t="str">
        <v>0.69</v>
      </c>
      <c r="AB376" t="str">
        <v>華宏</v>
      </c>
      <c r="AC376" t="str">
        <v>上櫃光電</v>
      </c>
      <c r="AD376" t="str">
        <v>國內背光模組光學膜片最大專業製造裁切廠</v>
      </c>
      <c r="AE376" t="str">
        <f t="array" ref="AE376:AH376">[1]!'8240.TW-CName,InvestorConferenceDate,DateofMeetingofShareHolders,TradingDate'</f>
        <v>華宏</v>
      </c>
      <c r="AF376" t="str">
        <v>--</v>
      </c>
      <c r="AG376" t="str">
        <v>2022/05/26</v>
      </c>
      <c r="AH376" t="str">
        <v>2022/08/01</v>
      </c>
    </row>
    <row r="377" spans="1:34" x14ac:dyDescent="0.3">
      <c r="A377" t="str">
        <f t="array" ref="A377:J377">[1]!'3081.TW-ID,Name,MarketValue,Capital,NetIncomeGrowthRate,OperIncomeGrowthRate,FinancialStatementsTime,TFXRatio,MonthlyNetSalesYoY,RevenueMonth'</f>
        <v>3081</v>
      </c>
      <c r="B377" t="str">
        <v>聯亞</v>
      </c>
      <c r="C377" t="str">
        <v>127.5</v>
      </c>
      <c r="D377" t="str">
        <v>9.14</v>
      </c>
      <c r="E377" t="str">
        <v>-63.44</v>
      </c>
      <c r="F377" t="str">
        <v>-72.76</v>
      </c>
      <c r="G377" t="str">
        <v>2022/06</v>
      </c>
      <c r="H377" t="str">
        <v>4.43</v>
      </c>
      <c r="I377" t="str">
        <v>46.26</v>
      </c>
      <c r="J377" t="str">
        <v>2022/06</v>
      </c>
      <c r="K377" t="str">
        <f t="array" ref="K377:T377">[1]!'3081.TW-OperatingProfitRatio,Price,PriceChangeRatio,InOutRatioNumber,Value,YearReturn,MonthReturn,WeekReturn,FinanceBalanceDif,ChipsField2'</f>
        <v>9.76</v>
      </c>
      <c r="L377">
        <v>139.5</v>
      </c>
      <c r="M377">
        <v>-10</v>
      </c>
      <c r="N377" t="str">
        <v>26.14%</v>
      </c>
      <c r="O377" t="str">
        <v>7.67億</v>
      </c>
      <c r="P377" t="str">
        <v>-38.12</v>
      </c>
      <c r="Q377" t="str">
        <v>+35.90</v>
      </c>
      <c r="R377" t="str">
        <v>+5.28</v>
      </c>
      <c r="S377">
        <v>171</v>
      </c>
      <c r="T377">
        <v>112</v>
      </c>
      <c r="U377">
        <f t="array" ref="U377:AD377">[1]!'3081.TW-ChipsField3,ChipsField1,ChipsField25,CashAndStockDividend,CashDividendYieldRate,ProfitFourSeason,ProfitSingle,CName,ExchangeIndustry,CompanyPos'</f>
        <v>20</v>
      </c>
      <c r="V377">
        <v>-133</v>
      </c>
      <c r="W377" t="str">
        <v>2022/07/25</v>
      </c>
      <c r="X377" t="str">
        <v>3.50</v>
      </c>
      <c r="Y377">
        <v>2.5099999999999998</v>
      </c>
      <c r="Z377" t="str">
        <v>1.62</v>
      </c>
      <c r="AA377" t="str">
        <v>0.98</v>
      </c>
      <c r="AB377" t="str">
        <v>聯亞</v>
      </c>
      <c r="AC377" t="str">
        <v>上櫃通信網路</v>
      </c>
      <c r="AD377" t="str">
        <v>生產砷化鎵與磷化銦為基板的磊晶廠</v>
      </c>
      <c r="AE377" t="str">
        <f t="array" ref="AE377:AH377">[1]!'3081.TW-CName,InvestorConferenceDate,DateofMeetingofShareHolders,TradingDate'</f>
        <v>聯亞</v>
      </c>
      <c r="AF377" t="str">
        <v>2022/07/27</v>
      </c>
      <c r="AG377" t="str">
        <v>2022/05/25</v>
      </c>
      <c r="AH377" t="str">
        <v>2022/08/01</v>
      </c>
    </row>
    <row r="378" spans="1:34" x14ac:dyDescent="0.3">
      <c r="A378" t="str">
        <f t="array" ref="A378:J378">[1]!'3095.TW-ID,Name,MarketValue,Capital,NetIncomeGrowthRate,OperIncomeGrowthRate,FinancialStatementsTime,TFXRatio,MonthlyNetSalesYoY,RevenueMonth'</f>
        <v>3095</v>
      </c>
      <c r="B378" t="str">
        <v>及成</v>
      </c>
      <c r="C378" t="str">
        <v>3.2</v>
      </c>
      <c r="D378" t="str">
        <v>10.93</v>
      </c>
      <c r="E378" t="str">
        <v>-1079.48</v>
      </c>
      <c r="F378" t="str">
        <v>-1733.00</v>
      </c>
      <c r="G378" t="str">
        <v>2022/03</v>
      </c>
      <c r="H378" t="str">
        <v>-6.57</v>
      </c>
      <c r="I378" t="str">
        <v>-4.29</v>
      </c>
      <c r="J378" t="str">
        <v>2022/06</v>
      </c>
      <c r="K378" t="str">
        <f t="array" ref="K378:T378">[1]!'3095.TW-OperatingProfitRatio,Price,PriceChangeRatio,InOutRatioNumber,Value,YearReturn,MonthReturn,WeekReturn,FinanceBalanceDif,ChipsField2'</f>
        <v>-7.68</v>
      </c>
      <c r="L378">
        <v>2.93</v>
      </c>
      <c r="M378">
        <v>0.34</v>
      </c>
      <c r="N378" t="str">
        <v>73.96%</v>
      </c>
      <c r="O378" t="str">
        <v>29.5萬</v>
      </c>
      <c r="P378" t="str">
        <v>-16.29</v>
      </c>
      <c r="Q378" t="str">
        <v>+4.27</v>
      </c>
      <c r="R378" t="str">
        <v>+3.17</v>
      </c>
      <c r="S378">
        <v>0</v>
      </c>
      <c r="T378">
        <v>0</v>
      </c>
      <c r="U378">
        <f t="array" ref="U378:AD378">[1]!'3095.TW-ChipsField3,ChipsField1,ChipsField25,CashAndStockDividend,CashDividendYieldRate,ProfitFourSeason,ProfitSingle,CName,ExchangeIndustry,CompanyPos'</f>
        <v>0</v>
      </c>
      <c r="V378">
        <v>0</v>
      </c>
      <c r="W378" t="str">
        <v>--</v>
      </c>
      <c r="X378" t="str">
        <v>0.00</v>
      </c>
      <c r="Y378">
        <v>0</v>
      </c>
      <c r="Z378" t="str">
        <v>-0.35</v>
      </c>
      <c r="AA378" t="str">
        <v>-0.08</v>
      </c>
      <c r="AB378" t="str">
        <v>及成</v>
      </c>
      <c r="AC378" t="str">
        <v>上櫃通信網路</v>
      </c>
      <c r="AD378" t="str">
        <v>台灣鋁合金沖壓零件廠</v>
      </c>
      <c r="AE378" t="str">
        <f t="array" ref="AE378:AH378">[1]!'3095.TW-CName,InvestorConferenceDate,DateofMeetingofShareHolders,TradingDate'</f>
        <v>及成</v>
      </c>
      <c r="AF378" t="str">
        <v>--</v>
      </c>
      <c r="AG378" t="str">
        <v>2022/06/21</v>
      </c>
      <c r="AH378" t="str">
        <v>2022/08/01</v>
      </c>
    </row>
    <row r="379" spans="1:34" x14ac:dyDescent="0.3">
      <c r="A379" t="str">
        <f t="array" ref="A379:J379">[1]!'3152.TW-ID,Name,MarketValue,Capital,NetIncomeGrowthRate,OperIncomeGrowthRate,FinancialStatementsTime,TFXRatio,MonthlyNetSalesYoY,RevenueMonth'</f>
        <v>3152</v>
      </c>
      <c r="B379" t="str">
        <v>璟德</v>
      </c>
      <c r="C379" t="str">
        <v>128.7</v>
      </c>
      <c r="D379" t="str">
        <v>6.90</v>
      </c>
      <c r="E379" t="str">
        <v>-71.80</v>
      </c>
      <c r="F379" t="str">
        <v>-77.31</v>
      </c>
      <c r="G379" t="str">
        <v>2022/03</v>
      </c>
      <c r="H379" t="str">
        <v>-11.69</v>
      </c>
      <c r="I379" t="str">
        <v>-59.79</v>
      </c>
      <c r="J379" t="str">
        <v>2022/06</v>
      </c>
      <c r="K379" t="str">
        <f t="array" ref="K379:T379">[1]!'3152.TW-OperatingProfitRatio,Price,PriceChangeRatio,InOutRatioNumber,Value,YearReturn,MonthReturn,WeekReturn,FinanceBalanceDif,ChipsField2'</f>
        <v>20.93</v>
      </c>
      <c r="L379" t="str">
        <v>--</v>
      </c>
      <c r="M379" t="str">
        <v>--</v>
      </c>
      <c r="N379" t="str">
        <v>--</v>
      </c>
      <c r="O379" t="str">
        <v>--</v>
      </c>
      <c r="P379" t="str">
        <v>-58.66</v>
      </c>
      <c r="Q379" t="str">
        <v>-1.32</v>
      </c>
      <c r="R379" t="str">
        <v>-0.27</v>
      </c>
      <c r="S379">
        <v>6</v>
      </c>
      <c r="T379">
        <v>0</v>
      </c>
      <c r="U379">
        <f t="array" ref="U379:AD379">[1]!'3152.TW-ChipsField3,ChipsField1,ChipsField25,CashAndStockDividend,CashDividendYieldRate,ProfitFourSeason,ProfitSingle,CName,ExchangeIndustry,CompanyPos'</f>
        <v>-4</v>
      </c>
      <c r="V379">
        <v>17</v>
      </c>
      <c r="W379" t="str">
        <v>2022/08/09</v>
      </c>
      <c r="X379" t="str">
        <v>8.00</v>
      </c>
      <c r="Y379">
        <v>4.29</v>
      </c>
      <c r="Z379" t="str">
        <v>11.93</v>
      </c>
      <c r="AA379" t="str">
        <v>1.16</v>
      </c>
      <c r="AB379" t="str">
        <v>璟德</v>
      </c>
      <c r="AC379" t="str">
        <v>上櫃通信網路</v>
      </c>
      <c r="AD379" t="str">
        <v>台灣最大LTCC廠</v>
      </c>
      <c r="AE379" t="str">
        <f t="array" ref="AE379:AH379">[1]!'3152.TW-CName,InvestorConferenceDate,DateofMeetingofShareHolders,TradingDate'</f>
        <v>璟德</v>
      </c>
      <c r="AF379" t="str">
        <v>2021/09/17</v>
      </c>
      <c r="AG379" t="str">
        <v>2022/06/17</v>
      </c>
      <c r="AH379" t="str">
        <v>2022/08/01</v>
      </c>
    </row>
    <row r="380" spans="1:34" x14ac:dyDescent="0.3">
      <c r="A380" t="str">
        <f t="array" ref="A380:J380">[1]!'3163.TW-ID,Name,MarketValue,Capital,NetIncomeGrowthRate,OperIncomeGrowthRate,FinancialStatementsTime,TFXRatio,MonthlyNetSalesYoY,RevenueMonth'</f>
        <v>3163</v>
      </c>
      <c r="B380" t="str">
        <v>波若威</v>
      </c>
      <c r="C380" t="str">
        <v>40.5</v>
      </c>
      <c r="D380" t="str">
        <v>7.53</v>
      </c>
      <c r="E380" t="str">
        <v>592.53</v>
      </c>
      <c r="F380" t="str">
        <v>1065.68</v>
      </c>
      <c r="G380" t="str">
        <v>2022/03</v>
      </c>
      <c r="H380" t="str">
        <v>-4.97</v>
      </c>
      <c r="I380" t="str">
        <v>76.07</v>
      </c>
      <c r="J380" t="str">
        <v>2022/06</v>
      </c>
      <c r="K380" t="str">
        <f t="array" ref="K380:T380">[1]!'3163.TW-OperatingProfitRatio,Price,PriceChangeRatio,InOutRatioNumber,Value,YearReturn,MonthReturn,WeekReturn,FinanceBalanceDif,ChipsField2'</f>
        <v>7.55</v>
      </c>
      <c r="L380">
        <v>53.8</v>
      </c>
      <c r="M380">
        <v>3.07</v>
      </c>
      <c r="N380" t="str">
        <v>49.94%</v>
      </c>
      <c r="O380" t="str">
        <v>6.87億</v>
      </c>
      <c r="P380" t="str">
        <v>+32.32</v>
      </c>
      <c r="Q380" t="str">
        <v>+32.84</v>
      </c>
      <c r="R380" t="str">
        <v>+10.70</v>
      </c>
      <c r="S380">
        <v>93</v>
      </c>
      <c r="T380">
        <v>0</v>
      </c>
      <c r="U380">
        <f t="array" ref="U380:AD380">[1]!'3163.TW-ChipsField3,ChipsField1,ChipsField25,CashAndStockDividend,CashDividendYieldRate,ProfitFourSeason,ProfitSingle,CName,ExchangeIndustry,CompanyPos'</f>
        <v>-24</v>
      </c>
      <c r="V380">
        <v>766</v>
      </c>
      <c r="W380" t="str">
        <v>2022/06/30</v>
      </c>
      <c r="X380" t="str">
        <v>1.00</v>
      </c>
      <c r="Y380">
        <v>1.86</v>
      </c>
      <c r="Z380" t="str">
        <v>1.82</v>
      </c>
      <c r="AA380" t="str">
        <v>0.61</v>
      </c>
      <c r="AB380" t="str">
        <v>波若威</v>
      </c>
      <c r="AC380" t="str">
        <v>上櫃通信網路</v>
      </c>
      <c r="AD380" t="str">
        <v>台灣最大光纖被動元件代工廠</v>
      </c>
      <c r="AE380" t="str">
        <f t="array" ref="AE380:AH380">[1]!'3163.TW-CName,InvestorConferenceDate,DateofMeetingofShareHolders,TradingDate'</f>
        <v>波若威</v>
      </c>
      <c r="AF380" t="str">
        <v>2022/03/10</v>
      </c>
      <c r="AG380" t="str">
        <v>2022/05/23</v>
      </c>
      <c r="AH380" t="str">
        <v>2022/08/01</v>
      </c>
    </row>
    <row r="381" spans="1:34" x14ac:dyDescent="0.3">
      <c r="A381" t="str">
        <f t="array" ref="A381:J381">[1]!'3221.TW-ID,Name,MarketValue,Capital,NetIncomeGrowthRate,OperIncomeGrowthRate,FinancialStatementsTime,TFXRatio,MonthlyNetSalesYoY,RevenueMonth'</f>
        <v>3221</v>
      </c>
      <c r="B381" t="str">
        <v>台嘉碩</v>
      </c>
      <c r="C381" t="str">
        <v>39.2</v>
      </c>
      <c r="D381" t="str">
        <v>10.29</v>
      </c>
      <c r="E381" t="str">
        <v>1174.31</v>
      </c>
      <c r="F381" t="str">
        <v>872.27</v>
      </c>
      <c r="G381" t="str">
        <v>2022/03</v>
      </c>
      <c r="H381" t="str">
        <v>-1.39</v>
      </c>
      <c r="I381" t="str">
        <v>109.70</v>
      </c>
      <c r="J381" t="str">
        <v>2022/06</v>
      </c>
      <c r="K381" t="str">
        <f t="array" ref="K381:T381">[1]!'3221.TW-OperatingProfitRatio,Price,PriceChangeRatio,InOutRatioNumber,Value,YearReturn,MonthReturn,WeekReturn,FinanceBalanceDif,ChipsField2'</f>
        <v>12.95</v>
      </c>
      <c r="L381">
        <v>38.15</v>
      </c>
      <c r="M381">
        <v>-2.5499999999999998</v>
      </c>
      <c r="N381" t="str">
        <v>37.69%</v>
      </c>
      <c r="O381" t="str">
        <v>1.13億</v>
      </c>
      <c r="P381" t="str">
        <v>+13.08</v>
      </c>
      <c r="Q381" t="str">
        <v>+21.74</v>
      </c>
      <c r="R381" t="str">
        <v>-2.18</v>
      </c>
      <c r="S381">
        <v>544</v>
      </c>
      <c r="T381">
        <v>0</v>
      </c>
      <c r="U381">
        <f t="array" ref="U381:AD381">[1]!'3221.TW-ChipsField3,ChipsField1,ChipsField25,CashAndStockDividend,CashDividendYieldRate,ProfitFourSeason,ProfitSingle,CName,ExchangeIndustry,CompanyPos'</f>
        <v>-87</v>
      </c>
      <c r="V381">
        <v>-2811</v>
      </c>
      <c r="W381" t="str">
        <v>2022/07/11</v>
      </c>
      <c r="X381" t="str">
        <v>2.10</v>
      </c>
      <c r="Y381">
        <v>5.5</v>
      </c>
      <c r="Z381" t="str">
        <v>6.10</v>
      </c>
      <c r="AA381" t="str">
        <v>0.82</v>
      </c>
      <c r="AB381" t="str">
        <v>台嘉碩</v>
      </c>
      <c r="AC381" t="str">
        <v>上櫃通信網路</v>
      </c>
      <c r="AD381" t="str">
        <v>台灣最大表面聲波濾波器製造商</v>
      </c>
      <c r="AE381" t="str">
        <f t="array" ref="AE381:AH381">[1]!'3221.TW-CName,InvestorConferenceDate,DateofMeetingofShareHolders,TradingDate'</f>
        <v>台嘉碩</v>
      </c>
      <c r="AF381" t="str">
        <v>2022/03/23</v>
      </c>
      <c r="AG381" t="str">
        <v>2022/06/09</v>
      </c>
      <c r="AH381" t="str">
        <v>2022/08/01</v>
      </c>
    </row>
    <row r="382" spans="1:34" x14ac:dyDescent="0.3">
      <c r="A382" t="str">
        <f t="array" ref="A382:J382">[1]!'3234.TW-ID,Name,MarketValue,Capital,NetIncomeGrowthRate,OperIncomeGrowthRate,FinancialStatementsTime,TFXRatio,MonthlyNetSalesYoY,RevenueMonth'</f>
        <v>3234</v>
      </c>
      <c r="B382" t="str">
        <v>光環</v>
      </c>
      <c r="C382" t="str">
        <v>19.5</v>
      </c>
      <c r="D382" t="str">
        <v>7.65</v>
      </c>
      <c r="E382" t="str">
        <v>65.61</v>
      </c>
      <c r="F382" t="str">
        <v>70.96</v>
      </c>
      <c r="G382" t="str">
        <v>2022/03</v>
      </c>
      <c r="H382" t="str">
        <v>-19.95</v>
      </c>
      <c r="I382" t="str">
        <v>-24.91</v>
      </c>
      <c r="J382" t="str">
        <v>2022/06</v>
      </c>
      <c r="K382" t="str">
        <f t="array" ref="K382:T382">[1]!'3234.TW-OperatingProfitRatio,Price,PriceChangeRatio,InOutRatioNumber,Value,YearReturn,MonthReturn,WeekReturn,FinanceBalanceDif,ChipsField2'</f>
        <v>-3.45</v>
      </c>
      <c r="L382">
        <v>25.5</v>
      </c>
      <c r="M382">
        <v>-0.97</v>
      </c>
      <c r="N382" t="str">
        <v>41.49%</v>
      </c>
      <c r="O382" t="str">
        <v>1462萬</v>
      </c>
      <c r="P382" t="str">
        <v>-17.34</v>
      </c>
      <c r="Q382" t="str">
        <v>+20.28</v>
      </c>
      <c r="R382" t="str">
        <v>-6.76</v>
      </c>
      <c r="S382">
        <v>-6</v>
      </c>
      <c r="T382">
        <v>0</v>
      </c>
      <c r="U382">
        <f t="array" ref="U382:AD382">[1]!'3234.TW-ChipsField3,ChipsField1,ChipsField25,CashAndStockDividend,CashDividendYieldRate,ProfitFourSeason,ProfitSingle,CName,ExchangeIndustry,CompanyPos'</f>
        <v>0</v>
      </c>
      <c r="V382">
        <v>181</v>
      </c>
      <c r="W382" t="str">
        <v>--</v>
      </c>
      <c r="X382" t="str">
        <v>0.00</v>
      </c>
      <c r="Y382">
        <v>0</v>
      </c>
      <c r="Z382" t="str">
        <v>-1.38</v>
      </c>
      <c r="AA382" t="str">
        <v>-0.13</v>
      </c>
      <c r="AB382" t="str">
        <v>光環</v>
      </c>
      <c r="AC382" t="str">
        <v>上櫃通信網路</v>
      </c>
      <c r="AD382" t="str">
        <v>光收發模組上游晶粒及封裝廠</v>
      </c>
      <c r="AE382" t="str">
        <f t="array" ref="AE382:AH382">[1]!'3234.TW-CName,InvestorConferenceDate,DateofMeetingofShareHolders,TradingDate'</f>
        <v>光環</v>
      </c>
      <c r="AF382" t="str">
        <v>2021/03/19</v>
      </c>
      <c r="AG382" t="str">
        <v>2022/05/26</v>
      </c>
      <c r="AH382" t="str">
        <v>2022/08/01</v>
      </c>
    </row>
    <row r="383" spans="1:34" x14ac:dyDescent="0.3">
      <c r="A383" t="str">
        <f t="array" ref="A383:J383">[1]!'3306.TW-ID,Name,MarketValue,Capital,NetIncomeGrowthRate,OperIncomeGrowthRate,FinancialStatementsTime,TFXRatio,MonthlyNetSalesYoY,RevenueMonth'</f>
        <v>3306</v>
      </c>
      <c r="B383" t="str">
        <v>鼎天</v>
      </c>
      <c r="C383" t="str">
        <v>12.5</v>
      </c>
      <c r="D383" t="str">
        <v>5.06</v>
      </c>
      <c r="E383" t="str">
        <v>-243.33</v>
      </c>
      <c r="F383" t="str">
        <v>-332.51</v>
      </c>
      <c r="G383" t="str">
        <v>2022/03</v>
      </c>
      <c r="H383" t="str">
        <v>32.18</v>
      </c>
      <c r="I383" t="str">
        <v>-9.40</v>
      </c>
      <c r="J383" t="str">
        <v>2022/06</v>
      </c>
      <c r="K383" t="str">
        <f t="array" ref="K383:T383">[1]!'3306.TW-OperatingProfitRatio,Price,PriceChangeRatio,InOutRatioNumber,Value,YearReturn,MonthReturn,WeekReturn,FinanceBalanceDif,ChipsField2'</f>
        <v>-3.27</v>
      </c>
      <c r="L383">
        <v>24.75</v>
      </c>
      <c r="M383">
        <v>0.61</v>
      </c>
      <c r="N383" t="str">
        <v>48.39%</v>
      </c>
      <c r="O383" t="str">
        <v>1814萬</v>
      </c>
      <c r="P383" t="str">
        <v>+4.38</v>
      </c>
      <c r="Q383" t="str">
        <v>+4.65</v>
      </c>
      <c r="R383" t="str">
        <v>+2.27</v>
      </c>
      <c r="S383">
        <v>-14</v>
      </c>
      <c r="T383">
        <v>0</v>
      </c>
      <c r="U383">
        <f t="array" ref="U383:AD383">[1]!'3306.TW-ChipsField3,ChipsField1,ChipsField25,CashAndStockDividend,CashDividendYieldRate,ProfitFourSeason,ProfitSingle,CName,ExchangeIndustry,CompanyPos'</f>
        <v>0</v>
      </c>
      <c r="V383">
        <v>42</v>
      </c>
      <c r="W383" t="str">
        <v>2022/08/04</v>
      </c>
      <c r="X383" t="str">
        <v>0.80</v>
      </c>
      <c r="Y383">
        <v>3.23</v>
      </c>
      <c r="Z383" t="str">
        <v>0.81</v>
      </c>
      <c r="AA383" t="str">
        <v>-0.14</v>
      </c>
      <c r="AB383" t="str">
        <v>鼎天</v>
      </c>
      <c r="AC383" t="str">
        <v>上櫃通信網路</v>
      </c>
      <c r="AD383" t="str">
        <v>廣達轉投資的GPS及個人導航廠商</v>
      </c>
      <c r="AE383" t="str">
        <f t="array" ref="AE383:AH383">[1]!'3306.TW-CName,InvestorConferenceDate,DateofMeetingofShareHolders,TradingDate'</f>
        <v>鼎天</v>
      </c>
      <c r="AF383" t="str">
        <v>2022/06/16</v>
      </c>
      <c r="AG383" t="str">
        <v>2022/06/09</v>
      </c>
      <c r="AH383" t="str">
        <v>2022/08/01</v>
      </c>
    </row>
    <row r="384" spans="1:34" x14ac:dyDescent="0.3">
      <c r="A384" t="str">
        <f t="array" ref="A384:J384">[1]!'3363.TW-ID,Name,MarketValue,Capital,NetIncomeGrowthRate,OperIncomeGrowthRate,FinancialStatementsTime,TFXRatio,MonthlyNetSalesYoY,RevenueMonth'</f>
        <v>3363</v>
      </c>
      <c r="B384" t="str">
        <v>上詮</v>
      </c>
      <c r="C384" t="str">
        <v>22.4</v>
      </c>
      <c r="D384" t="str">
        <v>8.83</v>
      </c>
      <c r="E384" t="str">
        <v>-260.82</v>
      </c>
      <c r="F384" t="str">
        <v>609.45</v>
      </c>
      <c r="G384" t="str">
        <v>2022/03</v>
      </c>
      <c r="H384" t="str">
        <v>9.01</v>
      </c>
      <c r="I384" t="str">
        <v>12.94</v>
      </c>
      <c r="J384" t="str">
        <v>2022/06</v>
      </c>
      <c r="K384" t="str">
        <f t="array" ref="K384:T384">[1]!'3363.TW-OperatingProfitRatio,Price,PriceChangeRatio,InOutRatioNumber,Value,YearReturn,MonthReturn,WeekReturn,FinanceBalanceDif,ChipsField2'</f>
        <v>9.19</v>
      </c>
      <c r="L384">
        <v>25.4</v>
      </c>
      <c r="M384">
        <v>4.0999999999999996</v>
      </c>
      <c r="N384" t="str">
        <v>73.56%</v>
      </c>
      <c r="O384" t="str">
        <v>1179萬</v>
      </c>
      <c r="P384" t="str">
        <v>+2.80</v>
      </c>
      <c r="Q384" t="str">
        <v>+11.40</v>
      </c>
      <c r="R384" t="str">
        <v>+4.96</v>
      </c>
      <c r="S384">
        <v>7</v>
      </c>
      <c r="T384">
        <v>0</v>
      </c>
      <c r="U384">
        <f t="array" ref="U384:AD384">[1]!'3363.TW-ChipsField3,ChipsField1,ChipsField25,CashAndStockDividend,CashDividendYieldRate,ProfitFourSeason,ProfitSingle,CName,ExchangeIndustry,CompanyPos'</f>
        <v>0</v>
      </c>
      <c r="V384">
        <v>19</v>
      </c>
      <c r="W384" t="str">
        <v>2022/06/24</v>
      </c>
      <c r="X384" t="str">
        <v>1.60</v>
      </c>
      <c r="Y384">
        <v>6.3</v>
      </c>
      <c r="Z384" t="str">
        <v>2.25</v>
      </c>
      <c r="AA384" t="str">
        <v>-0.04</v>
      </c>
      <c r="AB384" t="str">
        <v>上詮</v>
      </c>
      <c r="AC384" t="str">
        <v>上櫃通信網路</v>
      </c>
      <c r="AD384" t="str">
        <v>台灣光纖被動元件大廠</v>
      </c>
      <c r="AE384" t="str">
        <f t="array" ref="AE384:AH384">[1]!'3363.TW-CName,InvestorConferenceDate,DateofMeetingofShareHolders,TradingDate'</f>
        <v>上詮</v>
      </c>
      <c r="AF384" t="str">
        <v>--</v>
      </c>
      <c r="AG384" t="str">
        <v>2022/05/27</v>
      </c>
      <c r="AH384" t="str">
        <v>2022/08/01</v>
      </c>
    </row>
    <row r="385" spans="1:34" x14ac:dyDescent="0.3">
      <c r="A385" t="str">
        <f t="array" ref="A385:J385">[1]!'3466.TW-ID,Name,MarketValue,Capital,NetIncomeGrowthRate,OperIncomeGrowthRate,FinancialStatementsTime,TFXRatio,MonthlyNetSalesYoY,RevenueMonth'</f>
        <v>3466</v>
      </c>
      <c r="B385" t="str">
        <v>致振</v>
      </c>
      <c r="C385" t="str">
        <v>16.1</v>
      </c>
      <c r="D385" t="str">
        <v>6.09</v>
      </c>
      <c r="E385" t="str">
        <v>-1399.64</v>
      </c>
      <c r="F385" t="str">
        <v>-180.88</v>
      </c>
      <c r="G385" t="str">
        <v>2022/03</v>
      </c>
      <c r="H385" t="str">
        <v>-46.80</v>
      </c>
      <c r="I385" t="str">
        <v>-54.36</v>
      </c>
      <c r="J385" t="str">
        <v>2022/06</v>
      </c>
      <c r="K385" t="str">
        <f t="array" ref="K385:T385">[1]!'3466.TW-OperatingProfitRatio,Price,PriceChangeRatio,InOutRatioNumber,Value,YearReturn,MonthReturn,WeekReturn,FinanceBalanceDif,ChipsField2'</f>
        <v>-37.28</v>
      </c>
      <c r="L385">
        <v>26.4</v>
      </c>
      <c r="M385">
        <v>1.93</v>
      </c>
      <c r="N385" t="str">
        <v>58.90%</v>
      </c>
      <c r="O385" t="str">
        <v>1406萬</v>
      </c>
      <c r="P385" t="str">
        <v>+116.39</v>
      </c>
      <c r="Q385" t="str">
        <v>+11.16</v>
      </c>
      <c r="R385" t="str">
        <v>+4.14</v>
      </c>
      <c r="S385">
        <v>32</v>
      </c>
      <c r="T385">
        <v>0</v>
      </c>
      <c r="U385">
        <f t="array" ref="U385:AD385">[1]!'3466.TW-ChipsField3,ChipsField1,ChipsField25,CashAndStockDividend,CashDividendYieldRate,ProfitFourSeason,ProfitSingle,CName,ExchangeIndustry,CompanyPos'</f>
        <v>0</v>
      </c>
      <c r="V385">
        <v>22</v>
      </c>
      <c r="W385" t="str">
        <v>--</v>
      </c>
      <c r="X385" t="str">
        <v>0.00</v>
      </c>
      <c r="Y385">
        <v>0</v>
      </c>
      <c r="Z385" t="str">
        <v>-1.69</v>
      </c>
      <c r="AA385" t="str">
        <v>-0.36</v>
      </c>
      <c r="AB385" t="str">
        <v>致振</v>
      </c>
      <c r="AC385" t="str">
        <v>上櫃通信網路</v>
      </c>
      <c r="AD385" t="str">
        <v>台灣機上盒製造廠</v>
      </c>
      <c r="AE385" t="str">
        <f t="array" ref="AE385:AH385">[1]!'3466.TW-CName,InvestorConferenceDate,DateofMeetingofShareHolders,TradingDate'</f>
        <v>致振</v>
      </c>
      <c r="AF385" t="str">
        <v>--</v>
      </c>
      <c r="AG385" t="str">
        <v>2022/07/28</v>
      </c>
      <c r="AH385" t="str">
        <v>2022/08/01</v>
      </c>
    </row>
    <row r="386" spans="1:34" x14ac:dyDescent="0.3">
      <c r="A386" t="str">
        <f t="array" ref="A386:J386">[1]!'3491.TW-ID,Name,MarketValue,Capital,NetIncomeGrowthRate,OperIncomeGrowthRate,FinancialStatementsTime,TFXRatio,MonthlyNetSalesYoY,RevenueMonth'</f>
        <v>3491</v>
      </c>
      <c r="B386" t="str">
        <v>昇達科</v>
      </c>
      <c r="C386" t="str">
        <v>100.4</v>
      </c>
      <c r="D386" t="str">
        <v>6.22</v>
      </c>
      <c r="E386" t="str">
        <v>38.79</v>
      </c>
      <c r="F386" t="str">
        <v>31.79</v>
      </c>
      <c r="G386" t="str">
        <v>2022/03</v>
      </c>
      <c r="H386" t="str">
        <v>22.17</v>
      </c>
      <c r="I386" t="str">
        <v>54.47</v>
      </c>
      <c r="J386" t="str">
        <v>2022/06</v>
      </c>
      <c r="K386" t="str">
        <f t="array" ref="K386:T386">[1]!'3491.TW-OperatingProfitRatio,Price,PriceChangeRatio,InOutRatioNumber,Value,YearReturn,MonthReturn,WeekReturn,FinanceBalanceDif,ChipsField2'</f>
        <v>11.24</v>
      </c>
      <c r="L386">
        <v>161.5</v>
      </c>
      <c r="M386">
        <v>0.31</v>
      </c>
      <c r="N386" t="str">
        <v>55.80%</v>
      </c>
      <c r="O386" t="str">
        <v>13.7億</v>
      </c>
      <c r="P386" t="str">
        <v>+145.31</v>
      </c>
      <c r="Q386" t="str">
        <v>+18.80</v>
      </c>
      <c r="R386" t="str">
        <v>+4.53</v>
      </c>
      <c r="S386">
        <v>-226</v>
      </c>
      <c r="T386">
        <v>228</v>
      </c>
      <c r="U386">
        <f t="array" ref="U386:AD386">[1]!'3491.TW-ChipsField3,ChipsField1,ChipsField25,CashAndStockDividend,CashDividendYieldRate,ProfitFourSeason,ProfitSingle,CName,ExchangeIndustry,CompanyPos'</f>
        <v>-138</v>
      </c>
      <c r="V386">
        <v>-226</v>
      </c>
      <c r="W386" t="str">
        <v>2022/07/05</v>
      </c>
      <c r="X386" t="str">
        <v>4.00</v>
      </c>
      <c r="Y386">
        <v>2.48</v>
      </c>
      <c r="Z386" t="str">
        <v>4.07</v>
      </c>
      <c r="AA386" t="str">
        <v>0.71</v>
      </c>
      <c r="AB386" t="str">
        <v>昇達科</v>
      </c>
      <c r="AC386" t="str">
        <v>上櫃通信網路</v>
      </c>
      <c r="AD386" t="str">
        <v>台灣微波及毫米波元件廠商</v>
      </c>
      <c r="AE386" t="str">
        <f t="array" ref="AE386:AH386">[1]!'3491.TW-CName,InvestorConferenceDate,DateofMeetingofShareHolders,TradingDate'</f>
        <v>昇達科</v>
      </c>
      <c r="AF386" t="str">
        <v>2022/07/12</v>
      </c>
      <c r="AG386" t="str">
        <v>2022/06/15</v>
      </c>
      <c r="AH386" t="str">
        <v>2022/08/01</v>
      </c>
    </row>
    <row r="387" spans="1:34" x14ac:dyDescent="0.3">
      <c r="A387" t="str">
        <f t="array" ref="A387:J387">[1]!'3499.TW-ID,Name,MarketValue,Capital,NetIncomeGrowthRate,OperIncomeGrowthRate,FinancialStatementsTime,TFXRatio,MonthlyNetSalesYoY,RevenueMonth'</f>
        <v>3499</v>
      </c>
      <c r="B387" t="str">
        <v>環天科</v>
      </c>
      <c r="C387" t="str">
        <v>10.3</v>
      </c>
      <c r="D387" t="str">
        <v>5.50</v>
      </c>
      <c r="E387" t="str">
        <v>90.00</v>
      </c>
      <c r="F387" t="str">
        <v>39.67</v>
      </c>
      <c r="G387" t="str">
        <v>2022/03</v>
      </c>
      <c r="H387" t="str">
        <v>-17.33</v>
      </c>
      <c r="I387" t="str">
        <v>-54.38</v>
      </c>
      <c r="J387" t="str">
        <v>2022/06</v>
      </c>
      <c r="K387" t="str">
        <f t="array" ref="K387:T387">[1]!'3499.TW-OperatingProfitRatio,Price,PriceChangeRatio,InOutRatioNumber,Value,YearReturn,MonthReturn,WeekReturn,FinanceBalanceDif,ChipsField2'</f>
        <v>-15.08</v>
      </c>
      <c r="L387">
        <v>18.7</v>
      </c>
      <c r="M387">
        <v>10</v>
      </c>
      <c r="N387" t="str">
        <v>90.19%</v>
      </c>
      <c r="O387" t="str">
        <v>2259萬</v>
      </c>
      <c r="P387" t="str">
        <v>+35.02</v>
      </c>
      <c r="Q387" t="str">
        <v>+11.98</v>
      </c>
      <c r="R387" t="str">
        <v>+9.04</v>
      </c>
      <c r="S387">
        <v>35</v>
      </c>
      <c r="T387">
        <v>0</v>
      </c>
      <c r="U387">
        <f t="array" ref="U387:AD387">[1]!'3499.TW-ChipsField3,ChipsField1,ChipsField25,CashAndStockDividend,CashDividendYieldRate,ProfitFourSeason,ProfitSingle,CName,ExchangeIndustry,CompanyPos'</f>
        <v>0</v>
      </c>
      <c r="V387">
        <v>54</v>
      </c>
      <c r="W387" t="str">
        <v>--</v>
      </c>
      <c r="X387" t="str">
        <v>0.00</v>
      </c>
      <c r="Y387">
        <v>0</v>
      </c>
      <c r="Z387" t="str">
        <v>0.05</v>
      </c>
      <c r="AA387" t="str">
        <v>-0.03</v>
      </c>
      <c r="AB387" t="str">
        <v>環天科</v>
      </c>
      <c r="AC387" t="str">
        <v>上櫃通信網路</v>
      </c>
      <c r="AD387" t="str">
        <v>台灣GPS相關應用製造業者</v>
      </c>
      <c r="AE387" t="str">
        <f t="array" ref="AE387:AH387">[1]!'3499.TW-CName,InvestorConferenceDate,DateofMeetingofShareHolders,TradingDate'</f>
        <v>環天科</v>
      </c>
      <c r="AF387" t="str">
        <v>--</v>
      </c>
      <c r="AG387" t="str">
        <v>2022/06/10</v>
      </c>
      <c r="AH387" t="str">
        <v>2022/08/01</v>
      </c>
    </row>
    <row r="388" spans="1:34" x14ac:dyDescent="0.3">
      <c r="A388" t="str">
        <f t="array" ref="A388:J388">[1]!'3558.TW-ID,Name,MarketValue,Capital,NetIncomeGrowthRate,OperIncomeGrowthRate,FinancialStatementsTime,TFXRatio,MonthlyNetSalesYoY,RevenueMonth'</f>
        <v>3558</v>
      </c>
      <c r="B388" t="str">
        <v>神準</v>
      </c>
      <c r="C388" t="str">
        <v>106.7</v>
      </c>
      <c r="D388" t="str">
        <v>4.91</v>
      </c>
      <c r="E388" t="str">
        <v>133.27</v>
      </c>
      <c r="F388" t="str">
        <v>117.82</v>
      </c>
      <c r="G388" t="str">
        <v>2022/03</v>
      </c>
      <c r="H388" t="str">
        <v>18.20</v>
      </c>
      <c r="I388" t="str">
        <v>75.87</v>
      </c>
      <c r="J388" t="str">
        <v>2022/06</v>
      </c>
      <c r="K388" t="str">
        <f t="array" ref="K388:T388">[1]!'3558.TW-OperatingProfitRatio,Price,PriceChangeRatio,InOutRatioNumber,Value,YearReturn,MonthReturn,WeekReturn,FinanceBalanceDif,ChipsField2'</f>
        <v>9.26</v>
      </c>
      <c r="L388">
        <v>217.5</v>
      </c>
      <c r="M388">
        <v>-0.46</v>
      </c>
      <c r="N388" t="str">
        <v>42.10%</v>
      </c>
      <c r="O388" t="str">
        <v>25.6億</v>
      </c>
      <c r="P388" t="str">
        <v>+130.38</v>
      </c>
      <c r="Q388" t="str">
        <v>+34.26</v>
      </c>
      <c r="R388" t="str">
        <v>+10.69</v>
      </c>
      <c r="S388">
        <v>756</v>
      </c>
      <c r="T388">
        <v>45</v>
      </c>
      <c r="U388">
        <f t="array" ref="U388:AD388">[1]!'3558.TW-ChipsField3,ChipsField1,ChipsField25,CashAndStockDividend,CashDividendYieldRate,ProfitFourSeason,ProfitSingle,CName,ExchangeIndustry,CompanyPos'</f>
        <v>155</v>
      </c>
      <c r="V388">
        <v>1181</v>
      </c>
      <c r="W388" t="str">
        <v>2022/08/11</v>
      </c>
      <c r="X388" t="str">
        <v>3.00</v>
      </c>
      <c r="Y388">
        <v>1.38</v>
      </c>
      <c r="Z388" t="str">
        <v>12.10</v>
      </c>
      <c r="AA388" t="str">
        <v>4.78</v>
      </c>
      <c r="AB388" t="str">
        <v>神準</v>
      </c>
      <c r="AC388" t="str">
        <v>上櫃通信網路</v>
      </c>
      <c r="AD388" t="str">
        <v>神腦轉投資的無線網路設備大廠</v>
      </c>
      <c r="AE388" t="str">
        <f t="array" ref="AE388:AH388">[1]!'3558.TW-CName,InvestorConferenceDate,DateofMeetingofShareHolders,TradingDate'</f>
        <v>神準</v>
      </c>
      <c r="AF388" t="str">
        <v>--</v>
      </c>
      <c r="AG388" t="str">
        <v>2022/06/17</v>
      </c>
      <c r="AH388" t="str">
        <v>2022/08/01</v>
      </c>
    </row>
    <row r="389" spans="1:34" x14ac:dyDescent="0.3">
      <c r="A389" t="str">
        <f t="array" ref="A389:J389">[1]!'3564.TW-ID,Name,MarketValue,Capital,NetIncomeGrowthRate,OperIncomeGrowthRate,FinancialStatementsTime,TFXRatio,MonthlyNetSalesYoY,RevenueMonth'</f>
        <v>3564</v>
      </c>
      <c r="B389" t="str">
        <v>其陽</v>
      </c>
      <c r="C389" t="str">
        <v>19.4</v>
      </c>
      <c r="D389" t="str">
        <v>5.91</v>
      </c>
      <c r="E389" t="str">
        <v>304.57</v>
      </c>
      <c r="F389" t="str">
        <v>586.60</v>
      </c>
      <c r="G389" t="str">
        <v>2022/03</v>
      </c>
      <c r="H389" t="str">
        <v>13.34</v>
      </c>
      <c r="I389" t="str">
        <v>82.97</v>
      </c>
      <c r="J389" t="str">
        <v>2022/06</v>
      </c>
      <c r="K389" t="str">
        <f t="array" ref="K389:T389">[1]!'3564.TW-OperatingProfitRatio,Price,PriceChangeRatio,InOutRatioNumber,Value,YearReturn,MonthReturn,WeekReturn,FinanceBalanceDif,ChipsField2'</f>
        <v>5.16</v>
      </c>
      <c r="L389">
        <v>32.799999999999997</v>
      </c>
      <c r="M389">
        <v>4.79</v>
      </c>
      <c r="N389" t="str">
        <v>60.61%</v>
      </c>
      <c r="O389" t="str">
        <v>2013萬</v>
      </c>
      <c r="P389" t="str">
        <v>+42.53</v>
      </c>
      <c r="Q389" t="str">
        <v>+25.92</v>
      </c>
      <c r="R389" t="str">
        <v>+5.81</v>
      </c>
      <c r="S389">
        <v>0</v>
      </c>
      <c r="T389">
        <v>0</v>
      </c>
      <c r="U389">
        <f t="array" ref="U389:AD389">[1]!'3564.TW-ChipsField3,ChipsField1,ChipsField25,CashAndStockDividend,CashDividendYieldRate,ProfitFourSeason,ProfitSingle,CName,ExchangeIndustry,CompanyPos'</f>
        <v>0</v>
      </c>
      <c r="V389">
        <v>42</v>
      </c>
      <c r="W389" t="str">
        <v>2022/07/19</v>
      </c>
      <c r="X389" t="str">
        <v>0.60</v>
      </c>
      <c r="Y389">
        <v>1.83</v>
      </c>
      <c r="Z389" t="str">
        <v>0.95</v>
      </c>
      <c r="AA389" t="str">
        <v>0.26</v>
      </c>
      <c r="AB389" t="str">
        <v>其陽</v>
      </c>
      <c r="AC389" t="str">
        <v>上櫃通信網路</v>
      </c>
      <c r="AD389" t="str">
        <v>友通轉投資的網路安全設備廠</v>
      </c>
      <c r="AE389" t="str">
        <f t="array" ref="AE389:AH389">[1]!'3564.TW-CName,InvestorConferenceDate,DateofMeetingofShareHolders,TradingDate'</f>
        <v>其陽</v>
      </c>
      <c r="AF389" t="str">
        <v>2021/11/26</v>
      </c>
      <c r="AG389" t="str">
        <v>2022/06/15</v>
      </c>
      <c r="AH389" t="str">
        <v>2022/08/01</v>
      </c>
    </row>
    <row r="390" spans="1:34" x14ac:dyDescent="0.3">
      <c r="A390" t="str">
        <f t="array" ref="A390:J390">[1]!'3632.TW-ID,Name,MarketValue,Capital,NetIncomeGrowthRate,OperIncomeGrowthRate,FinancialStatementsTime,TFXRatio,MonthlyNetSalesYoY,RevenueMonth'</f>
        <v>3632</v>
      </c>
      <c r="B390" t="str">
        <v>研勤</v>
      </c>
      <c r="C390" t="str">
        <v>4.0</v>
      </c>
      <c r="D390" t="str">
        <v>4.09</v>
      </c>
      <c r="E390" t="str">
        <v>76.82</v>
      </c>
      <c r="F390" t="str">
        <v>23.37</v>
      </c>
      <c r="G390" t="str">
        <v>2022/03</v>
      </c>
      <c r="H390" t="str">
        <v>45.63</v>
      </c>
      <c r="I390" t="str">
        <v>89.98</v>
      </c>
      <c r="J390" t="str">
        <v>2022/06</v>
      </c>
      <c r="K390" t="str">
        <f t="array" ref="K390:T390">[1]!'3632.TW-OperatingProfitRatio,Price,PriceChangeRatio,InOutRatioNumber,Value,YearReturn,MonthReturn,WeekReturn,FinanceBalanceDif,ChipsField2'</f>
        <v>-11.04</v>
      </c>
      <c r="L390">
        <v>9.89</v>
      </c>
      <c r="M390">
        <v>1.85</v>
      </c>
      <c r="N390" t="str">
        <v>83.33%</v>
      </c>
      <c r="O390" t="str">
        <v>5.84萬</v>
      </c>
      <c r="P390" t="str">
        <v>+9.89</v>
      </c>
      <c r="Q390" t="str">
        <v>+1.33</v>
      </c>
      <c r="R390" t="str">
        <v>+0.71</v>
      </c>
      <c r="S390">
        <v>0</v>
      </c>
      <c r="T390">
        <v>0</v>
      </c>
      <c r="U390">
        <f t="array" ref="U390:AD390">[1]!'3632.TW-ChipsField3,ChipsField1,ChipsField25,CashAndStockDividend,CashDividendYieldRate,ProfitFourSeason,ProfitSingle,CName,ExchangeIndustry,CompanyPos'</f>
        <v>0</v>
      </c>
      <c r="V390">
        <v>0</v>
      </c>
      <c r="W390" t="str">
        <v>--</v>
      </c>
      <c r="X390" t="str">
        <v>0.00</v>
      </c>
      <c r="Y390">
        <v>0</v>
      </c>
      <c r="Z390" t="str">
        <v>-0.36</v>
      </c>
      <c r="AA390" t="str">
        <v>0.05</v>
      </c>
      <c r="AB390" t="str">
        <v>研勤</v>
      </c>
      <c r="AC390" t="str">
        <v>上櫃通信網路</v>
      </c>
      <c r="AD390" t="str">
        <v>以PAPAGO為品牌之行車紀錄器及導航軟體廠商</v>
      </c>
      <c r="AE390" t="str">
        <f t="array" ref="AE390:AH390">[1]!'3632.TW-CName,InvestorConferenceDate,DateofMeetingofShareHolders,TradingDate'</f>
        <v>研勤</v>
      </c>
      <c r="AF390" t="str">
        <v>--</v>
      </c>
      <c r="AG390" t="str">
        <v>2022/06/14</v>
      </c>
      <c r="AH390" t="str">
        <v>2022/08/01</v>
      </c>
    </row>
    <row r="391" spans="1:34" x14ac:dyDescent="0.3">
      <c r="A391" t="str">
        <f t="array" ref="A391:J391">[1]!'3664.TW-ID,Name,MarketValue,Capital,NetIncomeGrowthRate,OperIncomeGrowthRate,FinancialStatementsTime,TFXRatio,MonthlyNetSalesYoY,RevenueMonth'</f>
        <v>3664</v>
      </c>
      <c r="B391" t="str">
        <v>安瑞-KY</v>
      </c>
      <c r="C391" t="str">
        <v>4.9</v>
      </c>
      <c r="D391" t="str">
        <v>5.11</v>
      </c>
      <c r="E391" t="str">
        <v>-114.12</v>
      </c>
      <c r="F391" t="str">
        <v>-132.31</v>
      </c>
      <c r="G391" t="str">
        <v>2022/03</v>
      </c>
      <c r="H391" t="str">
        <v>384.10</v>
      </c>
      <c r="I391" t="str">
        <v>215.04</v>
      </c>
      <c r="J391" t="str">
        <v>2022/06</v>
      </c>
      <c r="K391" t="str">
        <f t="array" ref="K391:T391">[1]!'3664.TW-OperatingProfitRatio,Price,PriceChangeRatio,InOutRatioNumber,Value,YearReturn,MonthReturn,WeekReturn,FinanceBalanceDif,ChipsField2'</f>
        <v>-111.18</v>
      </c>
      <c r="L391">
        <v>9.49</v>
      </c>
      <c r="M391">
        <v>3.38</v>
      </c>
      <c r="N391" t="str">
        <v>56.76%</v>
      </c>
      <c r="O391" t="str">
        <v>145萬</v>
      </c>
      <c r="P391" t="str">
        <v>-3.56</v>
      </c>
      <c r="Q391" t="str">
        <v>+10.99</v>
      </c>
      <c r="R391" t="str">
        <v>+0.42</v>
      </c>
      <c r="S391">
        <v>0</v>
      </c>
      <c r="T391">
        <v>0</v>
      </c>
      <c r="U391">
        <f t="array" ref="U391:AD391">[1]!'3664.TW-ChipsField3,ChipsField1,ChipsField25,CashAndStockDividend,CashDividendYieldRate,ProfitFourSeason,ProfitSingle,CName,ExchangeIndustry,CompanyPos'</f>
        <v>0</v>
      </c>
      <c r="V391">
        <v>-3</v>
      </c>
      <c r="W391" t="str">
        <v>--</v>
      </c>
      <c r="X391" t="str">
        <v>0.00</v>
      </c>
      <c r="Y391">
        <v>0</v>
      </c>
      <c r="Z391" t="str">
        <v>-2.76</v>
      </c>
      <c r="AA391" t="str">
        <v>-1.53</v>
      </c>
      <c r="AB391" t="str">
        <v>安瑞-KY</v>
      </c>
      <c r="AC391" t="str">
        <v>上櫃通信網路</v>
      </c>
      <c r="AD391" t="str">
        <v>雲端ADC設備廠</v>
      </c>
      <c r="AE391" t="str">
        <f t="array" ref="AE391:AH391">[1]!'3664.TW-CName,InvestorConferenceDate,DateofMeetingofShareHolders,TradingDate'</f>
        <v>安瑞-KY</v>
      </c>
      <c r="AF391" t="str">
        <v>2021/12/17</v>
      </c>
      <c r="AG391" t="str">
        <v>2022/06/01</v>
      </c>
      <c r="AH391" t="str">
        <v>2022/08/01</v>
      </c>
    </row>
    <row r="392" spans="1:34" x14ac:dyDescent="0.3">
      <c r="A392" t="str">
        <f t="array" ref="A392:J392">[1]!'3672.TW-ID,Name,MarketValue,Capital,NetIncomeGrowthRate,OperIncomeGrowthRate,FinancialStatementsTime,TFXRatio,MonthlyNetSalesYoY,RevenueMonth'</f>
        <v>3672</v>
      </c>
      <c r="B392" t="str">
        <v>康聯訊</v>
      </c>
      <c r="C392" t="str">
        <v>11.5</v>
      </c>
      <c r="D392" t="str">
        <v>3.18</v>
      </c>
      <c r="E392" t="str">
        <v>153.47</v>
      </c>
      <c r="F392" t="str">
        <v>133.10</v>
      </c>
      <c r="G392" t="str">
        <v>2022/03</v>
      </c>
      <c r="H392" t="str">
        <v>-9.26</v>
      </c>
      <c r="I392" t="str">
        <v>-7.48</v>
      </c>
      <c r="J392" t="str">
        <v>2022/06</v>
      </c>
      <c r="K392" t="str">
        <f t="array" ref="K392:T392">[1]!'3672.TW-OperatingProfitRatio,Price,PriceChangeRatio,InOutRatioNumber,Value,YearReturn,MonthReturn,WeekReturn,FinanceBalanceDif,ChipsField2'</f>
        <v>1.41</v>
      </c>
      <c r="L392">
        <v>36.299999999999997</v>
      </c>
      <c r="M392">
        <v>2.54</v>
      </c>
      <c r="N392" t="str">
        <v>53.85%</v>
      </c>
      <c r="O392" t="str">
        <v>93.5萬</v>
      </c>
      <c r="P392" t="str">
        <v>+123.91</v>
      </c>
      <c r="Q392" t="str">
        <v>+0.83</v>
      </c>
      <c r="R392" t="str">
        <v>-1.09</v>
      </c>
      <c r="S392">
        <v>4</v>
      </c>
      <c r="T392">
        <v>0</v>
      </c>
      <c r="U392">
        <f t="array" ref="U392:AD392">[1]!'3672.TW-ChipsField3,ChipsField1,ChipsField25,CashAndStockDividend,CashDividendYieldRate,ProfitFourSeason,ProfitSingle,CName,ExchangeIndustry,CompanyPos'</f>
        <v>0</v>
      </c>
      <c r="V392">
        <v>3</v>
      </c>
      <c r="W392" t="str">
        <v>2022/08/02</v>
      </c>
      <c r="X392" t="str">
        <v>0.10</v>
      </c>
      <c r="Y392">
        <v>0.28000000000000003</v>
      </c>
      <c r="Z392" t="str">
        <v>0.65</v>
      </c>
      <c r="AA392" t="str">
        <v>0.15</v>
      </c>
      <c r="AB392" t="str">
        <v>康聯訊</v>
      </c>
      <c r="AC392" t="str">
        <v>上櫃通信網路</v>
      </c>
      <c r="AD392" t="str">
        <v>台灣光纖網路設備製造商</v>
      </c>
      <c r="AE392" t="str">
        <f t="array" ref="AE392:AH392">[1]!'3672.TW-CName,InvestorConferenceDate,DateofMeetingofShareHolders,TradingDate'</f>
        <v>康聯訊</v>
      </c>
      <c r="AF392" t="str">
        <v>--</v>
      </c>
      <c r="AG392" t="str">
        <v>2022/06/14</v>
      </c>
      <c r="AH392" t="str">
        <v>2022/08/01</v>
      </c>
    </row>
    <row r="393" spans="1:34" x14ac:dyDescent="0.3">
      <c r="A393" t="str">
        <f t="array" ref="A393:J393">[1]!'3684.TW-ID,Name,MarketValue,Capital,NetIncomeGrowthRate,OperIncomeGrowthRate,FinancialStatementsTime,TFXRatio,MonthlyNetSalesYoY,RevenueMonth'</f>
        <v>3684</v>
      </c>
      <c r="B393" t="str">
        <v>榮昌</v>
      </c>
      <c r="C393" t="str">
        <v>11.5</v>
      </c>
      <c r="D393" t="str">
        <v>2.46</v>
      </c>
      <c r="E393" t="str">
        <v>94.89</v>
      </c>
      <c r="F393" t="str">
        <v>48.60</v>
      </c>
      <c r="G393" t="str">
        <v>2022/03</v>
      </c>
      <c r="H393" t="str">
        <v>6.89</v>
      </c>
      <c r="I393" t="str">
        <v>31.58</v>
      </c>
      <c r="J393" t="str">
        <v>2022/06</v>
      </c>
      <c r="K393" t="str">
        <f t="array" ref="K393:T393">[1]!'3684.TW-OperatingProfitRatio,Price,PriceChangeRatio,InOutRatioNumber,Value,YearReturn,MonthReturn,WeekReturn,FinanceBalanceDif,ChipsField2'</f>
        <v>9.57</v>
      </c>
      <c r="L393">
        <v>46.7</v>
      </c>
      <c r="M393">
        <v>0.65</v>
      </c>
      <c r="N393" t="str">
        <v>40.00%</v>
      </c>
      <c r="O393" t="str">
        <v>93.2萬</v>
      </c>
      <c r="P393" t="str">
        <v>+34.77</v>
      </c>
      <c r="Q393" t="str">
        <v>+8.60</v>
      </c>
      <c r="R393" t="str">
        <v>+1.08</v>
      </c>
      <c r="S393">
        <v>0</v>
      </c>
      <c r="T393">
        <v>0</v>
      </c>
      <c r="U393">
        <f t="array" ref="U393:AD393">[1]!'3684.TW-ChipsField3,ChipsField1,ChipsField25,CashAndStockDividend,CashDividendYieldRate,ProfitFourSeason,ProfitSingle,CName,ExchangeIndustry,CompanyPos'</f>
        <v>0</v>
      </c>
      <c r="V393">
        <v>0</v>
      </c>
      <c r="W393" t="str">
        <v>2022/06/28</v>
      </c>
      <c r="X393" t="str">
        <v>3.00</v>
      </c>
      <c r="Y393">
        <v>6.42</v>
      </c>
      <c r="Z393" t="str">
        <v>3.92</v>
      </c>
      <c r="AA393" t="str">
        <v>0.89</v>
      </c>
      <c r="AB393" t="str">
        <v>榮昌</v>
      </c>
      <c r="AC393" t="str">
        <v>上櫃通信網路</v>
      </c>
      <c r="AD393" t="str">
        <v>高頻連接線及無線通訊整合次系統廠商</v>
      </c>
      <c r="AE393" t="str">
        <f t="array" ref="AE393:AH393">[1]!'3684.TW-CName,InvestorConferenceDate,DateofMeetingofShareHolders,TradingDate'</f>
        <v>榮昌</v>
      </c>
      <c r="AF393" t="str">
        <v>2021/11/19</v>
      </c>
      <c r="AG393" t="str">
        <v>2022/05/26</v>
      </c>
      <c r="AH393" t="str">
        <v>2022/08/01</v>
      </c>
    </row>
    <row r="394" spans="1:34" x14ac:dyDescent="0.3">
      <c r="A394" t="str">
        <f t="array" ref="A394:J394">[1]!'4903.TW-ID,Name,MarketValue,Capital,NetIncomeGrowthRate,OperIncomeGrowthRate,FinancialStatementsTime,TFXRatio,MonthlyNetSalesYoY,RevenueMonth'</f>
        <v>4903</v>
      </c>
      <c r="B394" t="str">
        <v>聯光通</v>
      </c>
      <c r="C394" t="str">
        <v>11.4</v>
      </c>
      <c r="D394" t="str">
        <v>10.03</v>
      </c>
      <c r="E394" t="str">
        <v>-619.68</v>
      </c>
      <c r="F394" t="str">
        <v>-662.82</v>
      </c>
      <c r="G394" t="str">
        <v>2022/03</v>
      </c>
      <c r="H394" t="str">
        <v>84.03</v>
      </c>
      <c r="I394" t="str">
        <v>65.53</v>
      </c>
      <c r="J394" t="str">
        <v>2022/06</v>
      </c>
      <c r="K394" t="str">
        <f t="array" ref="K394:T394">[1]!'4903.TW-OperatingProfitRatio,Price,PriceChangeRatio,InOutRatioNumber,Value,YearReturn,MonthReturn,WeekReturn,FinanceBalanceDif,ChipsField2'</f>
        <v>-11.99</v>
      </c>
      <c r="L394">
        <v>12.65</v>
      </c>
      <c r="M394">
        <v>2.85</v>
      </c>
      <c r="N394" t="str">
        <v>72.84%</v>
      </c>
      <c r="O394" t="str">
        <v>690萬</v>
      </c>
      <c r="P394" t="str">
        <v>+66.45</v>
      </c>
      <c r="Q394" t="str">
        <v>+18.22</v>
      </c>
      <c r="R394" t="str">
        <v>0.00</v>
      </c>
      <c r="S394">
        <v>0</v>
      </c>
      <c r="T394">
        <v>0</v>
      </c>
      <c r="U394">
        <f t="array" ref="U394:AD394">[1]!'4903.TW-ChipsField3,ChipsField1,ChipsField25,CashAndStockDividend,CashDividendYieldRate,ProfitFourSeason,ProfitSingle,CName,ExchangeIndustry,CompanyPos'</f>
        <v>0</v>
      </c>
      <c r="V394">
        <v>-35</v>
      </c>
      <c r="W394" t="str">
        <v>--</v>
      </c>
      <c r="X394" t="str">
        <v>0.00</v>
      </c>
      <c r="Y394">
        <v>0</v>
      </c>
      <c r="Z394" t="str">
        <v>-0.45</v>
      </c>
      <c r="AA394" t="str">
        <v>-0.16</v>
      </c>
      <c r="AB394" t="str">
        <v>聯光通</v>
      </c>
      <c r="AC394" t="str">
        <v>上櫃通信網路</v>
      </c>
      <c r="AD394" t="str">
        <v>光通訊工程承包及光纖光纜製造商</v>
      </c>
      <c r="AE394" t="str">
        <f t="array" ref="AE394:AH394">[1]!'4903.TW-CName,InvestorConferenceDate,DateofMeetingofShareHolders,TradingDate'</f>
        <v>聯光通</v>
      </c>
      <c r="AF394" t="str">
        <v>--</v>
      </c>
      <c r="AG394" t="str">
        <v>2022/06/23</v>
      </c>
      <c r="AH394" t="str">
        <v>2022/08/01</v>
      </c>
    </row>
    <row r="395" spans="1:34" x14ac:dyDescent="0.3">
      <c r="A395" t="str">
        <f t="array" ref="A395:J395">[1]!'4905.TW-ID,Name,MarketValue,Capital,NetIncomeGrowthRate,OperIncomeGrowthRate,FinancialStatementsTime,TFXRatio,MonthlyNetSalesYoY,RevenueMonth'</f>
        <v>4905</v>
      </c>
      <c r="B395" t="str">
        <v>台聯電</v>
      </c>
      <c r="C395" t="str">
        <v>15.5</v>
      </c>
      <c r="D395" t="str">
        <v>3.00</v>
      </c>
      <c r="E395" t="str">
        <v>-114.76</v>
      </c>
      <c r="F395" t="str">
        <v>67.82</v>
      </c>
      <c r="G395" t="str">
        <v>2022/03</v>
      </c>
      <c r="H395" t="str">
        <v>110.75</v>
      </c>
      <c r="I395" t="str">
        <v>174.09</v>
      </c>
      <c r="J395" t="str">
        <v>2022/06</v>
      </c>
      <c r="K395" t="str">
        <f t="array" ref="K395:T395">[1]!'4905.TW-OperatingProfitRatio,Price,PriceChangeRatio,InOutRatioNumber,Value,YearReturn,MonthReturn,WeekReturn,FinanceBalanceDif,ChipsField2'</f>
        <v>-23.54</v>
      </c>
      <c r="L395" t="str">
        <v>--</v>
      </c>
      <c r="M395" t="str">
        <v>--</v>
      </c>
      <c r="N395" t="str">
        <v>--</v>
      </c>
      <c r="O395" t="str">
        <v>--</v>
      </c>
      <c r="P395" t="str">
        <v>-7.78</v>
      </c>
      <c r="Q395" t="str">
        <v>+0.39</v>
      </c>
      <c r="R395" t="str">
        <v>-0.58</v>
      </c>
      <c r="S395">
        <v>-8</v>
      </c>
      <c r="T395">
        <v>0</v>
      </c>
      <c r="U395">
        <f t="array" ref="U395:AD395">[1]!'4905.TW-ChipsField3,ChipsField1,ChipsField25,CashAndStockDividend,CashDividendYieldRate,ProfitFourSeason,ProfitSingle,CName,ExchangeIndustry,CompanyPos'</f>
        <v>0</v>
      </c>
      <c r="V395">
        <v>-1</v>
      </c>
      <c r="W395" t="str">
        <v>--</v>
      </c>
      <c r="X395" t="str">
        <v>1.20</v>
      </c>
      <c r="Y395">
        <v>2.3199999999999998</v>
      </c>
      <c r="Z395" t="str">
        <v>-1.77</v>
      </c>
      <c r="AA395" t="str">
        <v>-0.45</v>
      </c>
      <c r="AB395" t="str">
        <v>台聯電</v>
      </c>
      <c r="AC395" t="str">
        <v>上櫃通信網路</v>
      </c>
      <c r="AD395" t="str">
        <v>主產品為數據機、XDSL等網通設備廠</v>
      </c>
      <c r="AE395" t="str">
        <f t="array" ref="AE395:AH395">[1]!'4905.TW-CName,InvestorConferenceDate,DateofMeetingofShareHolders,TradingDate'</f>
        <v>台聯電</v>
      </c>
      <c r="AF395" t="str">
        <v>--</v>
      </c>
      <c r="AG395" t="str">
        <v>2022/06/17</v>
      </c>
      <c r="AH395" t="str">
        <v>2022/08/01</v>
      </c>
    </row>
    <row r="396" spans="1:34" x14ac:dyDescent="0.3">
      <c r="A396" t="str">
        <f t="array" ref="A396:J396">[1]!'4908.TW-ID,Name,MarketValue,Capital,NetIncomeGrowthRate,OperIncomeGrowthRate,FinancialStatementsTime,TFXRatio,MonthlyNetSalesYoY,RevenueMonth'</f>
        <v>4908</v>
      </c>
      <c r="B396" t="str">
        <v>前鼎</v>
      </c>
      <c r="C396" t="str">
        <v>26.1</v>
      </c>
      <c r="D396" t="str">
        <v>7.82</v>
      </c>
      <c r="E396" t="str">
        <v>839.90</v>
      </c>
      <c r="F396" t="str">
        <v>678.95</v>
      </c>
      <c r="G396" t="str">
        <v>2022/03</v>
      </c>
      <c r="H396" t="str">
        <v>-23.59</v>
      </c>
      <c r="I396" t="str">
        <v>-5.65</v>
      </c>
      <c r="J396" t="str">
        <v>2022/06</v>
      </c>
      <c r="K396" t="str">
        <f t="array" ref="K396:T396">[1]!'4908.TW-OperatingProfitRatio,Price,PriceChangeRatio,InOutRatioNumber,Value,YearReturn,MonthReturn,WeekReturn,FinanceBalanceDif,ChipsField2'</f>
        <v>27.57</v>
      </c>
      <c r="L396">
        <v>33.4</v>
      </c>
      <c r="M396">
        <v>-1.47</v>
      </c>
      <c r="N396" t="str">
        <v>37.25%</v>
      </c>
      <c r="O396" t="str">
        <v>4709萬</v>
      </c>
      <c r="P396" t="str">
        <v>+20.64</v>
      </c>
      <c r="Q396" t="str">
        <v>+4.70</v>
      </c>
      <c r="R396" t="str">
        <v>+0.45</v>
      </c>
      <c r="S396">
        <v>17</v>
      </c>
      <c r="T396">
        <v>0</v>
      </c>
      <c r="U396">
        <f t="array" ref="U396:AD396">[1]!'4908.TW-ChipsField3,ChipsField1,ChipsField25,CashAndStockDividend,CashDividendYieldRate,ProfitFourSeason,ProfitSingle,CName,ExchangeIndustry,CompanyPos'</f>
        <v>0</v>
      </c>
      <c r="V396">
        <v>129</v>
      </c>
      <c r="W396" t="str">
        <v>--</v>
      </c>
      <c r="X396" t="str">
        <v>1.80</v>
      </c>
      <c r="Y396">
        <v>5.39</v>
      </c>
      <c r="Z396" t="str">
        <v>2.71</v>
      </c>
      <c r="AA396" t="str">
        <v>0.95</v>
      </c>
      <c r="AB396" t="str">
        <v>前鼎</v>
      </c>
      <c r="AC396" t="str">
        <v>上櫃通信網路</v>
      </c>
      <c r="AD396" t="str">
        <v>台灣光收發模組封裝及製造廠</v>
      </c>
      <c r="AE396" t="str">
        <f t="array" ref="AE396:AH396">[1]!'4908.TW-CName,InvestorConferenceDate,DateofMeetingofShareHolders,TradingDate'</f>
        <v>前鼎</v>
      </c>
      <c r="AF396" t="str">
        <v>--</v>
      </c>
      <c r="AG396" t="str">
        <v>2022/06/22</v>
      </c>
      <c r="AH396" t="str">
        <v>2022/08/01</v>
      </c>
    </row>
    <row r="397" spans="1:34" x14ac:dyDescent="0.3">
      <c r="A397" t="str">
        <f t="array" ref="A397:J397">[1]!'4909.TW-ID,Name,MarketValue,Capital,NetIncomeGrowthRate,OperIncomeGrowthRate,FinancialStatementsTime,TFXRatio,MonthlyNetSalesYoY,RevenueMonth'</f>
        <v>4909</v>
      </c>
      <c r="B397" t="str">
        <v>新復興</v>
      </c>
      <c r="C397" t="str">
        <v>15.7</v>
      </c>
      <c r="D397" t="str">
        <v>9.34</v>
      </c>
      <c r="E397" t="str">
        <v>163.30</v>
      </c>
      <c r="F397" t="str">
        <v>-145.08</v>
      </c>
      <c r="G397" t="str">
        <v>2022/03</v>
      </c>
      <c r="H397" t="str">
        <v>1.73</v>
      </c>
      <c r="I397" t="str">
        <v>-25.27</v>
      </c>
      <c r="J397" t="str">
        <v>2022/06</v>
      </c>
      <c r="K397" t="str">
        <f t="array" ref="K397:T397">[1]!'4909.TW-OperatingProfitRatio,Price,PriceChangeRatio,InOutRatioNumber,Value,YearReturn,MonthReturn,WeekReturn,FinanceBalanceDif,ChipsField2'</f>
        <v>-29.12</v>
      </c>
      <c r="L397">
        <v>16.8</v>
      </c>
      <c r="M397">
        <v>-1.47</v>
      </c>
      <c r="N397" t="str">
        <v>38.10%</v>
      </c>
      <c r="O397" t="str">
        <v>229萬</v>
      </c>
      <c r="P397" t="str">
        <v>-30.09</v>
      </c>
      <c r="Q397" t="str">
        <v>+5.99</v>
      </c>
      <c r="R397" t="str">
        <v>+0.60</v>
      </c>
      <c r="S397">
        <v>-12</v>
      </c>
      <c r="T397">
        <v>0</v>
      </c>
      <c r="U397">
        <f t="array" ref="U397:AD397">[1]!'4909.TW-ChipsField3,ChipsField1,ChipsField25,CashAndStockDividend,CashDividendYieldRate,ProfitFourSeason,ProfitSingle,CName,ExchangeIndustry,CompanyPos'</f>
        <v>0</v>
      </c>
      <c r="V397">
        <v>-5</v>
      </c>
      <c r="W397" t="str">
        <v>--</v>
      </c>
      <c r="X397" t="str">
        <v>0.00</v>
      </c>
      <c r="Y397">
        <v>0</v>
      </c>
      <c r="Z397" t="str">
        <v>-0.98</v>
      </c>
      <c r="AA397" t="str">
        <v>0.11</v>
      </c>
      <c r="AB397" t="str">
        <v>新復興</v>
      </c>
      <c r="AC397" t="str">
        <v>上櫃通信網路</v>
      </c>
      <c r="AD397" t="str">
        <v>全球最大LNB用板製造商</v>
      </c>
      <c r="AE397" t="str">
        <f t="array" ref="AE397:AH397">[1]!'4909.TW-CName,InvestorConferenceDate,DateofMeetingofShareHolders,TradingDate'</f>
        <v>新復興</v>
      </c>
      <c r="AF397" t="str">
        <v>--</v>
      </c>
      <c r="AG397" t="str">
        <v>2022/06/24</v>
      </c>
      <c r="AH397" t="str">
        <v>2022/08/01</v>
      </c>
    </row>
    <row r="398" spans="1:34" x14ac:dyDescent="0.3">
      <c r="A398" t="str">
        <f t="array" ref="A398:J398">[1]!'4979.TW-ID,Name,MarketValue,Capital,NetIncomeGrowthRate,OperIncomeGrowthRate,FinancialStatementsTime,TFXRatio,MonthlyNetSalesYoY,RevenueMonth'</f>
        <v>4979</v>
      </c>
      <c r="B398" t="str">
        <v>華星光</v>
      </c>
      <c r="C398" t="str">
        <v>38.4</v>
      </c>
      <c r="D398" t="str">
        <v>13.24</v>
      </c>
      <c r="E398" t="str">
        <v>97.56</v>
      </c>
      <c r="F398" t="str">
        <v>94.05</v>
      </c>
      <c r="G398" t="str">
        <v>2022/03</v>
      </c>
      <c r="H398" t="str">
        <v>9.36</v>
      </c>
      <c r="I398" t="str">
        <v>41.25</v>
      </c>
      <c r="J398" t="str">
        <v>2022/06</v>
      </c>
      <c r="K398" t="str">
        <f t="array" ref="K398:T398">[1]!'4979.TW-OperatingProfitRatio,Price,PriceChangeRatio,InOutRatioNumber,Value,YearReturn,MonthReturn,WeekReturn,FinanceBalanceDif,ChipsField2'</f>
        <v>-2.26</v>
      </c>
      <c r="L398">
        <v>29</v>
      </c>
      <c r="M398">
        <v>-3.49</v>
      </c>
      <c r="N398" t="str">
        <v>33.57%</v>
      </c>
      <c r="O398" t="str">
        <v>6209萬</v>
      </c>
      <c r="P398" t="str">
        <v>+51.83</v>
      </c>
      <c r="Q398" t="str">
        <v>+23.40</v>
      </c>
      <c r="R398" t="str">
        <v>-4.61</v>
      </c>
      <c r="S398">
        <v>-23</v>
      </c>
      <c r="T398">
        <v>0</v>
      </c>
      <c r="U398">
        <f t="array" ref="U398:AD398">[1]!'4979.TW-ChipsField3,ChipsField1,ChipsField25,CashAndStockDividend,CashDividendYieldRate,ProfitFourSeason,ProfitSingle,CName,ExchangeIndustry,CompanyPos'</f>
        <v>0</v>
      </c>
      <c r="V398">
        <v>314</v>
      </c>
      <c r="W398" t="str">
        <v>--</v>
      </c>
      <c r="X398" t="str">
        <v>0.00</v>
      </c>
      <c r="Y398">
        <v>0</v>
      </c>
      <c r="Z398" t="str">
        <v>-1.63</v>
      </c>
      <c r="AA398" t="str">
        <v>-0.01</v>
      </c>
      <c r="AB398" t="str">
        <v>華星光</v>
      </c>
      <c r="AC398" t="str">
        <v>上櫃通信網路</v>
      </c>
      <c r="AD398" t="str">
        <v>台灣光收發模組一貫廠</v>
      </c>
      <c r="AE398" t="str">
        <f t="array" ref="AE398:AH398">[1]!'4979.TW-CName,InvestorConferenceDate,DateofMeetingofShareHolders,TradingDate'</f>
        <v>華星光</v>
      </c>
      <c r="AF398" t="str">
        <v>--</v>
      </c>
      <c r="AG398" t="str">
        <v>2022/06/17</v>
      </c>
      <c r="AH398" t="str">
        <v>2022/08/01</v>
      </c>
    </row>
    <row r="399" spans="1:34" x14ac:dyDescent="0.3">
      <c r="A399" t="str">
        <f t="array" ref="A399:J399">[1]!'5348.TW-ID,Name,MarketValue,Capital,NetIncomeGrowthRate,OperIncomeGrowthRate,FinancialStatementsTime,TFXRatio,MonthlyNetSalesYoY,RevenueMonth'</f>
        <v>5348</v>
      </c>
      <c r="B399" t="str">
        <v>系通</v>
      </c>
      <c r="C399" t="str">
        <v>3.3</v>
      </c>
      <c r="D399" t="str">
        <v>2.90</v>
      </c>
      <c r="E399" t="str">
        <v>94.21</v>
      </c>
      <c r="F399" t="str">
        <v>80.06</v>
      </c>
      <c r="G399" t="str">
        <v>2022/03</v>
      </c>
      <c r="H399" t="str">
        <v>-40.02</v>
      </c>
      <c r="I399" t="str">
        <v>35.89</v>
      </c>
      <c r="J399" t="str">
        <v>2022/06</v>
      </c>
      <c r="K399" t="str">
        <f t="array" ref="K399:T399">[1]!'5348.TW-OperatingProfitRatio,Price,PriceChangeRatio,InOutRatioNumber,Value,YearReturn,MonthReturn,WeekReturn,FinanceBalanceDif,ChipsField2'</f>
        <v>-4.33</v>
      </c>
      <c r="L399">
        <v>11.4</v>
      </c>
      <c r="M399">
        <v>3.64</v>
      </c>
      <c r="N399" t="str">
        <v>40.91%</v>
      </c>
      <c r="O399" t="str">
        <v>25.9萬</v>
      </c>
      <c r="P399" t="str">
        <v>+45.41</v>
      </c>
      <c r="Q399" t="str">
        <v>+20.00</v>
      </c>
      <c r="R399" t="str">
        <v>+14.11</v>
      </c>
      <c r="S399">
        <v>0</v>
      </c>
      <c r="T399">
        <v>0</v>
      </c>
      <c r="U399">
        <f t="array" ref="U399:AD399">[1]!'5348.TW-ChipsField3,ChipsField1,ChipsField25,CashAndStockDividend,CashDividendYieldRate,ProfitFourSeason,ProfitSingle,CName,ExchangeIndustry,CompanyPos'</f>
        <v>0</v>
      </c>
      <c r="V399">
        <v>0</v>
      </c>
      <c r="W399" t="str">
        <v>--</v>
      </c>
      <c r="X399" t="str">
        <v>0.00</v>
      </c>
      <c r="Y399">
        <v>0</v>
      </c>
      <c r="Z399" t="str">
        <v>-0.31</v>
      </c>
      <c r="AA399" t="str">
        <v>-0.01</v>
      </c>
      <c r="AB399" t="str">
        <v>系通</v>
      </c>
      <c r="AC399" t="str">
        <v>上櫃通信網路</v>
      </c>
      <c r="AD399" t="str">
        <v>主要生產GPS與無線寬頻產品</v>
      </c>
      <c r="AE399" t="str">
        <f t="array" ref="AE399:AH399">[1]!'5348.TW-CName,InvestorConferenceDate,DateofMeetingofShareHolders,TradingDate'</f>
        <v>系通</v>
      </c>
      <c r="AF399" t="str">
        <v>--</v>
      </c>
      <c r="AG399" t="str">
        <v>2022/06/29</v>
      </c>
      <c r="AH399" t="str">
        <v>2022/08/01</v>
      </c>
    </row>
    <row r="400" spans="1:34" x14ac:dyDescent="0.3">
      <c r="A400" t="str">
        <f t="array" ref="A400:J400">[1]!'5353.TW-ID,Name,MarketValue,Capital,NetIncomeGrowthRate,OperIncomeGrowthRate,FinancialStatementsTime,TFXRatio,MonthlyNetSalesYoY,RevenueMonth'</f>
        <v>5353</v>
      </c>
      <c r="B400" t="str">
        <v>台林</v>
      </c>
      <c r="C400" t="str">
        <v>23.3</v>
      </c>
      <c r="D400" t="str">
        <v>7.50</v>
      </c>
      <c r="E400" t="str">
        <v>26.08</v>
      </c>
      <c r="F400" t="str">
        <v>186.36</v>
      </c>
      <c r="G400" t="str">
        <v>2022/03</v>
      </c>
      <c r="H400" t="str">
        <v>4.31</v>
      </c>
      <c r="I400" t="str">
        <v>26.96</v>
      </c>
      <c r="J400" t="str">
        <v>2022/06</v>
      </c>
      <c r="K400" t="str">
        <f t="array" ref="K400:T400">[1]!'5353.TW-OperatingProfitRatio,Price,PriceChangeRatio,InOutRatioNumber,Value,YearReturn,MonthReturn,WeekReturn,FinanceBalanceDif,ChipsField2'</f>
        <v>6.55</v>
      </c>
      <c r="L400">
        <v>31.1</v>
      </c>
      <c r="M400">
        <v>-2.35</v>
      </c>
      <c r="N400" t="str">
        <v>26.12%</v>
      </c>
      <c r="O400" t="str">
        <v>1.78億</v>
      </c>
      <c r="P400" t="str">
        <v>+95.08</v>
      </c>
      <c r="Q400" t="str">
        <v>+45.67</v>
      </c>
      <c r="R400" t="str">
        <v>+11.67</v>
      </c>
      <c r="S400">
        <v>-760</v>
      </c>
      <c r="T400">
        <v>0</v>
      </c>
      <c r="U400">
        <f t="array" ref="U400:AD400">[1]!'5353.TW-ChipsField3,ChipsField1,ChipsField25,CashAndStockDividend,CashDividendYieldRate,ProfitFourSeason,ProfitSingle,CName,ExchangeIndustry,CompanyPos'</f>
        <v>0</v>
      </c>
      <c r="V400">
        <v>1156</v>
      </c>
      <c r="W400" t="str">
        <v>2022/07/01</v>
      </c>
      <c r="X400" t="str">
        <v>0.90</v>
      </c>
      <c r="Y400">
        <v>2.89</v>
      </c>
      <c r="Z400" t="str">
        <v>1.07</v>
      </c>
      <c r="AA400" t="str">
        <v>0.28</v>
      </c>
      <c r="AB400" t="str">
        <v>台林</v>
      </c>
      <c r="AC400" t="str">
        <v>上櫃通信網路</v>
      </c>
      <c r="AD400" t="str">
        <v>有線、無線寬頻網路、工業電腦製造商</v>
      </c>
      <c r="AE400" t="str">
        <f t="array" ref="AE400:AH400">[1]!'5353.TW-CName,InvestorConferenceDate,DateofMeetingofShareHolders,TradingDate'</f>
        <v>台林</v>
      </c>
      <c r="AF400" t="str">
        <v>2022/07/14</v>
      </c>
      <c r="AG400" t="str">
        <v>2022/06/09</v>
      </c>
      <c r="AH400" t="str">
        <v>2022/08/01</v>
      </c>
    </row>
    <row r="401" spans="1:34" x14ac:dyDescent="0.3">
      <c r="A401" t="str">
        <f t="array" ref="A401:J401">[1]!'6143.TW-ID,Name,MarketValue,Capital,NetIncomeGrowthRate,OperIncomeGrowthRate,FinancialStatementsTime,TFXRatio,MonthlyNetSalesYoY,RevenueMonth'</f>
        <v>6143</v>
      </c>
      <c r="B401" t="str">
        <v>振曜</v>
      </c>
      <c r="C401" t="str">
        <v>41.5</v>
      </c>
      <c r="D401" t="str">
        <v>8.30</v>
      </c>
      <c r="E401" t="str">
        <v>11.00</v>
      </c>
      <c r="F401" t="str">
        <v>-42.62</v>
      </c>
      <c r="G401" t="str">
        <v>2022/03</v>
      </c>
      <c r="H401" t="str">
        <v>17.92</v>
      </c>
      <c r="I401" t="str">
        <v>5.61</v>
      </c>
      <c r="J401" t="str">
        <v>2022/06</v>
      </c>
      <c r="K401" t="str">
        <f t="array" ref="K401:T401">[1]!'6143.TW-OperatingProfitRatio,Price,PriceChangeRatio,InOutRatioNumber,Value,YearReturn,MonthReturn,WeekReturn,FinanceBalanceDif,ChipsField2'</f>
        <v>3.93</v>
      </c>
      <c r="L401">
        <v>50</v>
      </c>
      <c r="M401">
        <v>-1.77</v>
      </c>
      <c r="N401" t="str">
        <v>36.24%</v>
      </c>
      <c r="O401" t="str">
        <v>4198萬</v>
      </c>
      <c r="P401" t="str">
        <v>-16.81</v>
      </c>
      <c r="Q401" t="str">
        <v>-10.23</v>
      </c>
      <c r="R401" t="str">
        <v>-0.40</v>
      </c>
      <c r="S401">
        <v>-125</v>
      </c>
      <c r="T401">
        <v>-50</v>
      </c>
      <c r="U401">
        <f t="array" ref="U401:AD401">[1]!'6143.TW-ChipsField3,ChipsField1,ChipsField25,CashAndStockDividend,CashDividendYieldRate,ProfitFourSeason,ProfitSingle,CName,ExchangeIndustry,CompanyPos'</f>
        <v>-14</v>
      </c>
      <c r="V401">
        <v>225</v>
      </c>
      <c r="W401" t="str">
        <v>2022/08/11</v>
      </c>
      <c r="X401" t="str">
        <v>2.50</v>
      </c>
      <c r="Y401">
        <v>5</v>
      </c>
      <c r="Z401" t="str">
        <v>3.05</v>
      </c>
      <c r="AA401" t="str">
        <v>0.73</v>
      </c>
      <c r="AB401" t="str">
        <v>振曜</v>
      </c>
      <c r="AC401" t="str">
        <v>上櫃通信網路</v>
      </c>
      <c r="AD401" t="str">
        <v>台灣網路設備與電子書組裝廠</v>
      </c>
      <c r="AE401" t="str">
        <f t="array" ref="AE401:AH401">[1]!'6143.TW-CName,InvestorConferenceDate,DateofMeetingofShareHolders,TradingDate'</f>
        <v>振曜</v>
      </c>
      <c r="AF401" t="str">
        <v>--</v>
      </c>
      <c r="AG401" t="str">
        <v>2022/06/10</v>
      </c>
      <c r="AH401" t="str">
        <v>2022/08/01</v>
      </c>
    </row>
    <row r="402" spans="1:34" x14ac:dyDescent="0.3">
      <c r="A402" t="str">
        <f t="array" ref="A402:J402">[1]!'6163.TW-ID,Name,MarketValue,Capital,NetIncomeGrowthRate,OperIncomeGrowthRate,FinancialStatementsTime,TFXRatio,MonthlyNetSalesYoY,RevenueMonth'</f>
        <v>6163</v>
      </c>
      <c r="B402" t="str">
        <v>華電網</v>
      </c>
      <c r="C402" t="str">
        <v>20.1</v>
      </c>
      <c r="D402" t="str">
        <v>13.37</v>
      </c>
      <c r="E402" t="str">
        <v>-1244.76</v>
      </c>
      <c r="F402" t="str">
        <v>-517.92</v>
      </c>
      <c r="G402" t="str">
        <v>2022/03</v>
      </c>
      <c r="H402" t="str">
        <v>14.80</v>
      </c>
      <c r="I402" t="str">
        <v>2.94</v>
      </c>
      <c r="J402" t="str">
        <v>2022/06</v>
      </c>
      <c r="K402" t="str">
        <f t="array" ref="K402:T402">[1]!'6163.TW-OperatingProfitRatio,Price,PriceChangeRatio,InOutRatioNumber,Value,YearReturn,MonthReturn,WeekReturn,FinanceBalanceDif,ChipsField2'</f>
        <v>-7.89</v>
      </c>
      <c r="L402">
        <v>15</v>
      </c>
      <c r="M402">
        <v>0.33</v>
      </c>
      <c r="N402" t="str">
        <v>34.24%</v>
      </c>
      <c r="O402" t="str">
        <v>534萬</v>
      </c>
      <c r="P402" t="str">
        <v>-18.26</v>
      </c>
      <c r="Q402" t="str">
        <v>+0.33</v>
      </c>
      <c r="R402" t="str">
        <v>+0.67</v>
      </c>
      <c r="S402">
        <v>-31</v>
      </c>
      <c r="T402">
        <v>0</v>
      </c>
      <c r="U402">
        <f t="array" ref="U402:AD402">[1]!'6163.TW-ChipsField3,ChipsField1,ChipsField25,CashAndStockDividend,CashDividendYieldRate,ProfitFourSeason,ProfitSingle,CName,ExchangeIndustry,CompanyPos'</f>
        <v>0</v>
      </c>
      <c r="V402">
        <v>3</v>
      </c>
      <c r="W402" t="str">
        <v>--</v>
      </c>
      <c r="X402" t="str">
        <v>0.30</v>
      </c>
      <c r="Y402">
        <v>2</v>
      </c>
      <c r="Z402" t="str">
        <v>0.87</v>
      </c>
      <c r="AA402" t="str">
        <v>-0.54</v>
      </c>
      <c r="AB402" t="str">
        <v>華電網</v>
      </c>
      <c r="AC402" t="str">
        <v>上櫃通信網路</v>
      </c>
      <c r="AD402" t="str">
        <v>電信系統整合大廠，並跨足智慧城控與交通機電業務</v>
      </c>
      <c r="AE402" t="str">
        <f t="array" ref="AE402:AH402">[1]!'6163.TW-CName,InvestorConferenceDate,DateofMeetingofShareHolders,TradingDate'</f>
        <v>華電網</v>
      </c>
      <c r="AF402" t="str">
        <v>--</v>
      </c>
      <c r="AG402" t="str">
        <v>2022/06/23</v>
      </c>
      <c r="AH402" t="str">
        <v>2022/08/01</v>
      </c>
    </row>
    <row r="403" spans="1:34" x14ac:dyDescent="0.3">
      <c r="A403" t="str">
        <f t="array" ref="A403:J403">[1]!'6170.TW-ID,Name,MarketValue,Capital,NetIncomeGrowthRate,OperIncomeGrowthRate,FinancialStatementsTime,TFXRatio,MonthlyNetSalesYoY,RevenueMonth'</f>
        <v>6170</v>
      </c>
      <c r="B403" t="str">
        <v>統振</v>
      </c>
      <c r="C403" t="str">
        <v>23.4</v>
      </c>
      <c r="D403" t="str">
        <v>8.97</v>
      </c>
      <c r="E403" t="str">
        <v>29.34</v>
      </c>
      <c r="F403" t="str">
        <v>-19.85</v>
      </c>
      <c r="G403" t="str">
        <v>2022/03</v>
      </c>
      <c r="H403" t="str">
        <v>-53.52</v>
      </c>
      <c r="I403" t="str">
        <v>-23.02</v>
      </c>
      <c r="J403" t="str">
        <v>2022/06</v>
      </c>
      <c r="K403" t="str">
        <f t="array" ref="K403:T403">[1]!'6170.TW-OperatingProfitRatio,Price,PriceChangeRatio,InOutRatioNumber,Value,YearReturn,MonthReturn,WeekReturn,FinanceBalanceDif,ChipsField2'</f>
        <v>4.94</v>
      </c>
      <c r="L403">
        <v>26.1</v>
      </c>
      <c r="M403">
        <v>1.36</v>
      </c>
      <c r="N403" t="str">
        <v>52.23%</v>
      </c>
      <c r="O403" t="str">
        <v>408萬</v>
      </c>
      <c r="P403" t="str">
        <v>-27.97</v>
      </c>
      <c r="Q403" t="str">
        <v>+7.28</v>
      </c>
      <c r="R403" t="str">
        <v>+4.19</v>
      </c>
      <c r="S403">
        <v>0</v>
      </c>
      <c r="T403">
        <v>0</v>
      </c>
      <c r="U403">
        <f t="array" ref="U403:AD403">[1]!'6170.TW-ChipsField3,ChipsField1,ChipsField25,CashAndStockDividend,CashDividendYieldRate,ProfitFourSeason,ProfitSingle,CName,ExchangeIndustry,CompanyPos'</f>
        <v>0</v>
      </c>
      <c r="V403">
        <v>-21</v>
      </c>
      <c r="W403" t="str">
        <v>2022/07/14</v>
      </c>
      <c r="X403" t="str">
        <v>1.60</v>
      </c>
      <c r="Y403">
        <v>6.13</v>
      </c>
      <c r="Z403" t="str">
        <v>1.96</v>
      </c>
      <c r="AA403" t="str">
        <v>0.54</v>
      </c>
      <c r="AB403" t="str">
        <v>統振</v>
      </c>
      <c r="AC403" t="str">
        <v>上櫃通信網路</v>
      </c>
      <c r="AD403" t="str">
        <v>台灣從事電信、數據預付卡業務之廠商</v>
      </c>
      <c r="AE403" t="str">
        <f t="array" ref="AE403:AH403">[1]!'6170.TW-CName,InvestorConferenceDate,DateofMeetingofShareHolders,TradingDate'</f>
        <v>統振</v>
      </c>
      <c r="AF403" t="str">
        <v>2021/12/21</v>
      </c>
      <c r="AG403" t="str">
        <v>2022/06/14</v>
      </c>
      <c r="AH403" t="str">
        <v>2022/08/01</v>
      </c>
    </row>
    <row r="404" spans="1:34" x14ac:dyDescent="0.3">
      <c r="A404" t="str">
        <f t="array" ref="A404:J404">[1]!'6190.TW-ID,Name,MarketValue,Capital,NetIncomeGrowthRate,OperIncomeGrowthRate,FinancialStatementsTime,TFXRatio,MonthlyNetSalesYoY,RevenueMonth'</f>
        <v>6190</v>
      </c>
      <c r="B404" t="str">
        <v>萬泰科</v>
      </c>
      <c r="C404" t="str">
        <v>56.1</v>
      </c>
      <c r="D404" t="str">
        <v>16.16</v>
      </c>
      <c r="E404" t="str">
        <v>111.51</v>
      </c>
      <c r="F404" t="str">
        <v>47.08</v>
      </c>
      <c r="G404" t="str">
        <v>2022/03</v>
      </c>
      <c r="H404" t="str">
        <v>-1.37</v>
      </c>
      <c r="I404" t="str">
        <v>30.62</v>
      </c>
      <c r="J404" t="str">
        <v>2022/06</v>
      </c>
      <c r="K404" t="str">
        <f t="array" ref="K404:T404">[1]!'6190.TW-OperatingProfitRatio,Price,PriceChangeRatio,InOutRatioNumber,Value,YearReturn,MonthReturn,WeekReturn,FinanceBalanceDif,ChipsField2'</f>
        <v>4.75</v>
      </c>
      <c r="L404">
        <v>34.799999999999997</v>
      </c>
      <c r="M404">
        <v>0.72</v>
      </c>
      <c r="N404" t="str">
        <v>46.50%</v>
      </c>
      <c r="O404" t="str">
        <v>3467萬</v>
      </c>
      <c r="P404" t="str">
        <v>+46.99</v>
      </c>
      <c r="Q404" t="str">
        <v>+12.96</v>
      </c>
      <c r="R404" t="str">
        <v>+4.03</v>
      </c>
      <c r="S404">
        <v>-25</v>
      </c>
      <c r="T404">
        <v>0</v>
      </c>
      <c r="U404">
        <f t="array" ref="U404:AD404">[1]!'6190.TW-ChipsField3,ChipsField1,ChipsField25,CashAndStockDividend,CashDividendYieldRate,ProfitFourSeason,ProfitSingle,CName,ExchangeIndustry,CompanyPos'</f>
        <v>37</v>
      </c>
      <c r="V404">
        <v>231</v>
      </c>
      <c r="W404" t="str">
        <v>2022/08/01</v>
      </c>
      <c r="X404" t="str">
        <v>1.39</v>
      </c>
      <c r="Y404">
        <v>3.99</v>
      </c>
      <c r="Z404" t="str">
        <v>1.97</v>
      </c>
      <c r="AA404" t="str">
        <v>0.57</v>
      </c>
      <c r="AB404" t="str">
        <v>萬泰科</v>
      </c>
      <c r="AC404" t="str">
        <v>上櫃通信網路</v>
      </c>
      <c r="AD404" t="str">
        <v>主要生產網通、醫療、車用等市場應用的線材供應商</v>
      </c>
      <c r="AE404" t="str">
        <f t="array" ref="AE404:AH404">[1]!'6190.TW-CName,InvestorConferenceDate,DateofMeetingofShareHolders,TradingDate'</f>
        <v>萬泰科</v>
      </c>
      <c r="AF404" t="str">
        <v>2021/11/22</v>
      </c>
      <c r="AG404" t="str">
        <v>2022/06/08</v>
      </c>
      <c r="AH404" t="str">
        <v>2022/08/01</v>
      </c>
    </row>
    <row r="405" spans="1:34" x14ac:dyDescent="0.3">
      <c r="A405" t="str">
        <f t="array" ref="A405:J405">[1]!'6218.TW-ID,Name,MarketValue,Capital,NetIncomeGrowthRate,OperIncomeGrowthRate,FinancialStatementsTime,TFXRatio,MonthlyNetSalesYoY,RevenueMonth'</f>
        <v>6218</v>
      </c>
      <c r="B405" t="str">
        <v>豪勉</v>
      </c>
      <c r="C405" t="str">
        <v>12.9</v>
      </c>
      <c r="D405" t="str">
        <v>6.43</v>
      </c>
      <c r="E405" t="str">
        <v>2719.14</v>
      </c>
      <c r="F405" t="str">
        <v>265.98</v>
      </c>
      <c r="G405" t="str">
        <v>2022/03</v>
      </c>
      <c r="H405" t="str">
        <v>32.68</v>
      </c>
      <c r="I405" t="str">
        <v>26.45</v>
      </c>
      <c r="J405" t="str">
        <v>2022/06</v>
      </c>
      <c r="K405" t="str">
        <f t="array" ref="K405:T405">[1]!'6218.TW-OperatingProfitRatio,Price,PriceChangeRatio,InOutRatioNumber,Value,YearReturn,MonthReturn,WeekReturn,FinanceBalanceDif,ChipsField2'</f>
        <v>8.04</v>
      </c>
      <c r="L405">
        <v>20.05</v>
      </c>
      <c r="M405">
        <v>3.35</v>
      </c>
      <c r="N405" t="str">
        <v>90.38%</v>
      </c>
      <c r="O405" t="str">
        <v>534萬</v>
      </c>
      <c r="P405" t="str">
        <v>+10.27</v>
      </c>
      <c r="Q405" t="str">
        <v>+6.93</v>
      </c>
      <c r="R405" t="str">
        <v>+3.89</v>
      </c>
      <c r="S405">
        <v>3</v>
      </c>
      <c r="T405">
        <v>0</v>
      </c>
      <c r="U405">
        <f t="array" ref="U405:AD405">[1]!'6218.TW-ChipsField3,ChipsField1,ChipsField25,CashAndStockDividend,CashDividendYieldRate,ProfitFourSeason,ProfitSingle,CName,ExchangeIndustry,CompanyPos'</f>
        <v>0</v>
      </c>
      <c r="V405">
        <v>0</v>
      </c>
      <c r="W405" t="str">
        <v>--</v>
      </c>
      <c r="X405" t="str">
        <v>1.00</v>
      </c>
      <c r="Y405">
        <v>4.99</v>
      </c>
      <c r="Z405" t="str">
        <v>0.89</v>
      </c>
      <c r="AA405" t="str">
        <v>0.19</v>
      </c>
      <c r="AB405" t="str">
        <v>豪勉</v>
      </c>
      <c r="AC405" t="str">
        <v>上櫃通信網路</v>
      </c>
      <c r="AD405" t="str">
        <v>主要從事通訊網路系統整合服務與半導體封測設備代理銷售及安裝、維修</v>
      </c>
      <c r="AE405" t="str">
        <f t="array" ref="AE405:AH405">[1]!'6218.TW-CName,InvestorConferenceDate,DateofMeetingofShareHolders,TradingDate'</f>
        <v>豪勉</v>
      </c>
      <c r="AF405" t="str">
        <v>--</v>
      </c>
      <c r="AG405" t="str">
        <v>2022/06/09</v>
      </c>
      <c r="AH405" t="str">
        <v>2022/08/01</v>
      </c>
    </row>
    <row r="406" spans="1:34" x14ac:dyDescent="0.3">
      <c r="A406" t="str">
        <f t="array" ref="A406:J406">[1]!'6241.TW-ID,Name,MarketValue,Capital,NetIncomeGrowthRate,OperIncomeGrowthRate,FinancialStatementsTime,TFXRatio,MonthlyNetSalesYoY,RevenueMonth'</f>
        <v>6241</v>
      </c>
      <c r="B406" t="str">
        <v>易通展</v>
      </c>
      <c r="C406" t="str">
        <v>8.6</v>
      </c>
      <c r="D406" t="str">
        <v>3.37</v>
      </c>
      <c r="E406" t="str">
        <v>105.29</v>
      </c>
      <c r="F406" t="str">
        <v>104.16</v>
      </c>
      <c r="G406" t="str">
        <v>2022/03</v>
      </c>
      <c r="H406" t="str">
        <v>25.44</v>
      </c>
      <c r="I406" t="str">
        <v>41962.30</v>
      </c>
      <c r="J406" t="str">
        <v>2022/06</v>
      </c>
      <c r="K406" t="str">
        <f t="array" ref="K406:T406">[1]!'6241.TW-OperatingProfitRatio,Price,PriceChangeRatio,InOutRatioNumber,Value,YearReturn,MonthReturn,WeekReturn,FinanceBalanceDif,ChipsField2'</f>
        <v>0.21</v>
      </c>
      <c r="L406">
        <v>25.4</v>
      </c>
      <c r="M406">
        <v>9.9600000000000009</v>
      </c>
      <c r="N406" t="str">
        <v>93.67%</v>
      </c>
      <c r="O406" t="str">
        <v>4027萬</v>
      </c>
      <c r="P406" t="str">
        <v>+27.00</v>
      </c>
      <c r="Q406" t="str">
        <v>+34.75</v>
      </c>
      <c r="R406" t="str">
        <v>+15.19</v>
      </c>
      <c r="S406">
        <v>0</v>
      </c>
      <c r="T406">
        <v>0</v>
      </c>
      <c r="U406">
        <f t="array" ref="U406:AD406">[1]!'6241.TW-ChipsField3,ChipsField1,ChipsField25,CashAndStockDividend,CashDividendYieldRate,ProfitFourSeason,ProfitSingle,CName,ExchangeIndustry,CompanyPos'</f>
        <v>0</v>
      </c>
      <c r="V406">
        <v>183</v>
      </c>
      <c r="W406" t="str">
        <v>--</v>
      </c>
      <c r="X406" t="str">
        <v>0.00</v>
      </c>
      <c r="Y406">
        <v>0</v>
      </c>
      <c r="Z406" t="str">
        <v>-2.63</v>
      </c>
      <c r="AA406" t="str">
        <v>0.02</v>
      </c>
      <c r="AB406" t="str">
        <v>易通展</v>
      </c>
      <c r="AC406" t="str">
        <v>上櫃通信網路</v>
      </c>
      <c r="AD406" t="str">
        <v>企業級及電信級無線網路通訊產品代工廠</v>
      </c>
      <c r="AE406" t="str">
        <f t="array" ref="AE406:AH406">[1]!'6241.TW-CName,InvestorConferenceDate,DateofMeetingofShareHolders,TradingDate'</f>
        <v>易通展</v>
      </c>
      <c r="AF406" t="str">
        <v>--</v>
      </c>
      <c r="AG406" t="str">
        <v>2022/06/21</v>
      </c>
      <c r="AH406" t="str">
        <v>2022/08/01</v>
      </c>
    </row>
    <row r="407" spans="1:34" x14ac:dyDescent="0.3">
      <c r="A407" t="str">
        <f t="array" ref="A407:J407">[1]!'6245.TW-ID,Name,MarketValue,Capital,NetIncomeGrowthRate,OperIncomeGrowthRate,FinancialStatementsTime,TFXRatio,MonthlyNetSalesYoY,RevenueMonth'</f>
        <v>6245</v>
      </c>
      <c r="B407" t="str">
        <v>立端</v>
      </c>
      <c r="C407" t="str">
        <v>83.1</v>
      </c>
      <c r="D407" t="str">
        <v>11.80</v>
      </c>
      <c r="E407" t="str">
        <v>-0.78</v>
      </c>
      <c r="F407" t="str">
        <v>-13.76</v>
      </c>
      <c r="G407" t="str">
        <v>2022/03</v>
      </c>
      <c r="H407" t="str">
        <v>-4.48</v>
      </c>
      <c r="I407" t="str">
        <v>44.56</v>
      </c>
      <c r="J407" t="str">
        <v>2022/06</v>
      </c>
      <c r="K407" t="str">
        <f t="array" ref="K407:T407">[1]!'6245.TW-OperatingProfitRatio,Price,PriceChangeRatio,InOutRatioNumber,Value,YearReturn,MonthReturn,WeekReturn,FinanceBalanceDif,ChipsField2'</f>
        <v>6.47</v>
      </c>
      <c r="L407">
        <v>70.400000000000006</v>
      </c>
      <c r="M407">
        <v>3.07</v>
      </c>
      <c r="N407" t="str">
        <v>54.00%</v>
      </c>
      <c r="O407" t="str">
        <v>6.81億</v>
      </c>
      <c r="P407" t="str">
        <v>+27.95</v>
      </c>
      <c r="Q407" t="str">
        <v>+13.37</v>
      </c>
      <c r="R407" t="str">
        <v>+4.45</v>
      </c>
      <c r="S407">
        <v>-180</v>
      </c>
      <c r="T407">
        <v>100</v>
      </c>
      <c r="U407">
        <f t="array" ref="U407:AD407">[1]!'6245.TW-ChipsField3,ChipsField1,ChipsField25,CashAndStockDividend,CashDividendYieldRate,ProfitFourSeason,ProfitSingle,CName,ExchangeIndustry,CompanyPos'</f>
        <v>131</v>
      </c>
      <c r="V407">
        <v>1465</v>
      </c>
      <c r="W407" t="str">
        <v>2022/08/29</v>
      </c>
      <c r="X407" t="str">
        <v>3.00</v>
      </c>
      <c r="Y407">
        <v>4.26</v>
      </c>
      <c r="Z407" t="str">
        <v>4.70</v>
      </c>
      <c r="AA407" t="str">
        <v>0.95</v>
      </c>
      <c r="AB407" t="str">
        <v>立端</v>
      </c>
      <c r="AC407" t="str">
        <v>上櫃通信網路</v>
      </c>
      <c r="AD407" t="str">
        <v>專攻網路安全設備廠商</v>
      </c>
      <c r="AE407" t="str">
        <f t="array" ref="AE407:AH407">[1]!'6245.TW-CName,InvestorConferenceDate,DateofMeetingofShareHolders,TradingDate'</f>
        <v>立端</v>
      </c>
      <c r="AF407" t="str">
        <v>--</v>
      </c>
      <c r="AG407" t="str">
        <v>2022/06/17</v>
      </c>
      <c r="AH407" t="str">
        <v>2022/08/01</v>
      </c>
    </row>
    <row r="408" spans="1:34" x14ac:dyDescent="0.3">
      <c r="A408" t="str">
        <f t="array" ref="A408:J408">[1]!'6263.TW-ID,Name,MarketValue,Capital,NetIncomeGrowthRate,OperIncomeGrowthRate,FinancialStatementsTime,TFXRatio,MonthlyNetSalesYoY,RevenueMonth'</f>
        <v>6263</v>
      </c>
      <c r="B408" t="str">
        <v>普萊德</v>
      </c>
      <c r="C408" t="str">
        <v>47.5</v>
      </c>
      <c r="D408" t="str">
        <v>6.25</v>
      </c>
      <c r="E408" t="str">
        <v>22.77</v>
      </c>
      <c r="F408" t="str">
        <v>14.33</v>
      </c>
      <c r="G408" t="str">
        <v>2022/03</v>
      </c>
      <c r="H408" t="str">
        <v>12.89</v>
      </c>
      <c r="I408" t="str">
        <v>46.12</v>
      </c>
      <c r="J408" t="str">
        <v>2022/06</v>
      </c>
      <c r="K408" t="str">
        <f t="array" ref="K408:T408">[1]!'6263.TW-OperatingProfitRatio,Price,PriceChangeRatio,InOutRatioNumber,Value,YearReturn,MonthReturn,WeekReturn,FinanceBalanceDif,ChipsField2'</f>
        <v>24.71</v>
      </c>
      <c r="L408">
        <v>76</v>
      </c>
      <c r="M408">
        <v>0.13</v>
      </c>
      <c r="N408" t="str">
        <v>16.67%</v>
      </c>
      <c r="O408" t="str">
        <v>327萬</v>
      </c>
      <c r="P408" t="str">
        <v>+26.35</v>
      </c>
      <c r="Q408" t="str">
        <v>+11.51</v>
      </c>
      <c r="R408" t="str">
        <v>+2.21</v>
      </c>
      <c r="S408">
        <v>0</v>
      </c>
      <c r="T408">
        <v>0</v>
      </c>
      <c r="U408">
        <f t="array" ref="U408:AD408">[1]!'6263.TW-ChipsField3,ChipsField1,ChipsField25,CashAndStockDividend,CashDividendYieldRate,ProfitFourSeason,ProfitSingle,CName,ExchangeIndustry,CompanyPos'</f>
        <v>0</v>
      </c>
      <c r="V408">
        <v>10</v>
      </c>
      <c r="W408" t="str">
        <v>2022/07/28</v>
      </c>
      <c r="X408" t="str">
        <v>4.70</v>
      </c>
      <c r="Y408">
        <v>6.18</v>
      </c>
      <c r="Z408" t="str">
        <v>5.37</v>
      </c>
      <c r="AA408" t="str">
        <v>1.25</v>
      </c>
      <c r="AB408" t="str">
        <v>普萊德</v>
      </c>
      <c r="AC408" t="str">
        <v>上櫃通信網路</v>
      </c>
      <c r="AD408" t="str">
        <v>以PLANET品牌行銷的網通設備廠</v>
      </c>
      <c r="AE408" t="str">
        <f t="array" ref="AE408:AH408">[1]!'6263.TW-CName,InvestorConferenceDate,DateofMeetingofShareHolders,TradingDate'</f>
        <v>普萊德</v>
      </c>
      <c r="AF408" t="str">
        <v>2021/11/24</v>
      </c>
      <c r="AG408" t="str">
        <v>2022/05/27</v>
      </c>
      <c r="AH408" t="str">
        <v>2022/08/01</v>
      </c>
    </row>
    <row r="409" spans="1:34" x14ac:dyDescent="0.3">
      <c r="A409" t="str">
        <f t="array" ref="A409:J409">[1]!'6417.TW-ID,Name,MarketValue,Capital,NetIncomeGrowthRate,OperIncomeGrowthRate,FinancialStatementsTime,TFXRatio,MonthlyNetSalesYoY,RevenueMonth'</f>
        <v>6417</v>
      </c>
      <c r="B409" t="str">
        <v>韋僑</v>
      </c>
      <c r="C409" t="str">
        <v>31.2</v>
      </c>
      <c r="D409" t="str">
        <v>4.23</v>
      </c>
      <c r="E409" t="str">
        <v>6.68</v>
      </c>
      <c r="F409" t="str">
        <v>-20.10</v>
      </c>
      <c r="G409" t="str">
        <v>2022/03</v>
      </c>
      <c r="H409" t="str">
        <v>-1.49</v>
      </c>
      <c r="I409" t="str">
        <v>13.48</v>
      </c>
      <c r="J409" t="str">
        <v>2022/06</v>
      </c>
      <c r="K409" t="str">
        <f t="array" ref="K409:T409">[1]!'6417.TW-OperatingProfitRatio,Price,PriceChangeRatio,InOutRatioNumber,Value,YearReturn,MonthReturn,WeekReturn,FinanceBalanceDif,ChipsField2'</f>
        <v>8.82</v>
      </c>
      <c r="L409" t="str">
        <v>--</v>
      </c>
      <c r="M409" t="str">
        <v>--</v>
      </c>
      <c r="N409" t="str">
        <v>--</v>
      </c>
      <c r="O409" t="str">
        <v>--</v>
      </c>
      <c r="P409" t="str">
        <v>+2.21</v>
      </c>
      <c r="Q409" t="str">
        <v>+2.35</v>
      </c>
      <c r="R409" t="str">
        <v>0.00</v>
      </c>
      <c r="S409">
        <v>0</v>
      </c>
      <c r="T409">
        <v>0</v>
      </c>
      <c r="U409">
        <f t="array" ref="U409:AD409">[1]!'6417.TW-ChipsField3,ChipsField1,ChipsField25,CashAndStockDividend,CashDividendYieldRate,ProfitFourSeason,ProfitSingle,CName,ExchangeIndustry,CompanyPos'</f>
        <v>0</v>
      </c>
      <c r="V409">
        <v>0</v>
      </c>
      <c r="W409" t="str">
        <v>2022/07/25</v>
      </c>
      <c r="X409" t="str">
        <v>1.50</v>
      </c>
      <c r="Y409">
        <v>2.0299999999999998</v>
      </c>
      <c r="Z409" t="str">
        <v>3.03</v>
      </c>
      <c r="AA409" t="str">
        <v>0.54</v>
      </c>
      <c r="AB409" t="str">
        <v>韋僑</v>
      </c>
      <c r="AC409" t="str">
        <v>上櫃通信網路</v>
      </c>
      <c r="AD409" t="str">
        <v>台灣RFID Tag製造商</v>
      </c>
      <c r="AE409" t="str">
        <f t="array" ref="AE409:AH409">[1]!'6417.TW-CName,InvestorConferenceDate,DateofMeetingofShareHolders,TradingDate'</f>
        <v>韋僑</v>
      </c>
      <c r="AF409" t="str">
        <v>2021/11/18</v>
      </c>
      <c r="AG409" t="str">
        <v>2022/05/27</v>
      </c>
      <c r="AH409" t="str">
        <v>2022/08/01</v>
      </c>
    </row>
    <row r="410" spans="1:34" x14ac:dyDescent="0.3">
      <c r="A410" t="str">
        <f t="array" ref="A410:J410">[1]!'6465.TW-ID,Name,MarketValue,Capital,NetIncomeGrowthRate,OperIncomeGrowthRate,FinancialStatementsTime,TFXRatio,MonthlyNetSalesYoY,RevenueMonth'</f>
        <v>6465</v>
      </c>
      <c r="B410" t="str">
        <v>威潤</v>
      </c>
      <c r="C410" t="str">
        <v>6.1</v>
      </c>
      <c r="D410" t="str">
        <v>3.23</v>
      </c>
      <c r="E410" t="str">
        <v>-31.45</v>
      </c>
      <c r="F410" t="str">
        <v>-44.19</v>
      </c>
      <c r="G410" t="str">
        <v>2022/03</v>
      </c>
      <c r="H410" t="str">
        <v>-13.14</v>
      </c>
      <c r="I410" t="str">
        <v>-41.32</v>
      </c>
      <c r="J410" t="str">
        <v>2022/06</v>
      </c>
      <c r="K410" t="str">
        <f t="array" ref="K410:T410">[1]!'6465.TW-OperatingProfitRatio,Price,PriceChangeRatio,InOutRatioNumber,Value,YearReturn,MonthReturn,WeekReturn,FinanceBalanceDif,ChipsField2'</f>
        <v>-31.56</v>
      </c>
      <c r="L410">
        <v>18.8</v>
      </c>
      <c r="M410">
        <v>-2.34</v>
      </c>
      <c r="N410" t="str">
        <v>16.39%</v>
      </c>
      <c r="O410" t="str">
        <v>127萬</v>
      </c>
      <c r="P410" t="str">
        <v>-34.58</v>
      </c>
      <c r="Q410" t="str">
        <v>+0.53</v>
      </c>
      <c r="R410" t="str">
        <v>-0.27</v>
      </c>
      <c r="S410">
        <v>-19</v>
      </c>
      <c r="T410">
        <v>0</v>
      </c>
      <c r="U410">
        <f t="array" ref="U410:AD410">[1]!'6465.TW-ChipsField3,ChipsField1,ChipsField25,CashAndStockDividend,CashDividendYieldRate,ProfitFourSeason,ProfitSingle,CName,ExchangeIndustry,CompanyPos'</f>
        <v>0</v>
      </c>
      <c r="V410">
        <v>20</v>
      </c>
      <c r="W410" t="str">
        <v>--</v>
      </c>
      <c r="X410" t="str">
        <v>0.00</v>
      </c>
      <c r="Y410">
        <v>0</v>
      </c>
      <c r="Z410" t="str">
        <v>-1.71</v>
      </c>
      <c r="AA410" t="str">
        <v>-0.64</v>
      </c>
      <c r="AB410" t="str">
        <v>威潤</v>
      </c>
      <c r="AC410" t="str">
        <v>上櫃通信網路</v>
      </c>
      <c r="AD410" t="str">
        <v>以自有品牌「ATrack」行銷衛星定位監控系統廠商</v>
      </c>
      <c r="AE410" t="str">
        <f t="array" ref="AE410:AH410">[1]!'6465.TW-CName,InvestorConferenceDate,DateofMeetingofShareHolders,TradingDate'</f>
        <v>威潤</v>
      </c>
      <c r="AF410" t="str">
        <v>--</v>
      </c>
      <c r="AG410" t="str">
        <v>2022/06/02</v>
      </c>
      <c r="AH410" t="str">
        <v>2022/08/01</v>
      </c>
    </row>
    <row r="411" spans="1:34" x14ac:dyDescent="0.3">
      <c r="A411" t="str">
        <f t="array" ref="A411:J411">[1]!'6470.TW-ID,Name,MarketValue,Capital,NetIncomeGrowthRate,OperIncomeGrowthRate,FinancialStatementsTime,TFXRatio,MonthlyNetSalesYoY,RevenueMonth'</f>
        <v>6470</v>
      </c>
      <c r="B411" t="str">
        <v>宇智</v>
      </c>
      <c r="C411" t="str">
        <v>23.9</v>
      </c>
      <c r="D411" t="str">
        <v>3.27</v>
      </c>
      <c r="E411" t="str">
        <v>52.74</v>
      </c>
      <c r="F411" t="str">
        <v>-6.04</v>
      </c>
      <c r="G411" t="str">
        <v>2022/03</v>
      </c>
      <c r="H411" t="str">
        <v>-0.29</v>
      </c>
      <c r="I411" t="str">
        <v>100.38</v>
      </c>
      <c r="J411" t="str">
        <v>2022/06</v>
      </c>
      <c r="K411" t="str">
        <f t="array" ref="K411:T411">[1]!'6470.TW-OperatingProfitRatio,Price,PriceChangeRatio,InOutRatioNumber,Value,YearReturn,MonthReturn,WeekReturn,FinanceBalanceDif,ChipsField2'</f>
        <v>6.40</v>
      </c>
      <c r="L411">
        <v>73</v>
      </c>
      <c r="M411">
        <v>-1.22</v>
      </c>
      <c r="N411" t="str">
        <v>34.44%</v>
      </c>
      <c r="O411" t="str">
        <v>2.06億</v>
      </c>
      <c r="P411" t="str">
        <v>+61.43</v>
      </c>
      <c r="Q411" t="str">
        <v>+19.48</v>
      </c>
      <c r="R411" t="str">
        <v>+3.99</v>
      </c>
      <c r="S411">
        <v>116</v>
      </c>
      <c r="T411">
        <v>0</v>
      </c>
      <c r="U411">
        <f t="array" ref="U411:AD411">[1]!'6470.TW-ChipsField3,ChipsField1,ChipsField25,CashAndStockDividend,CashDividendYieldRate,ProfitFourSeason,ProfitSingle,CName,ExchangeIndustry,CompanyPos'</f>
        <v>5</v>
      </c>
      <c r="V411">
        <v>39</v>
      </c>
      <c r="W411" t="str">
        <v>2022/06/09</v>
      </c>
      <c r="X411" t="str">
        <v>2.69</v>
      </c>
      <c r="Y411">
        <v>3.68</v>
      </c>
      <c r="Z411" t="str">
        <v>3.84</v>
      </c>
      <c r="AA411" t="str">
        <v>1.21</v>
      </c>
      <c r="AB411" t="str">
        <v>宇智</v>
      </c>
      <c r="AC411" t="str">
        <v>上櫃通信網路</v>
      </c>
      <c r="AD411" t="str">
        <v>台灣無線網路設備廠商</v>
      </c>
      <c r="AE411" t="str">
        <f t="array" ref="AE411:AH411">[1]!'6470.TW-CName,InvestorConferenceDate,DateofMeetingofShareHolders,TradingDate'</f>
        <v>宇智</v>
      </c>
      <c r="AF411" t="str">
        <v>2021/05/18</v>
      </c>
      <c r="AG411" t="str">
        <v>2022/06/01</v>
      </c>
      <c r="AH411" t="str">
        <v>2022/08/01</v>
      </c>
    </row>
    <row r="412" spans="1:34" x14ac:dyDescent="0.3">
      <c r="A412" t="str">
        <f t="array" ref="A412:J412">[1]!'6486.TW-ID,Name,MarketValue,Capital,NetIncomeGrowthRate,OperIncomeGrowthRate,FinancialStatementsTime,TFXRatio,MonthlyNetSalesYoY,RevenueMonth'</f>
        <v>6486</v>
      </c>
      <c r="B412" t="str">
        <v>互動</v>
      </c>
      <c r="C412" t="str">
        <v>25.4</v>
      </c>
      <c r="D412" t="str">
        <v>3.96</v>
      </c>
      <c r="E412" t="str">
        <v>-11.48</v>
      </c>
      <c r="F412" t="str">
        <v>3.79</v>
      </c>
      <c r="G412" t="str">
        <v>2022/06</v>
      </c>
      <c r="H412" t="str">
        <v>83.03</v>
      </c>
      <c r="I412" t="str">
        <v>34.35</v>
      </c>
      <c r="J412" t="str">
        <v>2022/06</v>
      </c>
      <c r="K412" t="str">
        <f t="array" ref="K412:T412">[1]!'6486.TW-OperatingProfitRatio,Price,PriceChangeRatio,InOutRatioNumber,Value,YearReturn,MonthReturn,WeekReturn,FinanceBalanceDif,ChipsField2'</f>
        <v>13.20</v>
      </c>
      <c r="L412">
        <v>64.099999999999994</v>
      </c>
      <c r="M412">
        <v>2.0699999999999998</v>
      </c>
      <c r="N412" t="str">
        <v>40.00%</v>
      </c>
      <c r="O412" t="str">
        <v>191萬</v>
      </c>
      <c r="P412" t="str">
        <v>-3.76</v>
      </c>
      <c r="Q412" t="str">
        <v>+8.28</v>
      </c>
      <c r="R412" t="str">
        <v>+2.40</v>
      </c>
      <c r="S412">
        <v>-2</v>
      </c>
      <c r="T412">
        <v>0</v>
      </c>
      <c r="U412">
        <f t="array" ref="U412:AD412">[1]!'6486.TW-ChipsField3,ChipsField1,ChipsField25,CashAndStockDividend,CashDividendYieldRate,ProfitFourSeason,ProfitSingle,CName,ExchangeIndustry,CompanyPos'</f>
        <v>0</v>
      </c>
      <c r="V412">
        <v>2</v>
      </c>
      <c r="W412" t="str">
        <v>2022/06/28</v>
      </c>
      <c r="X412" t="str">
        <v>6.37</v>
      </c>
      <c r="Y412">
        <v>9.94</v>
      </c>
      <c r="Z412" t="str">
        <v>6.46</v>
      </c>
      <c r="AA412" t="str">
        <v>1.32</v>
      </c>
      <c r="AB412" t="str">
        <v>互動</v>
      </c>
      <c r="AC412" t="str">
        <v>上櫃通信網路</v>
      </c>
      <c r="AD412" t="str">
        <v>仲琦旗下電信寬頻網路系統整合規劃廠商</v>
      </c>
      <c r="AE412" t="str">
        <f t="array" ref="AE412:AH412">[1]!'6486.TW-CName,InvestorConferenceDate,DateofMeetingofShareHolders,TradingDate'</f>
        <v>互動</v>
      </c>
      <c r="AF412" t="str">
        <v>2022/03/09</v>
      </c>
      <c r="AG412" t="str">
        <v>2022/05/30</v>
      </c>
      <c r="AH412" t="str">
        <v>2022/08/01</v>
      </c>
    </row>
    <row r="413" spans="1:34" x14ac:dyDescent="0.3">
      <c r="A413" t="str">
        <f t="array" ref="A413:J413">[1]!'6514.TW-ID,Name,MarketValue,Capital,NetIncomeGrowthRate,OperIncomeGrowthRate,FinancialStatementsTime,TFXRatio,MonthlyNetSalesYoY,RevenueMonth'</f>
        <v>6514</v>
      </c>
      <c r="B413" t="str">
        <v>芮特-KY</v>
      </c>
      <c r="C413" t="str">
        <v>19.2</v>
      </c>
      <c r="D413" t="str">
        <v>3.00</v>
      </c>
      <c r="E413" t="str">
        <v>27.12</v>
      </c>
      <c r="F413" t="str">
        <v>47.55</v>
      </c>
      <c r="G413" t="str">
        <v>2022/03</v>
      </c>
      <c r="H413" t="str">
        <v>9.88</v>
      </c>
      <c r="I413" t="str">
        <v>45.18</v>
      </c>
      <c r="J413" t="str">
        <v>2022/06</v>
      </c>
      <c r="K413" t="str">
        <f t="array" ref="K413:T413">[1]!'6514.TW-OperatingProfitRatio,Price,PriceChangeRatio,InOutRatioNumber,Value,YearReturn,MonthReturn,WeekReturn,FinanceBalanceDif,ChipsField2'</f>
        <v>15.01</v>
      </c>
      <c r="L413">
        <v>63.9</v>
      </c>
      <c r="M413">
        <v>2.73</v>
      </c>
      <c r="N413" t="str">
        <v>47.30%</v>
      </c>
      <c r="O413" t="str">
        <v>2536萬</v>
      </c>
      <c r="P413" t="str">
        <v>+54.41</v>
      </c>
      <c r="Q413" t="str">
        <v>+12.50</v>
      </c>
      <c r="R413" t="str">
        <v>+3.57</v>
      </c>
      <c r="S413">
        <v>-7</v>
      </c>
      <c r="T413">
        <v>0</v>
      </c>
      <c r="U413">
        <f t="array" ref="U413:AD413">[1]!'6514.TW-ChipsField3,ChipsField1,ChipsField25,CashAndStockDividend,CashDividendYieldRate,ProfitFourSeason,ProfitSingle,CName,ExchangeIndustry,CompanyPos'</f>
        <v>0</v>
      </c>
      <c r="V413">
        <v>14</v>
      </c>
      <c r="W413" t="str">
        <v>2022/07/01</v>
      </c>
      <c r="X413" t="str">
        <v>3.20</v>
      </c>
      <c r="Y413">
        <v>5.01</v>
      </c>
      <c r="Z413" t="str">
        <v>3.26</v>
      </c>
      <c r="AA413" t="str">
        <v>0.75</v>
      </c>
      <c r="AB413" t="str">
        <v>芮特-KY</v>
      </c>
      <c r="AC413" t="str">
        <v>上櫃通信網路</v>
      </c>
      <c r="AD413" t="str">
        <v>昇達科旗下利基型天線公司</v>
      </c>
      <c r="AE413" t="str">
        <f t="array" ref="AE413:AH413">[1]!'6514.TW-CName,InvestorConferenceDate,DateofMeetingofShareHolders,TradingDate'</f>
        <v>芮特-KY</v>
      </c>
      <c r="AF413" t="str">
        <v>2021/01/20</v>
      </c>
      <c r="AG413" t="str">
        <v>2022/06/14</v>
      </c>
      <c r="AH413" t="str">
        <v>2022/08/01</v>
      </c>
    </row>
    <row r="414" spans="1:34" x14ac:dyDescent="0.3">
      <c r="A414" t="str">
        <f t="array" ref="A414:J414">[1]!'6530.TW-ID,Name,MarketValue,Capital,NetIncomeGrowthRate,OperIncomeGrowthRate,FinancialStatementsTime,TFXRatio,MonthlyNetSalesYoY,RevenueMonth'</f>
        <v>6530</v>
      </c>
      <c r="B414" t="str">
        <v>創威</v>
      </c>
      <c r="C414" t="str">
        <v>7.8</v>
      </c>
      <c r="D414" t="str">
        <v>3.38</v>
      </c>
      <c r="E414" t="str">
        <v>68.53</v>
      </c>
      <c r="F414" t="str">
        <v>58.14</v>
      </c>
      <c r="G414" t="str">
        <v>2022/03</v>
      </c>
      <c r="H414" t="str">
        <v>35.58</v>
      </c>
      <c r="I414" t="str">
        <v>9.35</v>
      </c>
      <c r="J414" t="str">
        <v>2022/06</v>
      </c>
      <c r="K414" t="str">
        <f t="array" ref="K414:T414">[1]!'6530.TW-OperatingProfitRatio,Price,PriceChangeRatio,InOutRatioNumber,Value,YearReturn,MonthReturn,WeekReturn,FinanceBalanceDif,ChipsField2'</f>
        <v>18.60</v>
      </c>
      <c r="L414">
        <v>23.15</v>
      </c>
      <c r="M414">
        <v>3.81</v>
      </c>
      <c r="N414" t="str">
        <v>44.37%</v>
      </c>
      <c r="O414" t="str">
        <v>2908萬</v>
      </c>
      <c r="P414" t="str">
        <v>+28.60</v>
      </c>
      <c r="Q414" t="str">
        <v>+23.47</v>
      </c>
      <c r="R414" t="str">
        <v>+14.89</v>
      </c>
      <c r="S414">
        <v>1</v>
      </c>
      <c r="T414">
        <v>0</v>
      </c>
      <c r="U414">
        <f t="array" ref="U414:AD414">[1]!'6530.TW-ChipsField3,ChipsField1,ChipsField25,CashAndStockDividend,CashDividendYieldRate,ProfitFourSeason,ProfitSingle,CName,ExchangeIndustry,CompanyPos'</f>
        <v>0</v>
      </c>
      <c r="V414">
        <v>64</v>
      </c>
      <c r="W414" t="str">
        <v>2022/06/24</v>
      </c>
      <c r="X414" t="str">
        <v>1.10</v>
      </c>
      <c r="Y414">
        <v>4.75</v>
      </c>
      <c r="Z414" t="str">
        <v>1.22</v>
      </c>
      <c r="AA414" t="str">
        <v>0.32</v>
      </c>
      <c r="AB414" t="str">
        <v>創威</v>
      </c>
      <c r="AC414" t="str">
        <v>上櫃通信網路</v>
      </c>
      <c r="AD414" t="str">
        <v>主要生產熱插拔式及固定式光收發模組</v>
      </c>
      <c r="AE414" t="str">
        <f t="array" ref="AE414:AH414">[1]!'6530.TW-CName,InvestorConferenceDate,DateofMeetingofShareHolders,TradingDate'</f>
        <v>創威</v>
      </c>
      <c r="AF414" t="str">
        <v>--</v>
      </c>
      <c r="AG414" t="str">
        <v>2022/06/08</v>
      </c>
      <c r="AH414" t="str">
        <v>2022/08/01</v>
      </c>
    </row>
    <row r="415" spans="1:34" x14ac:dyDescent="0.3">
      <c r="A415" t="str">
        <f t="array" ref="A415:J415">[1]!'6546.TW-ID,Name,MarketValue,Capital,NetIncomeGrowthRate,OperIncomeGrowthRate,FinancialStatementsTime,TFXRatio,MonthlyNetSalesYoY,RevenueMonth'</f>
        <v>6546</v>
      </c>
      <c r="B415" t="str">
        <v>正基</v>
      </c>
      <c r="C415" t="str">
        <v>81.8</v>
      </c>
      <c r="D415" t="str">
        <v>6.62</v>
      </c>
      <c r="E415" t="str">
        <v>120.84</v>
      </c>
      <c r="F415" t="str">
        <v>92.21</v>
      </c>
      <c r="G415" t="str">
        <v>2022/03</v>
      </c>
      <c r="H415" t="str">
        <v>0.89</v>
      </c>
      <c r="I415" t="str">
        <v>31.59</v>
      </c>
      <c r="J415" t="str">
        <v>2022/06</v>
      </c>
      <c r="K415" t="str">
        <f t="array" ref="K415:T415">[1]!'6546.TW-OperatingProfitRatio,Price,PriceChangeRatio,InOutRatioNumber,Value,YearReturn,MonthReturn,WeekReturn,FinanceBalanceDif,ChipsField2'</f>
        <v>13.28</v>
      </c>
      <c r="L415">
        <v>123.5</v>
      </c>
      <c r="M415">
        <v>0</v>
      </c>
      <c r="N415" t="str">
        <v>51.21%</v>
      </c>
      <c r="O415" t="str">
        <v>9783萬</v>
      </c>
      <c r="P415" t="str">
        <v>--</v>
      </c>
      <c r="Q415" t="str">
        <v>+17.62</v>
      </c>
      <c r="R415" t="str">
        <v>-2.37</v>
      </c>
      <c r="S415">
        <v>0</v>
      </c>
      <c r="T415">
        <v>43</v>
      </c>
      <c r="U415">
        <f t="array" ref="U415:AD415">[1]!'6546.TW-ChipsField3,ChipsField1,ChipsField25,CashAndStockDividend,CashDividendYieldRate,ProfitFourSeason,ProfitSingle,CName,ExchangeIndustry,CompanyPos'</f>
        <v>0</v>
      </c>
      <c r="V415">
        <v>199</v>
      </c>
      <c r="W415" t="str">
        <v>2022/06/27</v>
      </c>
      <c r="X415" t="str">
        <v>5.46</v>
      </c>
      <c r="Y415">
        <v>4.42</v>
      </c>
      <c r="Z415" t="str">
        <v>8.10</v>
      </c>
      <c r="AA415" t="str">
        <v>2.42</v>
      </c>
      <c r="AB415" t="str">
        <v>正基</v>
      </c>
      <c r="AC415" t="str">
        <v>上櫃通信網路</v>
      </c>
      <c r="AD415" t="str">
        <v>正文轉投資的無線通訊模組廠</v>
      </c>
      <c r="AE415" t="str">
        <f t="array" ref="AE415:AH415">[1]!'6546.TW-CName,InvestorConferenceDate,DateofMeetingofShareHolders,TradingDate'</f>
        <v>正基</v>
      </c>
      <c r="AF415" t="str">
        <v>2022/06/15</v>
      </c>
      <c r="AG415" t="str">
        <v>2022/06/08</v>
      </c>
      <c r="AH415" t="str">
        <v>2022/08/01</v>
      </c>
    </row>
    <row r="416" spans="1:34" x14ac:dyDescent="0.3">
      <c r="A416" t="str">
        <f t="array" ref="A416:J416">[1]!'6561.TW-ID,Name,MarketValue,Capital,NetIncomeGrowthRate,OperIncomeGrowthRate,FinancialStatementsTime,TFXRatio,MonthlyNetSalesYoY,RevenueMonth'</f>
        <v>6561</v>
      </c>
      <c r="B416" t="str">
        <v>是方</v>
      </c>
      <c r="C416" t="str">
        <v>201.8</v>
      </c>
      <c r="D416" t="str">
        <v>7.07</v>
      </c>
      <c r="E416" t="str">
        <v>22.87</v>
      </c>
      <c r="F416" t="str">
        <v>20.11</v>
      </c>
      <c r="G416" t="str">
        <v>2022/06</v>
      </c>
      <c r="H416" t="str">
        <v>-4.14</v>
      </c>
      <c r="I416" t="str">
        <v>17.80</v>
      </c>
      <c r="J416" t="str">
        <v>2022/06</v>
      </c>
      <c r="K416" t="str">
        <f t="array" ref="K416:T416">[1]!'6561.TW-OperatingProfitRatio,Price,PriceChangeRatio,InOutRatioNumber,Value,YearReturn,MonthReturn,WeekReturn,FinanceBalanceDif,ChipsField2'</f>
        <v>32.79</v>
      </c>
      <c r="L416">
        <v>285.5</v>
      </c>
      <c r="M416">
        <v>-4.83</v>
      </c>
      <c r="N416" t="str">
        <v>7.50%</v>
      </c>
      <c r="O416" t="str">
        <v>1209萬</v>
      </c>
      <c r="P416" t="str">
        <v>+1.84</v>
      </c>
      <c r="Q416" t="str">
        <v>+4.58</v>
      </c>
      <c r="R416" t="str">
        <v>+5.55</v>
      </c>
      <c r="S416">
        <v>-7</v>
      </c>
      <c r="T416">
        <v>0</v>
      </c>
      <c r="U416">
        <f t="array" ref="U416:AD416">[1]!'6561.TW-ChipsField3,ChipsField1,ChipsField25,CashAndStockDividend,CashDividendYieldRate,ProfitFourSeason,ProfitSingle,CName,ExchangeIndustry,CompanyPos'</f>
        <v>-1</v>
      </c>
      <c r="V416">
        <v>-4</v>
      </c>
      <c r="W416" t="str">
        <v>2022/06/30</v>
      </c>
      <c r="X416" t="str">
        <v>9.30</v>
      </c>
      <c r="Y416">
        <v>3.26</v>
      </c>
      <c r="Z416" t="str">
        <v>10.79</v>
      </c>
      <c r="AA416" t="str">
        <v>2.86</v>
      </c>
      <c r="AB416" t="str">
        <v>是方</v>
      </c>
      <c r="AC416" t="str">
        <v>上櫃通信網路</v>
      </c>
      <c r="AD416" t="str">
        <v>中華電信轉投資第二類電信公司</v>
      </c>
      <c r="AE416" t="str">
        <f t="array" ref="AE416:AH416">[1]!'6561.TW-CName,InvestorConferenceDate,DateofMeetingofShareHolders,TradingDate'</f>
        <v>是方</v>
      </c>
      <c r="AF416" t="str">
        <v>2022/08/03</v>
      </c>
      <c r="AG416" t="str">
        <v>2022/06/07</v>
      </c>
      <c r="AH416" t="str">
        <v>2022/08/01</v>
      </c>
    </row>
    <row r="417" spans="1:34" x14ac:dyDescent="0.3">
      <c r="A417" t="str">
        <f t="array" ref="A417:J417">[1]!'6588.TW-ID,Name,MarketValue,Capital,NetIncomeGrowthRate,OperIncomeGrowthRate,FinancialStatementsTime,TFXRatio,MonthlyNetSalesYoY,RevenueMonth'</f>
        <v>6588</v>
      </c>
      <c r="B417" t="str">
        <v>東典光電</v>
      </c>
      <c r="C417" t="str">
        <v>10.6</v>
      </c>
      <c r="D417" t="str">
        <v>2.67</v>
      </c>
      <c r="E417" t="str">
        <v>51.77</v>
      </c>
      <c r="F417" t="str">
        <v>-94.80</v>
      </c>
      <c r="G417" t="str">
        <v>2022/03</v>
      </c>
      <c r="H417" t="str">
        <v>21.44</v>
      </c>
      <c r="I417" t="str">
        <v>8.81</v>
      </c>
      <c r="J417" t="str">
        <v>2022/06</v>
      </c>
      <c r="K417" t="str">
        <f t="array" ref="K417:T417">[1]!'6588.TW-OperatingProfitRatio,Price,PriceChangeRatio,InOutRatioNumber,Value,YearReturn,MonthReturn,WeekReturn,FinanceBalanceDif,ChipsField2'</f>
        <v>0.56</v>
      </c>
      <c r="L417">
        <v>39.65</v>
      </c>
      <c r="M417">
        <v>0</v>
      </c>
      <c r="N417" t="str">
        <v>44.44%</v>
      </c>
      <c r="O417" t="str">
        <v>35.7萬</v>
      </c>
      <c r="P417" t="str">
        <v>-14.85</v>
      </c>
      <c r="Q417" t="str">
        <v>+2.06</v>
      </c>
      <c r="R417" t="str">
        <v>+1.67</v>
      </c>
      <c r="S417">
        <v>0</v>
      </c>
      <c r="T417">
        <v>0</v>
      </c>
      <c r="U417">
        <f t="array" ref="U417:AD417">[1]!'6588.TW-ChipsField3,ChipsField1,ChipsField25,CashAndStockDividend,CashDividendYieldRate,ProfitFourSeason,ProfitSingle,CName,ExchangeIndustry,CompanyPos'</f>
        <v>0</v>
      </c>
      <c r="V417">
        <v>0</v>
      </c>
      <c r="W417" t="str">
        <v>2022/06/14</v>
      </c>
      <c r="X417" t="str">
        <v>0.75</v>
      </c>
      <c r="Y417">
        <v>1.89</v>
      </c>
      <c r="Z417" t="str">
        <v>0.57</v>
      </c>
      <c r="AA417" t="str">
        <v>0.27</v>
      </c>
      <c r="AB417" t="str">
        <v>東典光電</v>
      </c>
      <c r="AC417" t="str">
        <v>上櫃通信網路</v>
      </c>
      <c r="AD417" t="str">
        <v>東鹼旗下光通訊元件濾光片廠商</v>
      </c>
      <c r="AE417" t="str">
        <f t="array" ref="AE417:AH417">[1]!'6588.TW-CName,InvestorConferenceDate,DateofMeetingofShareHolders,TradingDate'</f>
        <v>東典光電</v>
      </c>
      <c r="AF417" t="str">
        <v>--</v>
      </c>
      <c r="AG417" t="str">
        <v>2022/05/27</v>
      </c>
      <c r="AH417" t="str">
        <v>2022/08/01</v>
      </c>
    </row>
    <row r="418" spans="1:34" x14ac:dyDescent="0.3">
      <c r="A418" t="str">
        <f t="array" ref="A418:J418">[1]!'8034.TW-ID,Name,MarketValue,Capital,NetIncomeGrowthRate,OperIncomeGrowthRate,FinancialStatementsTime,TFXRatio,MonthlyNetSalesYoY,RevenueMonth'</f>
        <v>8034</v>
      </c>
      <c r="B418" t="str">
        <v>榮群</v>
      </c>
      <c r="C418" t="str">
        <v>9.7</v>
      </c>
      <c r="D418" t="str">
        <v>6.29</v>
      </c>
      <c r="E418" t="str">
        <v>115.60</v>
      </c>
      <c r="F418" t="str">
        <v>80.53</v>
      </c>
      <c r="G418" t="str">
        <v>2022/03</v>
      </c>
      <c r="H418" t="str">
        <v>39.58</v>
      </c>
      <c r="I418" t="str">
        <v>125.12</v>
      </c>
      <c r="J418" t="str">
        <v>2022/06</v>
      </c>
      <c r="K418" t="str">
        <f t="array" ref="K418:T418">[1]!'8034.TW-OperatingProfitRatio,Price,PriceChangeRatio,InOutRatioNumber,Value,YearReturn,MonthReturn,WeekReturn,FinanceBalanceDif,ChipsField2'</f>
        <v>-3.20</v>
      </c>
      <c r="L418">
        <v>15.35</v>
      </c>
      <c r="M418">
        <v>-2.54</v>
      </c>
      <c r="N418" t="str">
        <v>36.14%</v>
      </c>
      <c r="O418" t="str">
        <v>1580萬</v>
      </c>
      <c r="P418" t="str">
        <v>+0.15</v>
      </c>
      <c r="Q418" t="str">
        <v>+11.23</v>
      </c>
      <c r="R418" t="str">
        <v>+10.43</v>
      </c>
      <c r="S418">
        <v>87</v>
      </c>
      <c r="T418">
        <v>0</v>
      </c>
      <c r="U418">
        <f t="array" ref="U418:AD418">[1]!'8034.TW-ChipsField3,ChipsField1,ChipsField25,CashAndStockDividend,CashDividendYieldRate,ProfitFourSeason,ProfitSingle,CName,ExchangeIndustry,CompanyPos'</f>
        <v>0</v>
      </c>
      <c r="V418">
        <v>40</v>
      </c>
      <c r="W418" t="str">
        <v>2022/06/14</v>
      </c>
      <c r="X418" t="str">
        <v>1.00</v>
      </c>
      <c r="Y418">
        <v>6.51</v>
      </c>
      <c r="Z418" t="str">
        <v>1.43</v>
      </c>
      <c r="AA418" t="str">
        <v>0.02</v>
      </c>
      <c r="AB418" t="str">
        <v>榮群</v>
      </c>
      <c r="AC418" t="str">
        <v>上櫃通信網路</v>
      </c>
      <c r="AD418" t="str">
        <v>台灣網路接取設備製造商</v>
      </c>
      <c r="AE418" t="str">
        <f t="array" ref="AE418:AH418">[1]!'8034.TW-CName,InvestorConferenceDate,DateofMeetingofShareHolders,TradingDate'</f>
        <v>榮群</v>
      </c>
      <c r="AF418" t="str">
        <v>2021/12/27</v>
      </c>
      <c r="AG418" t="str">
        <v>2022/05/27</v>
      </c>
      <c r="AH418" t="str">
        <v>2022/08/01</v>
      </c>
    </row>
    <row r="419" spans="1:34" x14ac:dyDescent="0.3">
      <c r="A419" t="str">
        <f t="array" ref="A419:J419">[1]!'8048.TW-ID,Name,MarketValue,Capital,NetIncomeGrowthRate,OperIncomeGrowthRate,FinancialStatementsTime,TFXRatio,MonthlyNetSalesYoY,RevenueMonth'</f>
        <v>8048</v>
      </c>
      <c r="B419" t="str">
        <v>德勝</v>
      </c>
      <c r="C419" t="str">
        <v>16.7</v>
      </c>
      <c r="D419" t="str">
        <v>5.45</v>
      </c>
      <c r="E419" t="str">
        <v>-76.72</v>
      </c>
      <c r="F419" t="str">
        <v>5.00</v>
      </c>
      <c r="G419" t="str">
        <v>2022/03</v>
      </c>
      <c r="H419" t="str">
        <v>4.11</v>
      </c>
      <c r="I419" t="str">
        <v>2.28</v>
      </c>
      <c r="J419" t="str">
        <v>2022/06</v>
      </c>
      <c r="K419" t="str">
        <f t="array" ref="K419:T419">[1]!'8048.TW-OperatingProfitRatio,Price,PriceChangeRatio,InOutRatioNumber,Value,YearReturn,MonthReturn,WeekReturn,FinanceBalanceDif,ChipsField2'</f>
        <v>8.35</v>
      </c>
      <c r="L419">
        <v>30.65</v>
      </c>
      <c r="M419">
        <v>1.1599999999999999</v>
      </c>
      <c r="N419" t="str">
        <v>44.07%</v>
      </c>
      <c r="O419" t="str">
        <v>181萬</v>
      </c>
      <c r="P419" t="str">
        <v>-9.26</v>
      </c>
      <c r="Q419" t="str">
        <v>+4.49</v>
      </c>
      <c r="R419" t="str">
        <v>-0.97</v>
      </c>
      <c r="S419">
        <v>0</v>
      </c>
      <c r="T419">
        <v>0</v>
      </c>
      <c r="U419">
        <f t="array" ref="U419:AD419">[1]!'8048.TW-ChipsField3,ChipsField1,ChipsField25,CashAndStockDividend,CashDividendYieldRate,ProfitFourSeason,ProfitSingle,CName,ExchangeIndustry,CompanyPos'</f>
        <v>0</v>
      </c>
      <c r="V419">
        <v>2</v>
      </c>
      <c r="W419" t="str">
        <v>2022/07/05</v>
      </c>
      <c r="X419" t="str">
        <v>2.20</v>
      </c>
      <c r="Y419">
        <v>7.18</v>
      </c>
      <c r="Z419" t="str">
        <v>2.02</v>
      </c>
      <c r="AA419" t="str">
        <v>0.28</v>
      </c>
      <c r="AB419" t="str">
        <v>德勝</v>
      </c>
      <c r="AC419" t="str">
        <v>上櫃通信網路</v>
      </c>
      <c r="AD419" t="str">
        <v>台灣光纖網路局端、用戶端設備製造商</v>
      </c>
      <c r="AE419" t="str">
        <f t="array" ref="AE419:AH419">[1]!'8048.TW-CName,InvestorConferenceDate,DateofMeetingofShareHolders,TradingDate'</f>
        <v>德勝</v>
      </c>
      <c r="AF419" t="str">
        <v>--</v>
      </c>
      <c r="AG419" t="str">
        <v>2022/06/14</v>
      </c>
      <c r="AH419" t="str">
        <v>2022/08/01</v>
      </c>
    </row>
    <row r="420" spans="1:34" x14ac:dyDescent="0.3">
      <c r="A420" t="str">
        <f t="array" ref="A420:J420">[1]!'8059.TW-ID,Name,MarketValue,Capital,NetIncomeGrowthRate,OperIncomeGrowthRate,FinancialStatementsTime,TFXRatio,MonthlyNetSalesYoY,RevenueMonth'</f>
        <v>8059</v>
      </c>
      <c r="B420" t="str">
        <v>凱碩</v>
      </c>
      <c r="C420" t="str">
        <v>18.9</v>
      </c>
      <c r="D420" t="str">
        <v>18.86</v>
      </c>
      <c r="E420" t="str">
        <v>32.37</v>
      </c>
      <c r="F420" t="str">
        <v>22.61</v>
      </c>
      <c r="G420" t="str">
        <v>2022/03</v>
      </c>
      <c r="H420" t="str">
        <v>-38.44</v>
      </c>
      <c r="I420" t="str">
        <v>78.87</v>
      </c>
      <c r="J420" t="str">
        <v>2022/06</v>
      </c>
      <c r="K420" t="str">
        <f t="array" ref="K420:T420">[1]!'8059.TW-OperatingProfitRatio,Price,PriceChangeRatio,InOutRatioNumber,Value,YearReturn,MonthReturn,WeekReturn,FinanceBalanceDif,ChipsField2'</f>
        <v>-6.67</v>
      </c>
      <c r="L420">
        <v>10</v>
      </c>
      <c r="M420">
        <v>0.2</v>
      </c>
      <c r="N420" t="str">
        <v>71.05%</v>
      </c>
      <c r="O420" t="str">
        <v>115萬</v>
      </c>
      <c r="P420" t="str">
        <v>-1.96</v>
      </c>
      <c r="Q420" t="str">
        <v>+7.76</v>
      </c>
      <c r="R420" t="str">
        <v>-1.48</v>
      </c>
      <c r="S420">
        <v>0</v>
      </c>
      <c r="T420">
        <v>0</v>
      </c>
      <c r="U420">
        <f t="array" ref="U420:AD420">[1]!'8059.TW-ChipsField3,ChipsField1,ChipsField25,CashAndStockDividend,CashDividendYieldRate,ProfitFourSeason,ProfitSingle,CName,ExchangeIndustry,CompanyPos'</f>
        <v>0</v>
      </c>
      <c r="V420">
        <v>0</v>
      </c>
      <c r="W420" t="str">
        <v>--</v>
      </c>
      <c r="X420" t="str">
        <v>0.00</v>
      </c>
      <c r="Y420">
        <v>0</v>
      </c>
      <c r="Z420" t="str">
        <v>-0.74</v>
      </c>
      <c r="AA420" t="str">
        <v>-0.11</v>
      </c>
      <c r="AB420" t="str">
        <v>凱碩</v>
      </c>
      <c r="AC420" t="str">
        <v>上櫃通信網路</v>
      </c>
      <c r="AD420" t="str">
        <v>新金寶集團轉投資的Cable Modem廠</v>
      </c>
      <c r="AE420" t="str">
        <f t="array" ref="AE420:AH420">[1]!'8059.TW-CName,InvestorConferenceDate,DateofMeetingofShareHolders,TradingDate'</f>
        <v>凱碩</v>
      </c>
      <c r="AF420" t="str">
        <v>--</v>
      </c>
      <c r="AG420" t="str">
        <v>2022/06/27</v>
      </c>
      <c r="AH420" t="str">
        <v>2022/08/01</v>
      </c>
    </row>
    <row r="421" spans="1:34" x14ac:dyDescent="0.3">
      <c r="A421" t="str">
        <f t="array" ref="A421:J421">[1]!'8089.TW-ID,Name,MarketValue,Capital,NetIncomeGrowthRate,OperIncomeGrowthRate,FinancialStatementsTime,TFXRatio,MonthlyNetSalesYoY,RevenueMonth'</f>
        <v>8089</v>
      </c>
      <c r="B421" t="str">
        <v>康全電訊</v>
      </c>
      <c r="C421" t="str">
        <v>14.3</v>
      </c>
      <c r="D421" t="str">
        <v>5.82</v>
      </c>
      <c r="E421" t="str">
        <v>150.38</v>
      </c>
      <c r="F421" t="str">
        <v>141.12</v>
      </c>
      <c r="G421" t="str">
        <v>2022/03</v>
      </c>
      <c r="H421" t="str">
        <v>8.76</v>
      </c>
      <c r="I421" t="str">
        <v>-7.02</v>
      </c>
      <c r="J421" t="str">
        <v>2022/06</v>
      </c>
      <c r="K421" t="str">
        <f t="array" ref="K421:T421">[1]!'8089.TW-OperatingProfitRatio,Price,PriceChangeRatio,InOutRatioNumber,Value,YearReturn,MonthReturn,WeekReturn,FinanceBalanceDif,ChipsField2'</f>
        <v>0.80</v>
      </c>
      <c r="L421">
        <v>24.5</v>
      </c>
      <c r="M421">
        <v>0.2</v>
      </c>
      <c r="N421" t="str">
        <v>50.00%</v>
      </c>
      <c r="O421" t="str">
        <v>123萬</v>
      </c>
      <c r="P421" t="str">
        <v>-5.26</v>
      </c>
      <c r="Q421" t="str">
        <v>+20.74</v>
      </c>
      <c r="R421" t="str">
        <v>+0.41</v>
      </c>
      <c r="S421">
        <v>-7</v>
      </c>
      <c r="T421">
        <v>0</v>
      </c>
      <c r="U421">
        <f t="array" ref="U421:AD421">[1]!'8089.TW-ChipsField3,ChipsField1,ChipsField25,CashAndStockDividend,CashDividendYieldRate,ProfitFourSeason,ProfitSingle,CName,ExchangeIndustry,CompanyPos'</f>
        <v>0</v>
      </c>
      <c r="V421">
        <v>-11</v>
      </c>
      <c r="W421" t="str">
        <v>2022/07/14</v>
      </c>
      <c r="X421" t="str">
        <v>0.99</v>
      </c>
      <c r="Y421">
        <v>4.04</v>
      </c>
      <c r="Z421" t="str">
        <v>-0.19</v>
      </c>
      <c r="AA421" t="str">
        <v>0.09</v>
      </c>
      <c r="AB421" t="str">
        <v>康全電訊</v>
      </c>
      <c r="AC421" t="str">
        <v>上櫃通信網路</v>
      </c>
      <c r="AD421" t="str">
        <v>訊舟轉投資網路通訊設備廠</v>
      </c>
      <c r="AE421" t="str">
        <f t="array" ref="AE421:AH421">[1]!'8089.TW-CName,InvestorConferenceDate,DateofMeetingofShareHolders,TradingDate'</f>
        <v>康全電訊</v>
      </c>
      <c r="AF421" t="str">
        <v>--</v>
      </c>
      <c r="AG421" t="str">
        <v>2022/06/14</v>
      </c>
      <c r="AH421" t="str">
        <v>2022/08/01</v>
      </c>
    </row>
    <row r="422" spans="1:34" x14ac:dyDescent="0.3">
      <c r="A422" t="str">
        <f t="array" ref="A422:J422">[1]!'8097.TW-ID,Name,MarketValue,Capital,NetIncomeGrowthRate,OperIncomeGrowthRate,FinancialStatementsTime,TFXRatio,MonthlyNetSalesYoY,RevenueMonth'</f>
        <v>8097</v>
      </c>
      <c r="B422" t="str">
        <v>常珵</v>
      </c>
      <c r="C422" t="str">
        <v>34.4</v>
      </c>
      <c r="D422" t="str">
        <v>4.32</v>
      </c>
      <c r="E422" t="str">
        <v>734.16</v>
      </c>
      <c r="F422" t="str">
        <v>877.74</v>
      </c>
      <c r="G422" t="str">
        <v>2022/03</v>
      </c>
      <c r="H422" t="str">
        <v>-17.82</v>
      </c>
      <c r="I422" t="str">
        <v>522.98</v>
      </c>
      <c r="J422" t="str">
        <v>2022/06</v>
      </c>
      <c r="K422" t="str">
        <f t="array" ref="K422:T422">[1]!'8097.TW-OperatingProfitRatio,Price,PriceChangeRatio,InOutRatioNumber,Value,YearReturn,MonthReturn,WeekReturn,FinanceBalanceDif,ChipsField2'</f>
        <v>12.83</v>
      </c>
      <c r="L422">
        <v>79.599999999999994</v>
      </c>
      <c r="M422">
        <v>1.53</v>
      </c>
      <c r="N422" t="str">
        <v>53.52%</v>
      </c>
      <c r="O422" t="str">
        <v>3.17億</v>
      </c>
      <c r="P422" t="str">
        <v>+209.73</v>
      </c>
      <c r="Q422" t="str">
        <v>+19.70</v>
      </c>
      <c r="R422" t="str">
        <v>+4.33</v>
      </c>
      <c r="S422">
        <v>8</v>
      </c>
      <c r="T422">
        <v>0</v>
      </c>
      <c r="U422">
        <f t="array" ref="U422:AD422">[1]!'8097.TW-ChipsField3,ChipsField1,ChipsField25,CashAndStockDividend,CashDividendYieldRate,ProfitFourSeason,ProfitSingle,CName,ExchangeIndustry,CompanyPos'</f>
        <v>0</v>
      </c>
      <c r="V422">
        <v>87</v>
      </c>
      <c r="W422" t="str">
        <v>--</v>
      </c>
      <c r="X422" t="str">
        <v>0.00</v>
      </c>
      <c r="Y422">
        <v>0</v>
      </c>
      <c r="Z422" t="str">
        <v>0.29</v>
      </c>
      <c r="AA422" t="str">
        <v>0.57</v>
      </c>
      <c r="AB422" t="str">
        <v>常珵</v>
      </c>
      <c r="AC422" t="str">
        <v>上櫃通信網路</v>
      </c>
      <c r="AD422" t="str">
        <v>公司轉型為無線通訊、物聯網產品周邊及配件製造商</v>
      </c>
      <c r="AE422" t="str">
        <f t="array" ref="AE422:AH422">[1]!'8097.TW-CName,InvestorConferenceDate,DateofMeetingofShareHolders,TradingDate'</f>
        <v>常珵</v>
      </c>
      <c r="AF422" t="str">
        <v>--</v>
      </c>
      <c r="AG422" t="str">
        <v>2022/06/30</v>
      </c>
      <c r="AH422" t="str">
        <v>2022/08/01</v>
      </c>
    </row>
    <row r="423" spans="1:34" x14ac:dyDescent="0.3">
      <c r="A423" t="str">
        <f t="array" ref="A423:J423">[1]!'8171.TW-ID,Name,MarketValue,Capital,NetIncomeGrowthRate,OperIncomeGrowthRate,FinancialStatementsTime,TFXRatio,MonthlyNetSalesYoY,RevenueMonth'</f>
        <v>8171</v>
      </c>
      <c r="B423" t="str">
        <v>天宇</v>
      </c>
      <c r="C423" t="str">
        <v>23.7</v>
      </c>
      <c r="D423" t="str">
        <v>5.87</v>
      </c>
      <c r="E423" t="str">
        <v>515.28</v>
      </c>
      <c r="F423" t="str">
        <v>327.15</v>
      </c>
      <c r="G423" t="str">
        <v>2022/03</v>
      </c>
      <c r="H423" t="str">
        <v>-19.41</v>
      </c>
      <c r="I423" t="str">
        <v>-44.74</v>
      </c>
      <c r="J423" t="str">
        <v>2022/06</v>
      </c>
      <c r="K423" t="str">
        <f t="array" ref="K423:T423">[1]!'8171.TW-OperatingProfitRatio,Price,PriceChangeRatio,InOutRatioNumber,Value,YearReturn,MonthReturn,WeekReturn,FinanceBalanceDif,ChipsField2'</f>
        <v>7.84</v>
      </c>
      <c r="L423">
        <v>40.299999999999997</v>
      </c>
      <c r="M423">
        <v>0.5</v>
      </c>
      <c r="N423" t="str">
        <v>52.55%</v>
      </c>
      <c r="O423" t="str">
        <v>554萬</v>
      </c>
      <c r="P423" t="str">
        <v>-33.93</v>
      </c>
      <c r="Q423" t="str">
        <v>-3.01</v>
      </c>
      <c r="R423" t="str">
        <v>+0.75</v>
      </c>
      <c r="S423">
        <v>-26</v>
      </c>
      <c r="T423">
        <v>0</v>
      </c>
      <c r="U423">
        <f t="array" ref="U423:AD423">[1]!'8171.TW-ChipsField3,ChipsField1,ChipsField25,CashAndStockDividend,CashDividendYieldRate,ProfitFourSeason,ProfitSingle,CName,ExchangeIndustry,CompanyPos'</f>
        <v>0</v>
      </c>
      <c r="V423">
        <v>71</v>
      </c>
      <c r="W423" t="str">
        <v>--</v>
      </c>
      <c r="X423" t="str">
        <v>0.00</v>
      </c>
      <c r="Y423">
        <v>0</v>
      </c>
      <c r="Z423" t="str">
        <v>-0.17</v>
      </c>
      <c r="AA423" t="str">
        <v>0.80</v>
      </c>
      <c r="AB423" t="str">
        <v>天宇</v>
      </c>
      <c r="AC423" t="str">
        <v>上櫃通信網路</v>
      </c>
      <c r="AD423" t="str">
        <v>專攻電池模組與電源管理模組之廠商</v>
      </c>
      <c r="AE423" t="str">
        <f t="array" ref="AE423:AH423">[1]!'8171.TW-CName,InvestorConferenceDate,DateofMeetingofShareHolders,TradingDate'</f>
        <v>天宇</v>
      </c>
      <c r="AF423" t="str">
        <v>2021/08/18</v>
      </c>
      <c r="AG423" t="str">
        <v>2022/06/01</v>
      </c>
      <c r="AH423" t="str">
        <v>2022/08/01</v>
      </c>
    </row>
    <row r="424" spans="1:34" x14ac:dyDescent="0.3">
      <c r="A424" t="str">
        <f t="array" ref="A424:J424">[1]!'8176.TW-ID,Name,MarketValue,Capital,NetIncomeGrowthRate,OperIncomeGrowthRate,FinancialStatementsTime,TFXRatio,MonthlyNetSalesYoY,RevenueMonth'</f>
        <v>8176</v>
      </c>
      <c r="B424" t="str">
        <v>智捷</v>
      </c>
      <c r="C424" t="str">
        <v>6.6</v>
      </c>
      <c r="D424" t="str">
        <v>7.17</v>
      </c>
      <c r="E424" t="str">
        <v>16.00</v>
      </c>
      <c r="F424" t="str">
        <v>-205.24</v>
      </c>
      <c r="G424" t="str">
        <v>2022/03</v>
      </c>
      <c r="H424" t="str">
        <v>164.13</v>
      </c>
      <c r="I424" t="str">
        <v>142.60</v>
      </c>
      <c r="J424" t="str">
        <v>2022/06</v>
      </c>
      <c r="K424" t="str">
        <f t="array" ref="K424:T424">[1]!'8176.TW-OperatingProfitRatio,Price,PriceChangeRatio,InOutRatioNumber,Value,YearReturn,MonthReturn,WeekReturn,FinanceBalanceDif,ChipsField2'</f>
        <v>-86.71</v>
      </c>
      <c r="L424">
        <v>9.1999999999999993</v>
      </c>
      <c r="M424">
        <v>0.55000000000000004</v>
      </c>
      <c r="N424" t="str">
        <v>27.08%</v>
      </c>
      <c r="O424" t="str">
        <v>88.1萬</v>
      </c>
      <c r="P424" t="str">
        <v>+2.22</v>
      </c>
      <c r="Q424" t="str">
        <v>+6.73</v>
      </c>
      <c r="R424" t="str">
        <v>-0.54</v>
      </c>
      <c r="S424">
        <v>0</v>
      </c>
      <c r="T424">
        <v>0</v>
      </c>
      <c r="U424">
        <f t="array" ref="U424:AD424">[1]!'8176.TW-ChipsField3,ChipsField1,ChipsField25,CashAndStockDividend,CashDividendYieldRate,ProfitFourSeason,ProfitSingle,CName,ExchangeIndustry,CompanyPos'</f>
        <v>0</v>
      </c>
      <c r="V424">
        <v>-4</v>
      </c>
      <c r="W424" t="str">
        <v>--</v>
      </c>
      <c r="X424" t="str">
        <v>0.00</v>
      </c>
      <c r="Y424">
        <v>0</v>
      </c>
      <c r="Z424" t="str">
        <v>-0.84</v>
      </c>
      <c r="AA424" t="str">
        <v>-0.44</v>
      </c>
      <c r="AB424" t="str">
        <v>智捷</v>
      </c>
      <c r="AC424" t="str">
        <v>上櫃通信網路</v>
      </c>
      <c r="AD424" t="str">
        <v>台灣無線網路傳輸設備ODM/OEM廠</v>
      </c>
      <c r="AE424" t="str">
        <f t="array" ref="AE424:AH424">[1]!'8176.TW-CName,InvestorConferenceDate,DateofMeetingofShareHolders,TradingDate'</f>
        <v>智捷</v>
      </c>
      <c r="AF424" t="str">
        <v>--</v>
      </c>
      <c r="AG424" t="str">
        <v>2022/05/26</v>
      </c>
      <c r="AH424" t="str">
        <v>2022/08/01</v>
      </c>
    </row>
    <row r="425" spans="1:34" x14ac:dyDescent="0.3">
      <c r="A425" t="str">
        <f t="array" ref="A425:J425">[1]!'1336.TW-ID,Name,MarketValue,Capital,NetIncomeGrowthRate,OperIncomeGrowthRate,FinancialStatementsTime,TFXRatio,MonthlyNetSalesYoY,RevenueMonth'</f>
        <v>1336</v>
      </c>
      <c r="B425" t="str">
        <v>台翰</v>
      </c>
      <c r="C425" t="str">
        <v>16.0</v>
      </c>
      <c r="D425" t="str">
        <v>7.71</v>
      </c>
      <c r="E425" t="str">
        <v>432.14</v>
      </c>
      <c r="F425" t="str">
        <v>243.05</v>
      </c>
      <c r="G425" t="str">
        <v>2022/03</v>
      </c>
      <c r="H425" t="str">
        <v>8.28</v>
      </c>
      <c r="I425" t="str">
        <v>16.45</v>
      </c>
      <c r="J425" t="str">
        <v>2022/06</v>
      </c>
      <c r="K425" t="str">
        <f t="array" ref="K425:T425">[1]!'1336.TW-OperatingProfitRatio,Price,PriceChangeRatio,InOutRatioNumber,Value,YearReturn,MonthReturn,WeekReturn,FinanceBalanceDif,ChipsField2'</f>
        <v>7.35</v>
      </c>
      <c r="L425">
        <v>20.8</v>
      </c>
      <c r="M425">
        <v>-0.24</v>
      </c>
      <c r="N425" t="str">
        <v>59.46%</v>
      </c>
      <c r="O425" t="str">
        <v>233萬</v>
      </c>
      <c r="P425" t="str">
        <v>-7.70</v>
      </c>
      <c r="Q425" t="str">
        <v>+9.47</v>
      </c>
      <c r="R425" t="str">
        <v>-0.72</v>
      </c>
      <c r="S425">
        <v>28</v>
      </c>
      <c r="T425">
        <v>0</v>
      </c>
      <c r="U425">
        <f t="array" ref="U425:AD425">[1]!'1336.TW-ChipsField3,ChipsField1,ChipsField25,CashAndStockDividend,CashDividendYieldRate,ProfitFourSeason,ProfitSingle,CName,ExchangeIndustry,CompanyPos'</f>
        <v>0</v>
      </c>
      <c r="V425">
        <v>-37</v>
      </c>
      <c r="W425" t="str">
        <v>2022/08/02</v>
      </c>
      <c r="X425" t="str">
        <v>0.40</v>
      </c>
      <c r="Y425">
        <v>1.92</v>
      </c>
      <c r="Z425" t="str">
        <v>1.28</v>
      </c>
      <c r="AA425" t="str">
        <v>0.34</v>
      </c>
      <c r="AB425" t="str">
        <v>台翰</v>
      </c>
      <c r="AC425" t="str">
        <v>上櫃電子零組件</v>
      </c>
      <c r="AD425" t="str">
        <v>公司主要為日系大廠Brother的模具供應商</v>
      </c>
      <c r="AE425" t="str">
        <f t="array" ref="AE425:AH425">[1]!'1336.TW-CName,InvestorConferenceDate,DateofMeetingofShareHolders,TradingDate'</f>
        <v>台翰</v>
      </c>
      <c r="AF425" t="str">
        <v>--</v>
      </c>
      <c r="AG425" t="str">
        <v>2022/05/31</v>
      </c>
      <c r="AH425" t="str">
        <v>2022/08/01</v>
      </c>
    </row>
    <row r="426" spans="1:34" x14ac:dyDescent="0.3">
      <c r="A426" t="str">
        <f t="array" ref="A426:J426">[1]!'1595.TW-ID,Name,MarketValue,Capital,NetIncomeGrowthRate,OperIncomeGrowthRate,FinancialStatementsTime,TFXRatio,MonthlyNetSalesYoY,RevenueMonth'</f>
        <v>1595</v>
      </c>
      <c r="B426" t="str">
        <v>川寶</v>
      </c>
      <c r="C426" t="str">
        <v>17.1</v>
      </c>
      <c r="D426" t="str">
        <v>4.69</v>
      </c>
      <c r="E426" t="str">
        <v>247.21</v>
      </c>
      <c r="F426" t="str">
        <v>34.54</v>
      </c>
      <c r="G426" t="str">
        <v>2022/03</v>
      </c>
      <c r="H426" t="str">
        <v>5.74</v>
      </c>
      <c r="I426" t="str">
        <v>-26.13</v>
      </c>
      <c r="J426" t="str">
        <v>2022/06</v>
      </c>
      <c r="K426" t="str">
        <f t="array" ref="K426:T426">[1]!'1595.TW-OperatingProfitRatio,Price,PriceChangeRatio,InOutRatioNumber,Value,YearReturn,MonthReturn,WeekReturn,FinanceBalanceDif,ChipsField2'</f>
        <v>6.63</v>
      </c>
      <c r="L426">
        <v>36.35</v>
      </c>
      <c r="M426">
        <v>1.68</v>
      </c>
      <c r="N426" t="str">
        <v>42.86%</v>
      </c>
      <c r="O426" t="str">
        <v>40.0萬</v>
      </c>
      <c r="P426" t="str">
        <v>+16.47</v>
      </c>
      <c r="Q426" t="str">
        <v>+4.30</v>
      </c>
      <c r="R426" t="str">
        <v>+3.12</v>
      </c>
      <c r="S426">
        <v>0</v>
      </c>
      <c r="T426">
        <v>0</v>
      </c>
      <c r="U426">
        <f t="array" ref="U426:AD426">[1]!'1595.TW-ChipsField3,ChipsField1,ChipsField25,CashAndStockDividend,CashDividendYieldRate,ProfitFourSeason,ProfitSingle,CName,ExchangeIndustry,CompanyPos'</f>
        <v>0</v>
      </c>
      <c r="V426">
        <v>0</v>
      </c>
      <c r="W426" t="str">
        <v>2022/07/04</v>
      </c>
      <c r="X426" t="str">
        <v>2.00</v>
      </c>
      <c r="Y426">
        <v>5.5</v>
      </c>
      <c r="Z426" t="str">
        <v>5.00</v>
      </c>
      <c r="AA426" t="str">
        <v>1.49</v>
      </c>
      <c r="AB426" t="str">
        <v>川寶</v>
      </c>
      <c r="AC426" t="str">
        <v>上櫃電子零組件</v>
      </c>
      <c r="AD426" t="str">
        <v>全球知名PCB半自動曝光機廠</v>
      </c>
      <c r="AE426" t="str">
        <f t="array" ref="AE426:AH426">[1]!'1595.TW-CName,InvestorConferenceDate,DateofMeetingofShareHolders,TradingDate'</f>
        <v>川寶</v>
      </c>
      <c r="AF426" t="str">
        <v>--</v>
      </c>
      <c r="AG426" t="str">
        <v>2022/06/16</v>
      </c>
      <c r="AH426" t="str">
        <v>2022/08/01</v>
      </c>
    </row>
    <row r="427" spans="1:34" x14ac:dyDescent="0.3">
      <c r="A427" t="str">
        <f t="array" ref="A427:J427">[1]!'1815.TW-ID,Name,MarketValue,Capital,NetIncomeGrowthRate,OperIncomeGrowthRate,FinancialStatementsTime,TFXRatio,MonthlyNetSalesYoY,RevenueMonth'</f>
        <v>1815</v>
      </c>
      <c r="B427" t="str">
        <v>富喬</v>
      </c>
      <c r="C427" t="str">
        <v>55.1</v>
      </c>
      <c r="D427" t="str">
        <v>42.85</v>
      </c>
      <c r="E427" t="str">
        <v>841.88</v>
      </c>
      <c r="F427" t="str">
        <v>379.85</v>
      </c>
      <c r="G427" t="str">
        <v>2022/03</v>
      </c>
      <c r="H427" t="str">
        <v>-1.27</v>
      </c>
      <c r="I427" t="str">
        <v>-19.28</v>
      </c>
      <c r="J427" t="str">
        <v>2022/06</v>
      </c>
      <c r="K427" t="str">
        <f t="array" ref="K427:T427">[1]!'1815.TW-OperatingProfitRatio,Price,PriceChangeRatio,InOutRatioNumber,Value,YearReturn,MonthReturn,WeekReturn,FinanceBalanceDif,ChipsField2'</f>
        <v>5.12</v>
      </c>
      <c r="L427">
        <v>12.85</v>
      </c>
      <c r="M427">
        <v>0.39</v>
      </c>
      <c r="N427" t="str">
        <v>55.27%</v>
      </c>
      <c r="O427" t="str">
        <v>500萬</v>
      </c>
      <c r="P427" t="str">
        <v>-34.27</v>
      </c>
      <c r="Q427" t="str">
        <v>+5.76</v>
      </c>
      <c r="R427" t="str">
        <v>0.00</v>
      </c>
      <c r="S427">
        <v>10</v>
      </c>
      <c r="T427">
        <v>0</v>
      </c>
      <c r="U427">
        <f t="array" ref="U427:AD427">[1]!'1815.TW-ChipsField3,ChipsField1,ChipsField25,CashAndStockDividend,CashDividendYieldRate,ProfitFourSeason,ProfitSingle,CName,ExchangeIndustry,CompanyPos'</f>
        <v>0</v>
      </c>
      <c r="V427">
        <v>128</v>
      </c>
      <c r="W427" t="str">
        <v>2022/08/09</v>
      </c>
      <c r="X427" t="str">
        <v>0.90</v>
      </c>
      <c r="Y427">
        <v>7</v>
      </c>
      <c r="Z427" t="str">
        <v>1.55</v>
      </c>
      <c r="AA427" t="str">
        <v>0.13</v>
      </c>
      <c r="AB427" t="str">
        <v>富喬</v>
      </c>
      <c r="AC427" t="str">
        <v>上櫃電子零組件</v>
      </c>
      <c r="AD427" t="str">
        <v>台灣玻纖紗、玻纖布一貫廠</v>
      </c>
      <c r="AE427" t="str">
        <f t="array" ref="AE427:AH427">[1]!'1815.TW-CName,InvestorConferenceDate,DateofMeetingofShareHolders,TradingDate'</f>
        <v>富喬</v>
      </c>
      <c r="AF427" t="str">
        <v>--</v>
      </c>
      <c r="AG427" t="str">
        <v>2022/06/24</v>
      </c>
      <c r="AH427" t="str">
        <v>2022/08/01</v>
      </c>
    </row>
    <row r="428" spans="1:34" x14ac:dyDescent="0.3">
      <c r="A428" t="str">
        <f t="array" ref="A428:J428">[1]!'3078.TW-ID,Name,MarketValue,Capital,NetIncomeGrowthRate,OperIncomeGrowthRate,FinancialStatementsTime,TFXRatio,MonthlyNetSalesYoY,RevenueMonth'</f>
        <v>3078</v>
      </c>
      <c r="B428" t="str">
        <v>僑威</v>
      </c>
      <c r="C428" t="str">
        <v>75.3</v>
      </c>
      <c r="D428" t="str">
        <v>22.74</v>
      </c>
      <c r="E428" t="str">
        <v>-40.92</v>
      </c>
      <c r="F428" t="str">
        <v>-68.47</v>
      </c>
      <c r="G428" t="str">
        <v>2022/03</v>
      </c>
      <c r="H428" t="str">
        <v>13.97</v>
      </c>
      <c r="I428" t="str">
        <v>-38.05</v>
      </c>
      <c r="J428" t="str">
        <v>2022/06</v>
      </c>
      <c r="K428" t="str">
        <f t="array" ref="K428:T428">[1]!'3078.TW-OperatingProfitRatio,Price,PriceChangeRatio,InOutRatioNumber,Value,YearReturn,MonthReturn,WeekReturn,FinanceBalanceDif,ChipsField2'</f>
        <v>6.88</v>
      </c>
      <c r="L428">
        <v>33.1</v>
      </c>
      <c r="M428">
        <v>0.15</v>
      </c>
      <c r="N428" t="str">
        <v>54.55%</v>
      </c>
      <c r="O428" t="str">
        <v>403萬</v>
      </c>
      <c r="P428" t="str">
        <v>-33.30</v>
      </c>
      <c r="Q428" t="str">
        <v>+10.33</v>
      </c>
      <c r="R428" t="str">
        <v>+0.61</v>
      </c>
      <c r="S428">
        <v>-19</v>
      </c>
      <c r="T428">
        <v>0</v>
      </c>
      <c r="U428">
        <f t="array" ref="U428:AD428">[1]!'3078.TW-ChipsField3,ChipsField1,ChipsField25,CashAndStockDividend,CashDividendYieldRate,ProfitFourSeason,ProfitSingle,CName,ExchangeIndustry,CompanyPos'</f>
        <v>4</v>
      </c>
      <c r="V428">
        <v>62</v>
      </c>
      <c r="W428" t="str">
        <v>--</v>
      </c>
      <c r="X428" t="str">
        <v>3.25</v>
      </c>
      <c r="Y428">
        <v>9.82</v>
      </c>
      <c r="Z428" t="str">
        <v>3.76</v>
      </c>
      <c r="AA428" t="str">
        <v>0.79</v>
      </c>
      <c r="AB428" t="str">
        <v>僑威</v>
      </c>
      <c r="AC428" t="str">
        <v>上櫃電子零組件</v>
      </c>
      <c r="AD428" t="str">
        <v>全球clone市場上最大電源供應器製造商</v>
      </c>
      <c r="AE428" t="str">
        <f t="array" ref="AE428:AH428">[1]!'3078.TW-CName,InvestorConferenceDate,DateofMeetingofShareHolders,TradingDate'</f>
        <v>僑威</v>
      </c>
      <c r="AF428" t="str">
        <v>2021/04/27</v>
      </c>
      <c r="AG428" t="str">
        <v>2022/06/29</v>
      </c>
      <c r="AH428" t="str">
        <v>2022/08/01</v>
      </c>
    </row>
    <row r="429" spans="1:34" x14ac:dyDescent="0.3">
      <c r="A429" t="str">
        <f t="array" ref="A429:J429">[1]!'3089.TW-ID,Name,MarketValue,Capital,NetIncomeGrowthRate,OperIncomeGrowthRate,FinancialStatementsTime,TFXRatio,MonthlyNetSalesYoY,RevenueMonth'</f>
        <v>3089</v>
      </c>
      <c r="B429" t="str">
        <v>億杰</v>
      </c>
      <c r="C429" t="str">
        <v>22.8</v>
      </c>
      <c r="D429" t="str">
        <v>6.51</v>
      </c>
      <c r="E429" t="str">
        <v>-251.34</v>
      </c>
      <c r="F429" t="str">
        <v>-5275.89</v>
      </c>
      <c r="G429" t="str">
        <v>2022/03</v>
      </c>
      <c r="H429" t="str">
        <v>-42.26</v>
      </c>
      <c r="I429" t="str">
        <v>-51.11</v>
      </c>
      <c r="J429" t="str">
        <v>2022/06</v>
      </c>
      <c r="K429" t="str">
        <f t="array" ref="K429:T429">[1]!'3089.TW-OperatingProfitRatio,Price,PriceChangeRatio,InOutRatioNumber,Value,YearReturn,MonthReturn,WeekReturn,FinanceBalanceDif,ChipsField2'</f>
        <v>-26.53</v>
      </c>
      <c r="L429">
        <v>35</v>
      </c>
      <c r="M429">
        <v>-5.0199999999999996</v>
      </c>
      <c r="N429" t="str">
        <v>45.45%</v>
      </c>
      <c r="O429" t="str">
        <v>77.3萬</v>
      </c>
      <c r="P429" t="str">
        <v>+63.55</v>
      </c>
      <c r="Q429" t="str">
        <v>+16.09</v>
      </c>
      <c r="R429" t="str">
        <v>-5.91</v>
      </c>
      <c r="S429">
        <v>0</v>
      </c>
      <c r="T429">
        <v>0</v>
      </c>
      <c r="U429">
        <f t="array" ref="U429:AD429">[1]!'3089.TW-ChipsField3,ChipsField1,ChipsField25,CashAndStockDividend,CashDividendYieldRate,ProfitFourSeason,ProfitSingle,CName,ExchangeIndustry,CompanyPos'</f>
        <v>0</v>
      </c>
      <c r="V429">
        <v>0</v>
      </c>
      <c r="W429" t="str">
        <v>--</v>
      </c>
      <c r="X429" t="str">
        <v>0.00</v>
      </c>
      <c r="Y429">
        <v>0</v>
      </c>
      <c r="Z429" t="str">
        <v>0.46</v>
      </c>
      <c r="AA429" t="str">
        <v>-0.11</v>
      </c>
      <c r="AB429" t="str">
        <v>億杰</v>
      </c>
      <c r="AC429" t="str">
        <v>上櫃電子零組件</v>
      </c>
      <c r="AD429" t="str">
        <v>主要從事太陽能發電廠建置及營運</v>
      </c>
      <c r="AE429" t="str">
        <f t="array" ref="AE429:AH429">[1]!'3089.TW-CName,InvestorConferenceDate,DateofMeetingofShareHolders,TradingDate'</f>
        <v>億杰</v>
      </c>
      <c r="AF429" t="str">
        <v>--</v>
      </c>
      <c r="AG429" t="str">
        <v>2022/05/20</v>
      </c>
      <c r="AH429" t="str">
        <v>2022/08/01</v>
      </c>
    </row>
    <row r="430" spans="1:34" x14ac:dyDescent="0.3">
      <c r="A430" t="str">
        <f t="array" ref="A430:J430">[1]!'3114.TW-ID,Name,MarketValue,Capital,NetIncomeGrowthRate,OperIncomeGrowthRate,FinancialStatementsTime,TFXRatio,MonthlyNetSalesYoY,RevenueMonth'</f>
        <v>3114</v>
      </c>
      <c r="B430" t="str">
        <v>好德</v>
      </c>
      <c r="C430" t="str">
        <v>15.5</v>
      </c>
      <c r="D430" t="str">
        <v>5.91</v>
      </c>
      <c r="E430" t="str">
        <v>40.20</v>
      </c>
      <c r="F430" t="str">
        <v>-32.36</v>
      </c>
      <c r="G430" t="str">
        <v>2022/03</v>
      </c>
      <c r="H430" t="str">
        <v>-3.75</v>
      </c>
      <c r="I430" t="str">
        <v>-9.61</v>
      </c>
      <c r="J430" t="str">
        <v>2022/06</v>
      </c>
      <c r="K430" t="str">
        <f t="array" ref="K430:T430">[1]!'3114.TW-OperatingProfitRatio,Price,PriceChangeRatio,InOutRatioNumber,Value,YearReturn,MonthReturn,WeekReturn,FinanceBalanceDif,ChipsField2'</f>
        <v>3.74</v>
      </c>
      <c r="L430">
        <v>26.2</v>
      </c>
      <c r="M430">
        <v>0.57999999999999996</v>
      </c>
      <c r="N430" t="str">
        <v>44.12%</v>
      </c>
      <c r="O430" t="str">
        <v>178萬</v>
      </c>
      <c r="P430" t="str">
        <v>-21.89</v>
      </c>
      <c r="Q430" t="str">
        <v>+5.43</v>
      </c>
      <c r="R430" t="str">
        <v>+0.38</v>
      </c>
      <c r="S430">
        <v>-11</v>
      </c>
      <c r="T430">
        <v>0</v>
      </c>
      <c r="U430">
        <f t="array" ref="U430:AD430">[1]!'3114.TW-ChipsField3,ChipsField1,ChipsField25,CashAndStockDividend,CashDividendYieldRate,ProfitFourSeason,ProfitSingle,CName,ExchangeIndustry,CompanyPos'</f>
        <v>0</v>
      </c>
      <c r="V430">
        <v>4</v>
      </c>
      <c r="W430" t="str">
        <v>2022/08/15</v>
      </c>
      <c r="X430" t="str">
        <v>1.50</v>
      </c>
      <c r="Y430">
        <v>5.73</v>
      </c>
      <c r="Z430" t="str">
        <v>2.68</v>
      </c>
      <c r="AA430" t="str">
        <v>0.89</v>
      </c>
      <c r="AB430" t="str">
        <v>好德</v>
      </c>
      <c r="AC430" t="str">
        <v>上櫃電子零組件</v>
      </c>
      <c r="AD430" t="str">
        <v>台灣電子零件通路商</v>
      </c>
      <c r="AE430" t="str">
        <f t="array" ref="AE430:AH430">[1]!'3114.TW-CName,InvestorConferenceDate,DateofMeetingofShareHolders,TradingDate'</f>
        <v>好德</v>
      </c>
      <c r="AF430" t="str">
        <v>--</v>
      </c>
      <c r="AG430" t="str">
        <v>2022/06/24</v>
      </c>
      <c r="AH430" t="str">
        <v>2022/08/01</v>
      </c>
    </row>
    <row r="431" spans="1:34" x14ac:dyDescent="0.3">
      <c r="A431" t="str">
        <f t="array" ref="A431:J431">[1]!'3115.TW-ID,Name,MarketValue,Capital,NetIncomeGrowthRate,OperIncomeGrowthRate,FinancialStatementsTime,TFXRatio,MonthlyNetSalesYoY,RevenueMonth'</f>
        <v>3115</v>
      </c>
      <c r="B431" t="str">
        <v>富榮綱</v>
      </c>
      <c r="C431" t="str">
        <v>4.6</v>
      </c>
      <c r="D431" t="str">
        <v>4.37</v>
      </c>
      <c r="E431" t="str">
        <v>40.64</v>
      </c>
      <c r="F431" t="str">
        <v>-8.99</v>
      </c>
      <c r="G431" t="str">
        <v>2022/03</v>
      </c>
      <c r="H431" t="str">
        <v>--</v>
      </c>
      <c r="I431" t="str">
        <v>-100.00</v>
      </c>
      <c r="J431" t="str">
        <v>2022/06</v>
      </c>
      <c r="K431" t="str">
        <f t="array" ref="K431:T431">[1]!'3115.TW-OperatingProfitRatio,Price,PriceChangeRatio,InOutRatioNumber,Value,YearReturn,MonthReturn,WeekReturn,FinanceBalanceDif,ChipsField2'</f>
        <v>-8.07</v>
      </c>
      <c r="L431">
        <v>10.55</v>
      </c>
      <c r="M431">
        <v>0.48</v>
      </c>
      <c r="N431" t="str">
        <v>4.88%</v>
      </c>
      <c r="O431" t="str">
        <v>42.9萬</v>
      </c>
      <c r="P431" t="str">
        <v>-25.18</v>
      </c>
      <c r="Q431" t="str">
        <v>-7.05</v>
      </c>
      <c r="R431" t="str">
        <v>0.00</v>
      </c>
      <c r="S431">
        <v>0</v>
      </c>
      <c r="T431">
        <v>0</v>
      </c>
      <c r="U431">
        <f t="array" ref="U431:AD431">[1]!'3115.TW-ChipsField3,ChipsField1,ChipsField25,CashAndStockDividend,CashDividendYieldRate,ProfitFourSeason,ProfitSingle,CName,ExchangeIndustry,CompanyPos'</f>
        <v>0</v>
      </c>
      <c r="V431">
        <v>0</v>
      </c>
      <c r="W431" t="str">
        <v>--</v>
      </c>
      <c r="X431" t="str">
        <v>0.00</v>
      </c>
      <c r="Y431">
        <v>0</v>
      </c>
      <c r="Z431" t="str">
        <v>-0.28</v>
      </c>
      <c r="AA431" t="str">
        <v>-0.07</v>
      </c>
      <c r="AB431" t="str">
        <v>富榮綱</v>
      </c>
      <c r="AC431" t="str">
        <v>上櫃電子零組件</v>
      </c>
      <c r="AD431" t="str">
        <v>主要生產PCB上游材料磷銅球</v>
      </c>
      <c r="AE431" t="str">
        <f t="array" ref="AE431:AH431">[1]!'3115.TW-CName,InvestorConferenceDate,DateofMeetingofShareHolders,TradingDate'</f>
        <v>富榮綱</v>
      </c>
      <c r="AF431" t="str">
        <v>--</v>
      </c>
      <c r="AG431" t="str">
        <v>2022/04/21</v>
      </c>
      <c r="AH431" t="str">
        <v>2022/08/01</v>
      </c>
    </row>
    <row r="432" spans="1:34" x14ac:dyDescent="0.3">
      <c r="A432" t="str">
        <f t="array" ref="A432:J432">[1]!'3191.TW-ID,Name,MarketValue,Capital,NetIncomeGrowthRate,OperIncomeGrowthRate,FinancialStatementsTime,TFXRatio,MonthlyNetSalesYoY,RevenueMonth'</f>
        <v>3191</v>
      </c>
      <c r="B432" t="str">
        <v>和進</v>
      </c>
      <c r="C432" t="str">
        <v>7.3</v>
      </c>
      <c r="D432" t="str">
        <v>8.72</v>
      </c>
      <c r="E432" t="str">
        <v>77.89</v>
      </c>
      <c r="F432" t="str">
        <v>39.38</v>
      </c>
      <c r="G432" t="str">
        <v>2022/03</v>
      </c>
      <c r="H432" t="str">
        <v>5.71</v>
      </c>
      <c r="I432" t="str">
        <v>-48.26</v>
      </c>
      <c r="J432" t="str">
        <v>2022/06</v>
      </c>
      <c r="K432" t="str">
        <f t="array" ref="K432:T432">[1]!'3191.TW-OperatingProfitRatio,Price,PriceChangeRatio,InOutRatioNumber,Value,YearReturn,MonthReturn,WeekReturn,FinanceBalanceDif,ChipsField2'</f>
        <v>-19.82</v>
      </c>
      <c r="L432">
        <v>8.41</v>
      </c>
      <c r="M432">
        <v>0.12</v>
      </c>
      <c r="N432" t="str">
        <v>80.00%</v>
      </c>
      <c r="O432" t="str">
        <v>29.4萬</v>
      </c>
      <c r="P432" t="str">
        <v>+5.13</v>
      </c>
      <c r="Q432" t="str">
        <v>-8.49</v>
      </c>
      <c r="R432" t="str">
        <v>+0.12</v>
      </c>
      <c r="S432">
        <v>0</v>
      </c>
      <c r="T432">
        <v>0</v>
      </c>
      <c r="U432">
        <f t="array" ref="U432:AD432">[1]!'3191.TW-ChipsField3,ChipsField1,ChipsField25,CashAndStockDividend,CashDividendYieldRate,ProfitFourSeason,ProfitSingle,CName,ExchangeIndustry,CompanyPos'</f>
        <v>0</v>
      </c>
      <c r="V432">
        <v>0</v>
      </c>
      <c r="W432" t="str">
        <v>--</v>
      </c>
      <c r="X432" t="str">
        <v>0.00</v>
      </c>
      <c r="Y432">
        <v>0</v>
      </c>
      <c r="Z432" t="str">
        <v>-0.21</v>
      </c>
      <c r="AA432" t="str">
        <v>-0.07</v>
      </c>
      <c r="AB432" t="str">
        <v>和進</v>
      </c>
      <c r="AC432" t="str">
        <v>上櫃電子零組件</v>
      </c>
      <c r="AD432" t="str">
        <v>變壓器線架專業生產商</v>
      </c>
      <c r="AE432" t="str">
        <f t="array" ref="AE432:AH432">[1]!'3191.TW-CName,InvestorConferenceDate,DateofMeetingofShareHolders,TradingDate'</f>
        <v>和進</v>
      </c>
      <c r="AF432" t="str">
        <v>--</v>
      </c>
      <c r="AG432" t="str">
        <v>2022/06/20</v>
      </c>
      <c r="AH432" t="str">
        <v>2022/08/01</v>
      </c>
    </row>
    <row r="433" spans="1:34" x14ac:dyDescent="0.3">
      <c r="A433" t="str">
        <f t="array" ref="A433:J433">[1]!'3202.TW-ID,Name,MarketValue,Capital,NetIncomeGrowthRate,OperIncomeGrowthRate,FinancialStatementsTime,TFXRatio,MonthlyNetSalesYoY,RevenueMonth'</f>
        <v>3202</v>
      </c>
      <c r="B433" t="str">
        <v>樺晟</v>
      </c>
      <c r="C433" t="str">
        <v>16.3</v>
      </c>
      <c r="D433" t="str">
        <v>11.72</v>
      </c>
      <c r="E433" t="str">
        <v>-104.85</v>
      </c>
      <c r="F433" t="str">
        <v>-100.11</v>
      </c>
      <c r="G433" t="str">
        <v>2022/03</v>
      </c>
      <c r="H433" t="str">
        <v>-19.06</v>
      </c>
      <c r="I433" t="str">
        <v>-10.26</v>
      </c>
      <c r="J433" t="str">
        <v>2022/06</v>
      </c>
      <c r="K433" t="str">
        <f t="array" ref="K433:T433">[1]!'3202.TW-OperatingProfitRatio,Price,PriceChangeRatio,InOutRatioNumber,Value,YearReturn,MonthReturn,WeekReturn,FinanceBalanceDif,ChipsField2'</f>
        <v>-0.01</v>
      </c>
      <c r="L433">
        <v>13.95</v>
      </c>
      <c r="M433">
        <v>0.36</v>
      </c>
      <c r="N433" t="str">
        <v>64.71%</v>
      </c>
      <c r="O433" t="str">
        <v>142萬</v>
      </c>
      <c r="P433" t="str">
        <v>-2.45</v>
      </c>
      <c r="Q433" t="str">
        <v>+2.95</v>
      </c>
      <c r="R433" t="str">
        <v>-2.45</v>
      </c>
      <c r="S433">
        <v>0</v>
      </c>
      <c r="T433">
        <v>0</v>
      </c>
      <c r="U433">
        <f t="array" ref="U433:AD433">[1]!'3202.TW-ChipsField3,ChipsField1,ChipsField25,CashAndStockDividend,CashDividendYieldRate,ProfitFourSeason,ProfitSingle,CName,ExchangeIndustry,CompanyPos'</f>
        <v>0</v>
      </c>
      <c r="V433">
        <v>-9</v>
      </c>
      <c r="W433" t="str">
        <v>--</v>
      </c>
      <c r="X433" t="str">
        <v>0.00</v>
      </c>
      <c r="Y433">
        <v>0</v>
      </c>
      <c r="Z433" t="str">
        <v>0.00</v>
      </c>
      <c r="AA433" t="str">
        <v>-0.24</v>
      </c>
      <c r="AB433" t="str">
        <v>樺晟</v>
      </c>
      <c r="AC433" t="str">
        <v>上櫃電子零組件</v>
      </c>
      <c r="AD433" t="str">
        <v>台灣極細同軸線龍頭</v>
      </c>
      <c r="AE433" t="str">
        <f t="array" ref="AE433:AH433">[1]!'3202.TW-CName,InvestorConferenceDate,DateofMeetingofShareHolders,TradingDate'</f>
        <v>樺晟</v>
      </c>
      <c r="AF433" t="str">
        <v>--</v>
      </c>
      <c r="AG433" t="str">
        <v>2022/05/23</v>
      </c>
      <c r="AH433" t="str">
        <v>2022/08/01</v>
      </c>
    </row>
    <row r="434" spans="1:34" x14ac:dyDescent="0.3">
      <c r="A434" t="str">
        <f t="array" ref="A434:J434">[1]!'3206.TW-ID,Name,MarketValue,Capital,NetIncomeGrowthRate,OperIncomeGrowthRate,FinancialStatementsTime,TFXRatio,MonthlyNetSalesYoY,RevenueMonth'</f>
        <v>3206</v>
      </c>
      <c r="B434" t="str">
        <v>志豐</v>
      </c>
      <c r="C434" t="str">
        <v>16.0</v>
      </c>
      <c r="D434" t="str">
        <v>5.89</v>
      </c>
      <c r="E434" t="str">
        <v>31.42</v>
      </c>
      <c r="F434" t="str">
        <v>66.15</v>
      </c>
      <c r="G434" t="str">
        <v>2022/03</v>
      </c>
      <c r="H434" t="str">
        <v>-14.41</v>
      </c>
      <c r="I434" t="str">
        <v>4.71</v>
      </c>
      <c r="J434" t="str">
        <v>2022/06</v>
      </c>
      <c r="K434" t="str">
        <f t="array" ref="K434:T434">[1]!'3206.TW-OperatingProfitRatio,Price,PriceChangeRatio,InOutRatioNumber,Value,YearReturn,MonthReturn,WeekReturn,FinanceBalanceDif,ChipsField2'</f>
        <v>4.45</v>
      </c>
      <c r="L434">
        <v>27.2</v>
      </c>
      <c r="M434">
        <v>0.74</v>
      </c>
      <c r="N434" t="str">
        <v>68.18%</v>
      </c>
      <c r="O434" t="str">
        <v>59.2萬</v>
      </c>
      <c r="P434" t="str">
        <v>-14.08</v>
      </c>
      <c r="Q434" t="str">
        <v>+6.25</v>
      </c>
      <c r="R434" t="str">
        <v>+2.26</v>
      </c>
      <c r="S434">
        <v>-1</v>
      </c>
      <c r="T434">
        <v>0</v>
      </c>
      <c r="U434">
        <f t="array" ref="U434:AD434">[1]!'3206.TW-ChipsField3,ChipsField1,ChipsField25,CashAndStockDividend,CashDividendYieldRate,ProfitFourSeason,ProfitSingle,CName,ExchangeIndustry,CompanyPos'</f>
        <v>0</v>
      </c>
      <c r="V434">
        <v>0</v>
      </c>
      <c r="W434" t="str">
        <v>--</v>
      </c>
      <c r="X434" t="str">
        <v>1.80</v>
      </c>
      <c r="Y434">
        <v>6.62</v>
      </c>
      <c r="Z434" t="str">
        <v>2.54</v>
      </c>
      <c r="AA434" t="str">
        <v>0.68</v>
      </c>
      <c r="AB434" t="str">
        <v>志豐</v>
      </c>
      <c r="AC434" t="str">
        <v>上櫃電子零組件</v>
      </c>
      <c r="AD434" t="str">
        <v>耳機與蜂鳴器等電聲元件廠</v>
      </c>
      <c r="AE434" t="str">
        <f t="array" ref="AE434:AH434">[1]!'3206.TW-CName,InvestorConferenceDate,DateofMeetingofShareHolders,TradingDate'</f>
        <v>志豐</v>
      </c>
      <c r="AF434" t="str">
        <v>--</v>
      </c>
      <c r="AG434" t="str">
        <v>2022/06/06</v>
      </c>
      <c r="AH434" t="str">
        <v>2022/08/01</v>
      </c>
    </row>
    <row r="435" spans="1:34" x14ac:dyDescent="0.3">
      <c r="A435" t="str">
        <f t="array" ref="A435:J435">[1]!'3207.TW-ID,Name,MarketValue,Capital,NetIncomeGrowthRate,OperIncomeGrowthRate,FinancialStatementsTime,TFXRatio,MonthlyNetSalesYoY,RevenueMonth'</f>
        <v>3207</v>
      </c>
      <c r="B435" t="str">
        <v>耀勝</v>
      </c>
      <c r="C435" t="str">
        <v>20.4</v>
      </c>
      <c r="D435" t="str">
        <v>5.38</v>
      </c>
      <c r="E435" t="str">
        <v>1293.54</v>
      </c>
      <c r="F435" t="str">
        <v>167.32</v>
      </c>
      <c r="G435" t="str">
        <v>2022/03</v>
      </c>
      <c r="H435" t="str">
        <v>-0.45</v>
      </c>
      <c r="I435" t="str">
        <v>24.56</v>
      </c>
      <c r="J435" t="str">
        <v>2022/06</v>
      </c>
      <c r="K435" t="str">
        <f t="array" ref="K435:T435">[1]!'3207.TW-OperatingProfitRatio,Price,PriceChangeRatio,InOutRatioNumber,Value,YearReturn,MonthReturn,WeekReturn,FinanceBalanceDif,ChipsField2'</f>
        <v>2.09</v>
      </c>
      <c r="L435">
        <v>38</v>
      </c>
      <c r="M435">
        <v>2.15</v>
      </c>
      <c r="N435" t="str">
        <v>63.04%</v>
      </c>
      <c r="O435" t="str">
        <v>6596萬</v>
      </c>
      <c r="P435" t="str">
        <v>+176.36</v>
      </c>
      <c r="Q435" t="str">
        <v>+33.10</v>
      </c>
      <c r="R435" t="str">
        <v>+6.29</v>
      </c>
      <c r="S435">
        <v>161</v>
      </c>
      <c r="T435">
        <v>0</v>
      </c>
      <c r="U435">
        <f t="array" ref="U435:AD435">[1]!'3207.TW-ChipsField3,ChipsField1,ChipsField25,CashAndStockDividend,CashDividendYieldRate,ProfitFourSeason,ProfitSingle,CName,ExchangeIndustry,CompanyPos'</f>
        <v>0</v>
      </c>
      <c r="V435">
        <v>-307</v>
      </c>
      <c r="W435" t="str">
        <v>--</v>
      </c>
      <c r="X435" t="str">
        <v>0.00</v>
      </c>
      <c r="Y435">
        <v>0</v>
      </c>
      <c r="Z435" t="str">
        <v>1.05</v>
      </c>
      <c r="AA435" t="str">
        <v>0.32</v>
      </c>
      <c r="AB435" t="str">
        <v>耀勝</v>
      </c>
      <c r="AC435" t="str">
        <v>上櫃電子零組件</v>
      </c>
      <c r="AD435" t="str">
        <v>變壓器及電感線圈製造生產商</v>
      </c>
      <c r="AE435" t="str">
        <f t="array" ref="AE435:AH435">[1]!'3207.TW-CName,InvestorConferenceDate,DateofMeetingofShareHolders,TradingDate'</f>
        <v>耀勝</v>
      </c>
      <c r="AF435" t="str">
        <v>--</v>
      </c>
      <c r="AG435" t="str">
        <v>2022/05/24</v>
      </c>
      <c r="AH435" t="str">
        <v>2022/08/01</v>
      </c>
    </row>
    <row r="436" spans="1:34" x14ac:dyDescent="0.3">
      <c r="A436" t="str">
        <f t="array" ref="A436:J436">[1]!'3217.TW-ID,Name,MarketValue,Capital,NetIncomeGrowthRate,OperIncomeGrowthRate,FinancialStatementsTime,TFXRatio,MonthlyNetSalesYoY,RevenueMonth'</f>
        <v>3217</v>
      </c>
      <c r="B436" t="str">
        <v>優群</v>
      </c>
      <c r="C436" t="str">
        <v>66.0</v>
      </c>
      <c r="D436" t="str">
        <v>9.01</v>
      </c>
      <c r="E436" t="str">
        <v>16.16</v>
      </c>
      <c r="F436" t="str">
        <v>0.62</v>
      </c>
      <c r="G436" t="str">
        <v>2022/03</v>
      </c>
      <c r="H436" t="str">
        <v>-5.18</v>
      </c>
      <c r="I436" t="str">
        <v>-5.70</v>
      </c>
      <c r="J436" t="str">
        <v>2022/06</v>
      </c>
      <c r="K436" t="str">
        <f t="array" ref="K436:T436">[1]!'3217.TW-OperatingProfitRatio,Price,PriceChangeRatio,InOutRatioNumber,Value,YearReturn,MonthReturn,WeekReturn,FinanceBalanceDif,ChipsField2'</f>
        <v>22.41</v>
      </c>
      <c r="L436">
        <v>73.2</v>
      </c>
      <c r="M436">
        <v>-0.68</v>
      </c>
      <c r="N436" t="str">
        <v>29.29%</v>
      </c>
      <c r="O436" t="str">
        <v>1041萬</v>
      </c>
      <c r="P436" t="str">
        <v>-24.60</v>
      </c>
      <c r="Q436" t="str">
        <v>+11.08</v>
      </c>
      <c r="R436" t="str">
        <v>-2.27</v>
      </c>
      <c r="S436">
        <v>-12</v>
      </c>
      <c r="T436">
        <v>0</v>
      </c>
      <c r="U436">
        <f t="array" ref="U436:AD436">[1]!'3217.TW-ChipsField3,ChipsField1,ChipsField25,CashAndStockDividend,CashDividendYieldRate,ProfitFourSeason,ProfitSingle,CName,ExchangeIndustry,CompanyPos'</f>
        <v>1</v>
      </c>
      <c r="V436">
        <v>55</v>
      </c>
      <c r="W436" t="str">
        <v>2022/06/23</v>
      </c>
      <c r="X436" t="str">
        <v>5.60</v>
      </c>
      <c r="Y436">
        <v>7.65</v>
      </c>
      <c r="Z436" t="str">
        <v>7.36</v>
      </c>
      <c r="AA436" t="str">
        <v>1.80</v>
      </c>
      <c r="AB436" t="str">
        <v>優群</v>
      </c>
      <c r="AC436" t="str">
        <v>上櫃電子零組件</v>
      </c>
      <c r="AD436" t="str">
        <v>轉型成為自製研發的連接器廠</v>
      </c>
      <c r="AE436" t="str">
        <f t="array" ref="AE436:AH436">[1]!'3217.TW-CName,InvestorConferenceDate,DateofMeetingofShareHolders,TradingDate'</f>
        <v>優群</v>
      </c>
      <c r="AF436" t="str">
        <v>--</v>
      </c>
      <c r="AG436" t="str">
        <v>2022/06/08</v>
      </c>
      <c r="AH436" t="str">
        <v>2022/08/01</v>
      </c>
    </row>
    <row r="437" spans="1:34" x14ac:dyDescent="0.3">
      <c r="A437" t="str">
        <f t="array" ref="A437:J437">[1]!'3236.TW-ID,Name,MarketValue,Capital,NetIncomeGrowthRate,OperIncomeGrowthRate,FinancialStatementsTime,TFXRatio,MonthlyNetSalesYoY,RevenueMonth'</f>
        <v>3236</v>
      </c>
      <c r="B437" t="str">
        <v>千如</v>
      </c>
      <c r="C437" t="str">
        <v>20.2</v>
      </c>
      <c r="D437" t="str">
        <v>9.29</v>
      </c>
      <c r="E437" t="str">
        <v>69.80</v>
      </c>
      <c r="F437" t="str">
        <v>-29.60</v>
      </c>
      <c r="G437" t="str">
        <v>2022/03</v>
      </c>
      <c r="H437" t="str">
        <v>41.13</v>
      </c>
      <c r="I437" t="str">
        <v>40.73</v>
      </c>
      <c r="J437" t="str">
        <v>2022/06</v>
      </c>
      <c r="K437" t="str">
        <f t="array" ref="K437:T437">[1]!'3236.TW-OperatingProfitRatio,Price,PriceChangeRatio,InOutRatioNumber,Value,YearReturn,MonthReturn,WeekReturn,FinanceBalanceDif,ChipsField2'</f>
        <v>3.53</v>
      </c>
      <c r="L437">
        <v>21.7</v>
      </c>
      <c r="M437">
        <v>-3.13</v>
      </c>
      <c r="N437" t="str">
        <v>22.38%</v>
      </c>
      <c r="O437" t="str">
        <v>617萬</v>
      </c>
      <c r="P437" t="str">
        <v>-27.00</v>
      </c>
      <c r="Q437" t="str">
        <v>+17.30</v>
      </c>
      <c r="R437" t="str">
        <v>+4.08</v>
      </c>
      <c r="S437">
        <v>34</v>
      </c>
      <c r="T437">
        <v>0</v>
      </c>
      <c r="U437">
        <f t="array" ref="U437:AD437">[1]!'3236.TW-ChipsField3,ChipsField1,ChipsField25,CashAndStockDividend,CashDividendYieldRate,ProfitFourSeason,ProfitSingle,CName,ExchangeIndustry,CompanyPos'</f>
        <v>0</v>
      </c>
      <c r="V437">
        <v>-27</v>
      </c>
      <c r="W437" t="str">
        <v>--</v>
      </c>
      <c r="X437" t="str">
        <v>0.60</v>
      </c>
      <c r="Y437">
        <v>2.76</v>
      </c>
      <c r="Z437" t="str">
        <v>1.15</v>
      </c>
      <c r="AA437" t="str">
        <v>0.32</v>
      </c>
      <c r="AB437" t="str">
        <v>千如</v>
      </c>
      <c r="AC437" t="str">
        <v>上櫃電子零組件</v>
      </c>
      <c r="AD437" t="str">
        <v>台灣SMD晶片電感廠</v>
      </c>
      <c r="AE437" t="str">
        <f t="array" ref="AE437:AH437">[1]!'3236.TW-CName,InvestorConferenceDate,DateofMeetingofShareHolders,TradingDate'</f>
        <v>千如</v>
      </c>
      <c r="AF437" t="str">
        <v>2021/04/08</v>
      </c>
      <c r="AG437" t="str">
        <v>2022/06/09</v>
      </c>
      <c r="AH437" t="str">
        <v>2022/08/01</v>
      </c>
    </row>
    <row r="438" spans="1:34" x14ac:dyDescent="0.3">
      <c r="A438" t="str">
        <f t="array" ref="A438:J438">[1]!'3276.TW-ID,Name,MarketValue,Capital,NetIncomeGrowthRate,OperIncomeGrowthRate,FinancialStatementsTime,TFXRatio,MonthlyNetSalesYoY,RevenueMonth'</f>
        <v>3276</v>
      </c>
      <c r="B438" t="str">
        <v>宇環</v>
      </c>
      <c r="C438" t="str">
        <v>10.4</v>
      </c>
      <c r="D438" t="str">
        <v>6.97</v>
      </c>
      <c r="E438" t="str">
        <v>1233.17</v>
      </c>
      <c r="F438" t="str">
        <v>263.21</v>
      </c>
      <c r="G438" t="str">
        <v>2022/03</v>
      </c>
      <c r="H438" t="str">
        <v>-28.81</v>
      </c>
      <c r="I438" t="str">
        <v>-8.98</v>
      </c>
      <c r="J438" t="str">
        <v>2022/06</v>
      </c>
      <c r="K438" t="str">
        <f t="array" ref="K438:T438">[1]!'3276.TW-OperatingProfitRatio,Price,PriceChangeRatio,InOutRatioNumber,Value,YearReturn,MonthReturn,WeekReturn,FinanceBalanceDif,ChipsField2'</f>
        <v>5.43</v>
      </c>
      <c r="L438">
        <v>14.95</v>
      </c>
      <c r="M438">
        <v>0.34</v>
      </c>
      <c r="N438" t="str">
        <v>68.93%</v>
      </c>
      <c r="O438" t="str">
        <v>157萬</v>
      </c>
      <c r="P438" t="str">
        <v>+9.07</v>
      </c>
      <c r="Q438" t="str">
        <v>-5.97</v>
      </c>
      <c r="R438" t="str">
        <v>-0.99</v>
      </c>
      <c r="S438">
        <v>-10</v>
      </c>
      <c r="T438">
        <v>0</v>
      </c>
      <c r="U438">
        <f t="array" ref="U438:AD438">[1]!'3276.TW-ChipsField3,ChipsField1,ChipsField25,CashAndStockDividend,CashDividendYieldRate,ProfitFourSeason,ProfitSingle,CName,ExchangeIndustry,CompanyPos'</f>
        <v>0</v>
      </c>
      <c r="V438">
        <v>2</v>
      </c>
      <c r="W438" t="str">
        <v>2022/06/21</v>
      </c>
      <c r="X438" t="str">
        <v>0.40</v>
      </c>
      <c r="Y438">
        <v>2.68</v>
      </c>
      <c r="Z438" t="str">
        <v>1.49</v>
      </c>
      <c r="AA438" t="str">
        <v>0.42</v>
      </c>
      <c r="AB438" t="str">
        <v>宇環</v>
      </c>
      <c r="AC438" t="str">
        <v>上櫃電子零組件</v>
      </c>
      <c r="AD438" t="str">
        <v>志超轉投資印刷電路板公司</v>
      </c>
      <c r="AE438" t="str">
        <f t="array" ref="AE438:AH438">[1]!'3276.TW-CName,InvestorConferenceDate,DateofMeetingofShareHolders,TradingDate'</f>
        <v>宇環</v>
      </c>
      <c r="AF438" t="str">
        <v>--</v>
      </c>
      <c r="AG438" t="str">
        <v>2022/06/17</v>
      </c>
      <c r="AH438" t="str">
        <v>2022/08/01</v>
      </c>
    </row>
    <row r="439" spans="1:34" x14ac:dyDescent="0.3">
      <c r="A439" t="str">
        <f t="array" ref="A439:J439">[1]!'3288.TW-ID,Name,MarketValue,Capital,NetIncomeGrowthRate,OperIncomeGrowthRate,FinancialStatementsTime,TFXRatio,MonthlyNetSalesYoY,RevenueMonth'</f>
        <v>3288</v>
      </c>
      <c r="B439" t="str">
        <v>點晶</v>
      </c>
      <c r="C439" t="str">
        <v>3.2</v>
      </c>
      <c r="D439" t="str">
        <v>2.27</v>
      </c>
      <c r="E439" t="str">
        <v>116.83</v>
      </c>
      <c r="F439" t="str">
        <v>198.59</v>
      </c>
      <c r="G439" t="str">
        <v>2022/03</v>
      </c>
      <c r="H439" t="str">
        <v>-30.94</v>
      </c>
      <c r="I439" t="str">
        <v>22.74</v>
      </c>
      <c r="J439" t="str">
        <v>2022/06</v>
      </c>
      <c r="K439" t="str">
        <f t="array" ref="K439:T439">[1]!'3288.TW-OperatingProfitRatio,Price,PriceChangeRatio,InOutRatioNumber,Value,YearReturn,MonthReturn,WeekReturn,FinanceBalanceDif,ChipsField2'</f>
        <v>3.16</v>
      </c>
      <c r="L439">
        <v>14.15</v>
      </c>
      <c r="M439">
        <v>0</v>
      </c>
      <c r="N439" t="str">
        <v>50.00%</v>
      </c>
      <c r="O439" t="str">
        <v>2.87萬</v>
      </c>
      <c r="P439" t="str">
        <v>-23.10</v>
      </c>
      <c r="Q439" t="str">
        <v>-6.29</v>
      </c>
      <c r="R439" t="str">
        <v>-7.52</v>
      </c>
      <c r="S439">
        <v>0</v>
      </c>
      <c r="T439">
        <v>0</v>
      </c>
      <c r="U439">
        <f t="array" ref="U439:AD439">[1]!'3288.TW-ChipsField3,ChipsField1,ChipsField25,CashAndStockDividend,CashDividendYieldRate,ProfitFourSeason,ProfitSingle,CName,ExchangeIndustry,CompanyPos'</f>
        <v>0</v>
      </c>
      <c r="V439">
        <v>0</v>
      </c>
      <c r="W439" t="str">
        <v>--</v>
      </c>
      <c r="X439" t="str">
        <v>0.00</v>
      </c>
      <c r="Y439">
        <v>0</v>
      </c>
      <c r="Z439" t="str">
        <v>-1.38</v>
      </c>
      <c r="AA439" t="str">
        <v>0.02</v>
      </c>
      <c r="AB439" t="str">
        <v>點晶</v>
      </c>
      <c r="AC439" t="str">
        <v>上櫃電子零組件</v>
      </c>
      <c r="AD439" t="str">
        <v>LED、馬達驅動應用的類比IC設計廠商</v>
      </c>
      <c r="AE439" t="str">
        <f t="array" ref="AE439:AH439">[1]!'3288.TW-CName,InvestorConferenceDate,DateofMeetingofShareHolders,TradingDate'</f>
        <v>點晶</v>
      </c>
      <c r="AF439" t="str">
        <v>--</v>
      </c>
      <c r="AG439" t="str">
        <v>2022/06/06</v>
      </c>
      <c r="AH439" t="str">
        <v>2022/08/01</v>
      </c>
    </row>
    <row r="440" spans="1:34" x14ac:dyDescent="0.3">
      <c r="A440" t="str">
        <f t="array" ref="A440:J440">[1]!'3290.TW-ID,Name,MarketValue,Capital,NetIncomeGrowthRate,OperIncomeGrowthRate,FinancialStatementsTime,TFXRatio,MonthlyNetSalesYoY,RevenueMonth'</f>
        <v>3290</v>
      </c>
      <c r="B440" t="str">
        <v>東浦</v>
      </c>
      <c r="C440" t="str">
        <v>21.6</v>
      </c>
      <c r="D440" t="str">
        <v>9.95</v>
      </c>
      <c r="E440" t="str">
        <v>-1569.40</v>
      </c>
      <c r="F440" t="str">
        <v>-542.36</v>
      </c>
      <c r="G440" t="str">
        <v>2022/03</v>
      </c>
      <c r="H440" t="str">
        <v>13.09</v>
      </c>
      <c r="I440" t="str">
        <v>34.13</v>
      </c>
      <c r="J440" t="str">
        <v>2022/06</v>
      </c>
      <c r="K440" t="str">
        <f t="array" ref="K440:T440">[1]!'3290.TW-OperatingProfitRatio,Price,PriceChangeRatio,InOutRatioNumber,Value,YearReturn,MonthReturn,WeekReturn,FinanceBalanceDif,ChipsField2'</f>
        <v>-13.22</v>
      </c>
      <c r="L440">
        <v>21.7</v>
      </c>
      <c r="M440">
        <v>0.46</v>
      </c>
      <c r="N440" t="str">
        <v>56.65%</v>
      </c>
      <c r="O440" t="str">
        <v>401萬</v>
      </c>
      <c r="P440" t="str">
        <v>+69.58</v>
      </c>
      <c r="Q440" t="str">
        <v>+8.77</v>
      </c>
      <c r="R440" t="str">
        <v>+10.43</v>
      </c>
      <c r="S440">
        <v>46</v>
      </c>
      <c r="T440">
        <v>0</v>
      </c>
      <c r="U440">
        <f t="array" ref="U440:AD440">[1]!'3290.TW-ChipsField3,ChipsField1,ChipsField25,CashAndStockDividend,CashDividendYieldRate,ProfitFourSeason,ProfitSingle,CName,ExchangeIndustry,CompanyPos'</f>
        <v>0</v>
      </c>
      <c r="V440">
        <v>2</v>
      </c>
      <c r="W440" t="str">
        <v>--</v>
      </c>
      <c r="X440" t="str">
        <v>0.50</v>
      </c>
      <c r="Y440">
        <v>2.2999999999999998</v>
      </c>
      <c r="Z440" t="str">
        <v>0.36</v>
      </c>
      <c r="AA440" t="str">
        <v>-0.38</v>
      </c>
      <c r="AB440" t="str">
        <v>東浦</v>
      </c>
      <c r="AC440" t="str">
        <v>上櫃電子零組件</v>
      </c>
      <c r="AD440" t="str">
        <v>塑膠精密元件模具廠及光學透明鏡片等專業代工</v>
      </c>
      <c r="AE440" t="str">
        <f t="array" ref="AE440:AH440">[1]!'3290.TW-CName,InvestorConferenceDate,DateofMeetingofShareHolders,TradingDate'</f>
        <v>東浦</v>
      </c>
      <c r="AF440" t="str">
        <v>--</v>
      </c>
      <c r="AG440" t="str">
        <v>2022/06/14</v>
      </c>
      <c r="AH440" t="str">
        <v>2022/08/01</v>
      </c>
    </row>
    <row r="441" spans="1:34" x14ac:dyDescent="0.3">
      <c r="A441" t="str">
        <f t="array" ref="A441:J441">[1]!'3294.TW-ID,Name,MarketValue,Capital,NetIncomeGrowthRate,OperIncomeGrowthRate,FinancialStatementsTime,TFXRatio,MonthlyNetSalesYoY,RevenueMonth'</f>
        <v>3294</v>
      </c>
      <c r="B441" t="str">
        <v>英濟</v>
      </c>
      <c r="C441" t="str">
        <v>26.7</v>
      </c>
      <c r="D441" t="str">
        <v>13.20</v>
      </c>
      <c r="E441" t="str">
        <v>-298.44</v>
      </c>
      <c r="F441" t="str">
        <v>-165.98</v>
      </c>
      <c r="G441" t="str">
        <v>2022/03</v>
      </c>
      <c r="H441" t="str">
        <v>119.80</v>
      </c>
      <c r="I441" t="str">
        <v>20.86</v>
      </c>
      <c r="J441" t="str">
        <v>2022/06</v>
      </c>
      <c r="K441" t="str">
        <f t="array" ref="K441:T441">[1]!'3294.TW-OperatingProfitRatio,Price,PriceChangeRatio,InOutRatioNumber,Value,YearReturn,MonthReturn,WeekReturn,FinanceBalanceDif,ChipsField2'</f>
        <v>-2.30</v>
      </c>
      <c r="L441">
        <v>20.2</v>
      </c>
      <c r="M441">
        <v>-0.98</v>
      </c>
      <c r="N441" t="str">
        <v>55.48%</v>
      </c>
      <c r="O441" t="str">
        <v>297萬</v>
      </c>
      <c r="P441" t="str">
        <v>+10.47</v>
      </c>
      <c r="Q441" t="str">
        <v>+14.77</v>
      </c>
      <c r="R441" t="str">
        <v>+1.76</v>
      </c>
      <c r="S441">
        <v>-1</v>
      </c>
      <c r="T441">
        <v>0</v>
      </c>
      <c r="U441">
        <f t="array" ref="U441:AD441">[1]!'3294.TW-ChipsField3,ChipsField1,ChipsField25,CashAndStockDividend,CashDividendYieldRate,ProfitFourSeason,ProfitSingle,CName,ExchangeIndustry,CompanyPos'</f>
        <v>-76</v>
      </c>
      <c r="V441">
        <v>116</v>
      </c>
      <c r="W441" t="str">
        <v>2022/06/29</v>
      </c>
      <c r="X441" t="str">
        <v>0.25</v>
      </c>
      <c r="Y441">
        <v>1.24</v>
      </c>
      <c r="Z441" t="str">
        <v>-0.30</v>
      </c>
      <c r="AA441" t="str">
        <v>-0.32</v>
      </c>
      <c r="AB441" t="str">
        <v>英濟</v>
      </c>
      <c r="AC441" t="str">
        <v>上櫃電子零組件</v>
      </c>
      <c r="AD441" t="str">
        <v>專營塑膠零組件射出與模具廠</v>
      </c>
      <c r="AE441" t="str">
        <f t="array" ref="AE441:AH441">[1]!'3294.TW-CName,InvestorConferenceDate,DateofMeetingofShareHolders,TradingDate'</f>
        <v>英濟</v>
      </c>
      <c r="AF441" t="str">
        <v>--</v>
      </c>
      <c r="AG441" t="str">
        <v>2022/06/08</v>
      </c>
      <c r="AH441" t="str">
        <v>2022/08/01</v>
      </c>
    </row>
    <row r="442" spans="1:34" x14ac:dyDescent="0.3">
      <c r="A442" t="str">
        <f t="array" ref="A442:J442">[1]!'3310.TW-ID,Name,MarketValue,Capital,NetIncomeGrowthRate,OperIncomeGrowthRate,FinancialStatementsTime,TFXRatio,MonthlyNetSalesYoY,RevenueMonth'</f>
        <v>3310</v>
      </c>
      <c r="B442" t="str">
        <v>佳穎</v>
      </c>
      <c r="C442" t="str">
        <v>21.7</v>
      </c>
      <c r="D442" t="str">
        <v>5.27</v>
      </c>
      <c r="E442" t="str">
        <v>125.05</v>
      </c>
      <c r="F442" t="str">
        <v>-9.62</v>
      </c>
      <c r="G442" t="str">
        <v>2022/03</v>
      </c>
      <c r="H442" t="str">
        <v>14.30</v>
      </c>
      <c r="I442" t="str">
        <v>39.18</v>
      </c>
      <c r="J442" t="str">
        <v>2022/06</v>
      </c>
      <c r="K442" t="str">
        <f t="array" ref="K442:T442">[1]!'3310.TW-OperatingProfitRatio,Price,PriceChangeRatio,InOutRatioNumber,Value,YearReturn,MonthReturn,WeekReturn,FinanceBalanceDif,ChipsField2'</f>
        <v>5.93</v>
      </c>
      <c r="L442">
        <v>41.25</v>
      </c>
      <c r="M442">
        <v>1.85</v>
      </c>
      <c r="N442" t="str">
        <v>53.42%</v>
      </c>
      <c r="O442" t="str">
        <v>1616萬</v>
      </c>
      <c r="P442" t="str">
        <v>+55.90</v>
      </c>
      <c r="Q442" t="str">
        <v>+17.24</v>
      </c>
      <c r="R442" t="str">
        <v>+13.32</v>
      </c>
      <c r="S442">
        <v>91</v>
      </c>
      <c r="T442">
        <v>0</v>
      </c>
      <c r="U442">
        <f t="array" ref="U442:AD442">[1]!'3310.TW-ChipsField3,ChipsField1,ChipsField25,CashAndStockDividend,CashDividendYieldRate,ProfitFourSeason,ProfitSingle,CName,ExchangeIndustry,CompanyPos'</f>
        <v>3</v>
      </c>
      <c r="V442">
        <v>-21</v>
      </c>
      <c r="W442" t="str">
        <v>2022/07/12</v>
      </c>
      <c r="X442" t="str">
        <v>2.17</v>
      </c>
      <c r="Y442">
        <v>5.26</v>
      </c>
      <c r="Z442" t="str">
        <v>1.78</v>
      </c>
      <c r="AA442" t="str">
        <v>0.82</v>
      </c>
      <c r="AB442" t="str">
        <v>佳穎</v>
      </c>
      <c r="AC442" t="str">
        <v>上櫃電子零組件</v>
      </c>
      <c r="AD442" t="str">
        <v>台灣LED導線架及沖壓零件供應商</v>
      </c>
      <c r="AE442" t="str">
        <f t="array" ref="AE442:AH442">[1]!'3310.TW-CName,InvestorConferenceDate,DateofMeetingofShareHolders,TradingDate'</f>
        <v>佳穎</v>
      </c>
      <c r="AF442" t="str">
        <v>--</v>
      </c>
      <c r="AG442" t="str">
        <v>2022/06/15</v>
      </c>
      <c r="AH442" t="str">
        <v>2022/08/01</v>
      </c>
    </row>
    <row r="443" spans="1:34" x14ac:dyDescent="0.3">
      <c r="A443" t="str">
        <f t="array" ref="A443:J443">[1]!'3322.TW-ID,Name,MarketValue,Capital,NetIncomeGrowthRate,OperIncomeGrowthRate,FinancialStatementsTime,TFXRatio,MonthlyNetSalesYoY,RevenueMonth'</f>
        <v>3322</v>
      </c>
      <c r="B443" t="str">
        <v>建舜電</v>
      </c>
      <c r="C443" t="str">
        <v>19.5</v>
      </c>
      <c r="D443" t="str">
        <v>10.75</v>
      </c>
      <c r="E443" t="str">
        <v>46.03</v>
      </c>
      <c r="F443" t="str">
        <v>-12.56</v>
      </c>
      <c r="G443" t="str">
        <v>2022/03</v>
      </c>
      <c r="H443" t="str">
        <v>18.45</v>
      </c>
      <c r="I443" t="str">
        <v>-37.45</v>
      </c>
      <c r="J443" t="str">
        <v>2022/06</v>
      </c>
      <c r="K443" t="str">
        <f t="array" ref="K443:T443">[1]!'3322.TW-OperatingProfitRatio,Price,PriceChangeRatio,InOutRatioNumber,Value,YearReturn,MonthReturn,WeekReturn,FinanceBalanceDif,ChipsField2'</f>
        <v>2.30</v>
      </c>
      <c r="L443">
        <v>18.100000000000001</v>
      </c>
      <c r="M443">
        <v>0.28000000000000003</v>
      </c>
      <c r="N443" t="str">
        <v>41.67%</v>
      </c>
      <c r="O443" t="str">
        <v>602萬</v>
      </c>
      <c r="P443" t="str">
        <v>+7.74</v>
      </c>
      <c r="Q443" t="str">
        <v>+21.07</v>
      </c>
      <c r="R443" t="str">
        <v>+1.69</v>
      </c>
      <c r="S443">
        <v>8</v>
      </c>
      <c r="T443">
        <v>0</v>
      </c>
      <c r="U443">
        <f t="array" ref="U443:AD443">[1]!'3322.TW-ChipsField3,ChipsField1,ChipsField25,CashAndStockDividend,CashDividendYieldRate,ProfitFourSeason,ProfitSingle,CName,ExchangeIndustry,CompanyPos'</f>
        <v>0</v>
      </c>
      <c r="V443">
        <v>301</v>
      </c>
      <c r="W443" t="str">
        <v>--</v>
      </c>
      <c r="X443" t="str">
        <v>0.60</v>
      </c>
      <c r="Y443">
        <v>3.31</v>
      </c>
      <c r="Z443" t="str">
        <v>2.02</v>
      </c>
      <c r="AA443" t="str">
        <v>0.29</v>
      </c>
      <c r="AB443" t="str">
        <v>建舜電</v>
      </c>
      <c r="AC443" t="str">
        <v>上櫃電子零組件</v>
      </c>
      <c r="AD443" t="str">
        <v>台灣連接元件及電子週邊元件廠</v>
      </c>
      <c r="AE443" t="str">
        <f t="array" ref="AE443:AH443">[1]!'3322.TW-CName,InvestorConferenceDate,DateofMeetingofShareHolders,TradingDate'</f>
        <v>建舜電</v>
      </c>
      <c r="AF443" t="str">
        <v>2021/11/18</v>
      </c>
      <c r="AG443" t="str">
        <v>2022/06/16</v>
      </c>
      <c r="AH443" t="str">
        <v>2022/08/01</v>
      </c>
    </row>
    <row r="444" spans="1:34" x14ac:dyDescent="0.3">
      <c r="A444" t="str">
        <f t="array" ref="A444:J444">[1]!'3332.TW-ID,Name,MarketValue,Capital,NetIncomeGrowthRate,OperIncomeGrowthRate,FinancialStatementsTime,TFXRatio,MonthlyNetSalesYoY,RevenueMonth'</f>
        <v>3332</v>
      </c>
      <c r="B444" t="str">
        <v>幸康</v>
      </c>
      <c r="C444" t="str">
        <v>23.9</v>
      </c>
      <c r="D444" t="str">
        <v>4.81</v>
      </c>
      <c r="E444" t="str">
        <v>131.03</v>
      </c>
      <c r="F444" t="str">
        <v>56.71</v>
      </c>
      <c r="G444" t="str">
        <v>2022/03</v>
      </c>
      <c r="H444" t="str">
        <v>9.46</v>
      </c>
      <c r="I444" t="str">
        <v>96.29</v>
      </c>
      <c r="J444" t="str">
        <v>2022/06</v>
      </c>
      <c r="K444" t="str">
        <f t="array" ref="K444:T444">[1]!'3332.TW-OperatingProfitRatio,Price,PriceChangeRatio,InOutRatioNumber,Value,YearReturn,MonthReturn,WeekReturn,FinanceBalanceDif,ChipsField2'</f>
        <v>9.70</v>
      </c>
      <c r="L444">
        <v>49.7</v>
      </c>
      <c r="M444">
        <v>3.43</v>
      </c>
      <c r="N444" t="str">
        <v>62.50%</v>
      </c>
      <c r="O444" t="str">
        <v>567萬</v>
      </c>
      <c r="P444" t="str">
        <v>+34.50</v>
      </c>
      <c r="Q444" t="str">
        <v>+25.35</v>
      </c>
      <c r="R444" t="str">
        <v>+1.74</v>
      </c>
      <c r="S444">
        <v>4</v>
      </c>
      <c r="T444">
        <v>0</v>
      </c>
      <c r="U444">
        <f t="array" ref="U444:AD444">[1]!'3332.TW-ChipsField3,ChipsField1,ChipsField25,CashAndStockDividend,CashDividendYieldRate,ProfitFourSeason,ProfitSingle,CName,ExchangeIndustry,CompanyPos'</f>
        <v>0</v>
      </c>
      <c r="V444">
        <v>-1</v>
      </c>
      <c r="W444" t="str">
        <v>2022/08/04</v>
      </c>
      <c r="X444" t="str">
        <v>1.00</v>
      </c>
      <c r="Y444">
        <v>2.0099999999999998</v>
      </c>
      <c r="Z444" t="str">
        <v>2.69</v>
      </c>
      <c r="AA444" t="str">
        <v>0.86</v>
      </c>
      <c r="AB444" t="str">
        <v>幸康</v>
      </c>
      <c r="AC444" t="str">
        <v>上櫃電子零組件</v>
      </c>
      <c r="AD444" t="str">
        <v>台灣專攻工業電源供應器廠，主銷歐美市場</v>
      </c>
      <c r="AE444" t="str">
        <f t="array" ref="AE444:AH444">[1]!'3332.TW-CName,InvestorConferenceDate,DateofMeetingofShareHolders,TradingDate'</f>
        <v>幸康</v>
      </c>
      <c r="AF444" t="str">
        <v>--</v>
      </c>
      <c r="AG444" t="str">
        <v>2022/06/29</v>
      </c>
      <c r="AH444" t="str">
        <v>2022/08/01</v>
      </c>
    </row>
    <row r="445" spans="1:34" x14ac:dyDescent="0.3">
      <c r="A445" t="str">
        <f t="array" ref="A445:J445">[1]!'3354.TW-ID,Name,MarketValue,Capital,NetIncomeGrowthRate,OperIncomeGrowthRate,FinancialStatementsTime,TFXRatio,MonthlyNetSalesYoY,RevenueMonth'</f>
        <v>3354</v>
      </c>
      <c r="B445" t="str">
        <v>律勝</v>
      </c>
      <c r="C445" t="str">
        <v>12.1</v>
      </c>
      <c r="D445" t="str">
        <v>7.01</v>
      </c>
      <c r="E445" t="str">
        <v>166.42</v>
      </c>
      <c r="F445" t="str">
        <v>-9.60</v>
      </c>
      <c r="G445" t="str">
        <v>2022/03</v>
      </c>
      <c r="H445" t="str">
        <v>-9.92</v>
      </c>
      <c r="I445" t="str">
        <v>1.61</v>
      </c>
      <c r="J445" t="str">
        <v>2022/06</v>
      </c>
      <c r="K445" t="str">
        <f t="array" ref="K445:T445">[1]!'3354.TW-OperatingProfitRatio,Price,PriceChangeRatio,InOutRatioNumber,Value,YearReturn,MonthReturn,WeekReturn,FinanceBalanceDif,ChipsField2'</f>
        <v>-39.21</v>
      </c>
      <c r="L445">
        <v>17.2</v>
      </c>
      <c r="M445">
        <v>-0.57999999999999996</v>
      </c>
      <c r="N445" t="str">
        <v>55.33%</v>
      </c>
      <c r="O445" t="str">
        <v>522萬</v>
      </c>
      <c r="P445" t="str">
        <v>+10.92</v>
      </c>
      <c r="Q445" t="str">
        <v>-2.09</v>
      </c>
      <c r="R445" t="str">
        <v>+1.78</v>
      </c>
      <c r="S445">
        <v>33</v>
      </c>
      <c r="T445">
        <v>0</v>
      </c>
      <c r="U445">
        <f t="array" ref="U445:AD445">[1]!'3354.TW-ChipsField3,ChipsField1,ChipsField25,CashAndStockDividend,CashDividendYieldRate,ProfitFourSeason,ProfitSingle,CName,ExchangeIndustry,CompanyPos'</f>
        <v>0</v>
      </c>
      <c r="V445">
        <v>-21</v>
      </c>
      <c r="W445" t="str">
        <v>2022/07/12</v>
      </c>
      <c r="X445" t="str">
        <v>0.30</v>
      </c>
      <c r="Y445">
        <v>1.74</v>
      </c>
      <c r="Z445" t="str">
        <v>-0.58</v>
      </c>
      <c r="AA445" t="str">
        <v>0.06</v>
      </c>
      <c r="AB445" t="str">
        <v>律勝</v>
      </c>
      <c r="AC445" t="str">
        <v>上櫃電子零組件</v>
      </c>
      <c r="AD445" t="str">
        <v>台灣軟式印刷電路板基材製造商</v>
      </c>
      <c r="AE445" t="str">
        <f t="array" ref="AE445:AH445">[1]!'3354.TW-CName,InvestorConferenceDate,DateofMeetingofShareHolders,TradingDate'</f>
        <v>律勝</v>
      </c>
      <c r="AF445" t="str">
        <v>--</v>
      </c>
      <c r="AG445" t="str">
        <v>2022/06/23</v>
      </c>
      <c r="AH445" t="str">
        <v>2022/08/01</v>
      </c>
    </row>
    <row r="446" spans="1:34" x14ac:dyDescent="0.3">
      <c r="A446" t="str">
        <f t="array" ref="A446:J446">[1]!'3357.TW-ID,Name,MarketValue,Capital,NetIncomeGrowthRate,OperIncomeGrowthRate,FinancialStatementsTime,TFXRatio,MonthlyNetSalesYoY,RevenueMonth'</f>
        <v>3357</v>
      </c>
      <c r="B446" t="str">
        <v>臺慶科</v>
      </c>
      <c r="C446" t="str">
        <v>90.8</v>
      </c>
      <c r="D446" t="str">
        <v>10.31</v>
      </c>
      <c r="E446" t="str">
        <v>32.52</v>
      </c>
      <c r="F446" t="str">
        <v>17.34</v>
      </c>
      <c r="G446" t="str">
        <v>2022/03</v>
      </c>
      <c r="H446" t="str">
        <v>-13.74</v>
      </c>
      <c r="I446" t="str">
        <v>-19.60</v>
      </c>
      <c r="J446" t="str">
        <v>2022/06</v>
      </c>
      <c r="K446" t="str">
        <f t="array" ref="K446:T446">[1]!'3357.TW-OperatingProfitRatio,Price,PriceChangeRatio,InOutRatioNumber,Value,YearReturn,MonthReturn,WeekReturn,FinanceBalanceDif,ChipsField2'</f>
        <v>20.08</v>
      </c>
      <c r="L446">
        <v>88</v>
      </c>
      <c r="M446">
        <v>-0.23</v>
      </c>
      <c r="N446" t="str">
        <v>42.86%</v>
      </c>
      <c r="O446" t="str">
        <v>385萬</v>
      </c>
      <c r="P446" t="str">
        <v>-43.64</v>
      </c>
      <c r="Q446" t="str">
        <v>+12.99</v>
      </c>
      <c r="R446" t="str">
        <v>-0.11</v>
      </c>
      <c r="S446">
        <v>3</v>
      </c>
      <c r="T446">
        <v>0</v>
      </c>
      <c r="U446">
        <f t="array" ref="U446:AD446">[1]!'3357.TW-ChipsField3,ChipsField1,ChipsField25,CashAndStockDividend,CashDividendYieldRate,ProfitFourSeason,ProfitSingle,CName,ExchangeIndustry,CompanyPos'</f>
        <v>0</v>
      </c>
      <c r="V446">
        <v>-1</v>
      </c>
      <c r="W446" t="str">
        <v>2022/07/07</v>
      </c>
      <c r="X446" t="str">
        <v>7.00</v>
      </c>
      <c r="Y446">
        <v>7.95</v>
      </c>
      <c r="Z446" t="str">
        <v>12.58</v>
      </c>
      <c r="AA446" t="str">
        <v>2.97</v>
      </c>
      <c r="AB446" t="str">
        <v>臺慶科</v>
      </c>
      <c r="AC446" t="str">
        <v>上櫃電子零組件</v>
      </c>
      <c r="AD446" t="str">
        <v>台灣全系列電感元件製造商</v>
      </c>
      <c r="AE446" t="str">
        <f t="array" ref="AE446:AH446">[1]!'3357.TW-CName,InvestorConferenceDate,DateofMeetingofShareHolders,TradingDate'</f>
        <v>臺慶科</v>
      </c>
      <c r="AF446" t="str">
        <v>2021/11/17</v>
      </c>
      <c r="AG446" t="str">
        <v>2022/06/21</v>
      </c>
      <c r="AH446" t="str">
        <v>2022/08/01</v>
      </c>
    </row>
    <row r="447" spans="1:34" x14ac:dyDescent="0.3">
      <c r="A447" t="str">
        <f t="array" ref="A447:J447">[1]!'3388.TW-ID,Name,MarketValue,Capital,NetIncomeGrowthRate,OperIncomeGrowthRate,FinancialStatementsTime,TFXRatio,MonthlyNetSalesYoY,RevenueMonth'</f>
        <v>3388</v>
      </c>
      <c r="B447" t="str">
        <v>崇越電</v>
      </c>
      <c r="C447" t="str">
        <v>57.2</v>
      </c>
      <c r="D447" t="str">
        <v>7.41</v>
      </c>
      <c r="E447" t="str">
        <v>11.68</v>
      </c>
      <c r="F447" t="str">
        <v>13.78</v>
      </c>
      <c r="G447" t="str">
        <v>2022/03</v>
      </c>
      <c r="H447" t="str">
        <v>5.49</v>
      </c>
      <c r="I447" t="str">
        <v>7.46</v>
      </c>
      <c r="J447" t="str">
        <v>2022/06</v>
      </c>
      <c r="K447" t="str">
        <f t="array" ref="K447:T447">[1]!'3388.TW-OperatingProfitRatio,Price,PriceChangeRatio,InOutRatioNumber,Value,YearReturn,MonthReturn,WeekReturn,FinanceBalanceDif,ChipsField2'</f>
        <v>8.56</v>
      </c>
      <c r="L447">
        <v>77.2</v>
      </c>
      <c r="M447">
        <v>0.13</v>
      </c>
      <c r="N447" t="str">
        <v>10.61%</v>
      </c>
      <c r="O447" t="str">
        <v>516萬</v>
      </c>
      <c r="P447" t="str">
        <v>+8.76</v>
      </c>
      <c r="Q447" t="str">
        <v>+4.89</v>
      </c>
      <c r="R447" t="str">
        <v>0.00</v>
      </c>
      <c r="S447">
        <v>0</v>
      </c>
      <c r="T447">
        <v>0</v>
      </c>
      <c r="U447">
        <f t="array" ref="U447:AD447">[1]!'3388.TW-ChipsField3,ChipsField1,ChipsField25,CashAndStockDividend,CashDividendYieldRate,ProfitFourSeason,ProfitSingle,CName,ExchangeIndustry,CompanyPos'</f>
        <v>0</v>
      </c>
      <c r="V447">
        <v>1</v>
      </c>
      <c r="W447" t="str">
        <v>2022/06/16</v>
      </c>
      <c r="X447" t="str">
        <v>6.00</v>
      </c>
      <c r="Y447">
        <v>7.77</v>
      </c>
      <c r="Z447" t="str">
        <v>8.33</v>
      </c>
      <c r="AA447" t="str">
        <v>2.17</v>
      </c>
      <c r="AB447" t="str">
        <v>崇越電</v>
      </c>
      <c r="AC447" t="str">
        <v>上櫃電子零組件</v>
      </c>
      <c r="AD447" t="str">
        <v>台灣矽利光產品專業代理通路商</v>
      </c>
      <c r="AE447" t="str">
        <f t="array" ref="AE447:AH447">[1]!'3388.TW-CName,InvestorConferenceDate,DateofMeetingofShareHolders,TradingDate'</f>
        <v>崇越電</v>
      </c>
      <c r="AF447" t="str">
        <v>2022/03/28</v>
      </c>
      <c r="AG447" t="str">
        <v>2022/05/31</v>
      </c>
      <c r="AH447" t="str">
        <v>2022/08/01</v>
      </c>
    </row>
    <row r="448" spans="1:34" x14ac:dyDescent="0.3">
      <c r="A448" t="str">
        <f t="array" ref="A448:J448">[1]!'3390.TW-ID,Name,MarketValue,Capital,NetIncomeGrowthRate,OperIncomeGrowthRate,FinancialStatementsTime,TFXRatio,MonthlyNetSalesYoY,RevenueMonth'</f>
        <v>3390</v>
      </c>
      <c r="B448" t="str">
        <v>旭軟</v>
      </c>
      <c r="C448" t="str">
        <v>16.3</v>
      </c>
      <c r="D448" t="str">
        <v>6.75</v>
      </c>
      <c r="E448" t="str">
        <v>4252.57</v>
      </c>
      <c r="F448" t="str">
        <v>-3090.70</v>
      </c>
      <c r="G448" t="str">
        <v>2022/03</v>
      </c>
      <c r="H448" t="str">
        <v>2.90</v>
      </c>
      <c r="I448" t="str">
        <v>31.37</v>
      </c>
      <c r="J448" t="str">
        <v>2022/06</v>
      </c>
      <c r="K448" t="str">
        <f t="array" ref="K448:T448">[1]!'3390.TW-OperatingProfitRatio,Price,PriceChangeRatio,InOutRatioNumber,Value,YearReturn,MonthReturn,WeekReturn,FinanceBalanceDif,ChipsField2'</f>
        <v>-6.91</v>
      </c>
      <c r="L448">
        <v>24.1</v>
      </c>
      <c r="M448">
        <v>0.21</v>
      </c>
      <c r="N448" t="str">
        <v>36.97%</v>
      </c>
      <c r="O448" t="str">
        <v>8290萬</v>
      </c>
      <c r="P448" t="str">
        <v>+28.81</v>
      </c>
      <c r="Q448" t="str">
        <v>+25.19</v>
      </c>
      <c r="R448" t="str">
        <v>+6.64</v>
      </c>
      <c r="S448">
        <v>572</v>
      </c>
      <c r="T448">
        <v>0</v>
      </c>
      <c r="U448">
        <f t="array" ref="U448:AD448">[1]!'3390.TW-ChipsField3,ChipsField1,ChipsField25,CashAndStockDividend,CashDividendYieldRate,ProfitFourSeason,ProfitSingle,CName,ExchangeIndustry,CompanyPos'</f>
        <v>0</v>
      </c>
      <c r="V448">
        <v>170</v>
      </c>
      <c r="W448" t="str">
        <v>2022/07/14</v>
      </c>
      <c r="X448" t="str">
        <v>0.38</v>
      </c>
      <c r="Y448">
        <v>1.58</v>
      </c>
      <c r="Z448" t="str">
        <v>0.84</v>
      </c>
      <c r="AA448" t="str">
        <v>0.36</v>
      </c>
      <c r="AB448" t="str">
        <v>旭軟</v>
      </c>
      <c r="AC448" t="str">
        <v>上櫃電子零組件</v>
      </c>
      <c r="AD448" t="str">
        <v>專攻LCM模組的軟板廠</v>
      </c>
      <c r="AE448" t="str">
        <f t="array" ref="AE448:AH448">[1]!'3390.TW-CName,InvestorConferenceDate,DateofMeetingofShareHolders,TradingDate'</f>
        <v>旭軟</v>
      </c>
      <c r="AF448" t="str">
        <v>2021/12/28</v>
      </c>
      <c r="AG448" t="str">
        <v>2022/06/17</v>
      </c>
      <c r="AH448" t="str">
        <v>2022/08/01</v>
      </c>
    </row>
    <row r="449" spans="1:34" x14ac:dyDescent="0.3">
      <c r="A449" t="str">
        <f t="array" ref="A449:J449">[1]!'3465.TW-ID,Name,MarketValue,Capital,NetIncomeGrowthRate,OperIncomeGrowthRate,FinancialStatementsTime,TFXRatio,MonthlyNetSalesYoY,RevenueMonth'</f>
        <v>3465</v>
      </c>
      <c r="B449" t="str">
        <v>進泰電子</v>
      </c>
      <c r="C449" t="str">
        <v>31.8</v>
      </c>
      <c r="D449" t="str">
        <v>3.23</v>
      </c>
      <c r="E449" t="str">
        <v>-77.79</v>
      </c>
      <c r="F449" t="str">
        <v>-83.43</v>
      </c>
      <c r="G449" t="str">
        <v>2022/03</v>
      </c>
      <c r="H449" t="str">
        <v>-8.93</v>
      </c>
      <c r="I449" t="str">
        <v>-40.43</v>
      </c>
      <c r="J449" t="str">
        <v>2022/06</v>
      </c>
      <c r="K449" t="str">
        <f t="array" ref="K449:T449">[1]!'3465.TW-OperatingProfitRatio,Price,PriceChangeRatio,InOutRatioNumber,Value,YearReturn,MonthReturn,WeekReturn,FinanceBalanceDif,ChipsField2'</f>
        <v>5.84</v>
      </c>
      <c r="L449">
        <v>98.3</v>
      </c>
      <c r="M449">
        <v>0.51</v>
      </c>
      <c r="N449" t="str">
        <v>88.31%</v>
      </c>
      <c r="O449" t="str">
        <v>769萬</v>
      </c>
      <c r="P449" t="str">
        <v>-42.67</v>
      </c>
      <c r="Q449" t="str">
        <v>-1.70</v>
      </c>
      <c r="R449" t="str">
        <v>-1.60</v>
      </c>
      <c r="S449">
        <v>0</v>
      </c>
      <c r="T449">
        <v>0</v>
      </c>
      <c r="U449">
        <f t="array" ref="U449:AD449">[1]!'3465.TW-ChipsField3,ChipsField1,ChipsField25,CashAndStockDividend,CashDividendYieldRate,ProfitFourSeason,ProfitSingle,CName,ExchangeIndustry,CompanyPos'</f>
        <v>0</v>
      </c>
      <c r="V449">
        <v>-52</v>
      </c>
      <c r="W449" t="str">
        <v>2022/04/01</v>
      </c>
      <c r="X449" t="str">
        <v>4.50</v>
      </c>
      <c r="Y449">
        <v>8.65</v>
      </c>
      <c r="Z449" t="str">
        <v>13.19</v>
      </c>
      <c r="AA449" t="str">
        <v>1.19</v>
      </c>
      <c r="AB449" t="str">
        <v>進泰電子</v>
      </c>
      <c r="AC449" t="str">
        <v>上櫃電子零組件</v>
      </c>
      <c r="AD449" t="str">
        <v>轉型音響OEM/ODM製造商</v>
      </c>
      <c r="AE449" t="str">
        <f t="array" ref="AE449:AH449">[1]!'3465.TW-CName,InvestorConferenceDate,DateofMeetingofShareHolders,TradingDate'</f>
        <v>進泰電子</v>
      </c>
      <c r="AF449" t="str">
        <v>2021/05/06</v>
      </c>
      <c r="AG449" t="str">
        <v>2022/06/23</v>
      </c>
      <c r="AH449" t="str">
        <v>2022/08/01</v>
      </c>
    </row>
    <row r="450" spans="1:34" x14ac:dyDescent="0.3">
      <c r="A450" t="str">
        <f t="array" ref="A450:J450">[1]!'3484.TW-ID,Name,MarketValue,Capital,NetIncomeGrowthRate,OperIncomeGrowthRate,FinancialStatementsTime,TFXRatio,MonthlyNetSalesYoY,RevenueMonth'</f>
        <v>3484</v>
      </c>
      <c r="B450" t="str">
        <v>崧騰</v>
      </c>
      <c r="C450" t="str">
        <v>41.1</v>
      </c>
      <c r="D450" t="str">
        <v>6.97</v>
      </c>
      <c r="E450" t="str">
        <v>-31.32</v>
      </c>
      <c r="F450" t="str">
        <v>-39.52</v>
      </c>
      <c r="G450" t="str">
        <v>2022/03</v>
      </c>
      <c r="H450" t="str">
        <v>-1.52</v>
      </c>
      <c r="I450" t="str">
        <v>-11.05</v>
      </c>
      <c r="J450" t="str">
        <v>2022/06</v>
      </c>
      <c r="K450" t="str">
        <f t="array" ref="K450:T450">[1]!'3484.TW-OperatingProfitRatio,Price,PriceChangeRatio,InOutRatioNumber,Value,YearReturn,MonthReturn,WeekReturn,FinanceBalanceDif,ChipsField2'</f>
        <v>6.71</v>
      </c>
      <c r="L450">
        <v>59</v>
      </c>
      <c r="M450">
        <v>5.92</v>
      </c>
      <c r="N450" t="str">
        <v>61.43%</v>
      </c>
      <c r="O450" t="str">
        <v>4739萬</v>
      </c>
      <c r="P450" t="str">
        <v>-19.90</v>
      </c>
      <c r="Q450" t="str">
        <v>+18.00</v>
      </c>
      <c r="R450" t="str">
        <v>+7.66</v>
      </c>
      <c r="S450">
        <v>-9</v>
      </c>
      <c r="T450">
        <v>0</v>
      </c>
      <c r="U450">
        <f t="array" ref="U450:AD450">[1]!'3484.TW-ChipsField3,ChipsField1,ChipsField25,CashAndStockDividend,CashDividendYieldRate,ProfitFourSeason,ProfitSingle,CName,ExchangeIndustry,CompanyPos'</f>
        <v>32</v>
      </c>
      <c r="V450">
        <v>43</v>
      </c>
      <c r="W450" t="str">
        <v>--</v>
      </c>
      <c r="X450" t="str">
        <v>4.10</v>
      </c>
      <c r="Y450">
        <v>6.95</v>
      </c>
      <c r="Z450" t="str">
        <v>7.48</v>
      </c>
      <c r="AA450" t="str">
        <v>1.53</v>
      </c>
      <c r="AB450" t="str">
        <v>崧騰</v>
      </c>
      <c r="AC450" t="str">
        <v>上櫃電子零組件</v>
      </c>
      <c r="AD450" t="str">
        <v>全球第三大工具機開關領導廠商</v>
      </c>
      <c r="AE450" t="str">
        <f t="array" ref="AE450:AH450">[1]!'3484.TW-CName,InvestorConferenceDate,DateofMeetingofShareHolders,TradingDate'</f>
        <v>崧騰</v>
      </c>
      <c r="AF450" t="str">
        <v>--</v>
      </c>
      <c r="AG450" t="str">
        <v>2022/06/23</v>
      </c>
      <c r="AH450" t="str">
        <v>2022/08/01</v>
      </c>
    </row>
    <row r="451" spans="1:34" x14ac:dyDescent="0.3">
      <c r="A451" t="str">
        <f t="array" ref="A451:J451">[1]!'3492.TW-ID,Name,MarketValue,Capital,NetIncomeGrowthRate,OperIncomeGrowthRate,FinancialStatementsTime,TFXRatio,MonthlyNetSalesYoY,RevenueMonth'</f>
        <v>3492</v>
      </c>
      <c r="B451" t="str">
        <v>長盛</v>
      </c>
      <c r="C451" t="str">
        <v>6.0</v>
      </c>
      <c r="D451" t="str">
        <v>3.55</v>
      </c>
      <c r="E451" t="str">
        <v>-55.47</v>
      </c>
      <c r="F451" t="str">
        <v>-125.28</v>
      </c>
      <c r="G451" t="str">
        <v>2022/03</v>
      </c>
      <c r="H451" t="str">
        <v>-8.26</v>
      </c>
      <c r="I451" t="str">
        <v>27.59</v>
      </c>
      <c r="J451" t="str">
        <v>2022/06</v>
      </c>
      <c r="K451" t="str">
        <f t="array" ref="K451:T451">[1]!'3492.TW-OperatingProfitRatio,Price,PriceChangeRatio,InOutRatioNumber,Value,YearReturn,MonthReturn,WeekReturn,FinanceBalanceDif,ChipsField2'</f>
        <v>-3.20</v>
      </c>
      <c r="L451">
        <v>17</v>
      </c>
      <c r="M451">
        <v>0.28999999999999998</v>
      </c>
      <c r="N451" t="str">
        <v>35.71%</v>
      </c>
      <c r="O451" t="str">
        <v>23.7萬</v>
      </c>
      <c r="P451" t="str">
        <v>-8.86</v>
      </c>
      <c r="Q451" t="str">
        <v>+5.59</v>
      </c>
      <c r="R451" t="str">
        <v>+1.80</v>
      </c>
      <c r="S451">
        <v>-4</v>
      </c>
      <c r="T451">
        <v>0</v>
      </c>
      <c r="U451">
        <f t="array" ref="U451:AD451">[1]!'3492.TW-ChipsField3,ChipsField1,ChipsField25,CashAndStockDividend,CashDividendYieldRate,ProfitFourSeason,ProfitSingle,CName,ExchangeIndustry,CompanyPos'</f>
        <v>0</v>
      </c>
      <c r="V451">
        <v>-2</v>
      </c>
      <c r="W451" t="str">
        <v>2022/07/13</v>
      </c>
      <c r="X451" t="str">
        <v>0.30</v>
      </c>
      <c r="Y451">
        <v>1.76</v>
      </c>
      <c r="Z451" t="str">
        <v>0.26</v>
      </c>
      <c r="AA451" t="str">
        <v>0.19</v>
      </c>
      <c r="AB451" t="str">
        <v>長盛</v>
      </c>
      <c r="AC451" t="str">
        <v>上櫃電子零組件</v>
      </c>
      <c r="AD451" t="str">
        <v>台灣連接器與線組製造商</v>
      </c>
      <c r="AE451" t="str">
        <f t="array" ref="AE451:AH451">[1]!'3492.TW-CName,InvestorConferenceDate,DateofMeetingofShareHolders,TradingDate'</f>
        <v>長盛</v>
      </c>
      <c r="AF451" t="str">
        <v>2021/04/12</v>
      </c>
      <c r="AG451" t="str">
        <v>2022/06/20</v>
      </c>
      <c r="AH451" t="str">
        <v>2022/08/01</v>
      </c>
    </row>
    <row r="452" spans="1:34" x14ac:dyDescent="0.3">
      <c r="A452" t="str">
        <f t="array" ref="A452:J452">[1]!'3511.TW-ID,Name,MarketValue,Capital,NetIncomeGrowthRate,OperIncomeGrowthRate,FinancialStatementsTime,TFXRatio,MonthlyNetSalesYoY,RevenueMonth'</f>
        <v>3511</v>
      </c>
      <c r="B452" t="str">
        <v>矽瑪</v>
      </c>
      <c r="C452" t="str">
        <v>26.6</v>
      </c>
      <c r="D452" t="str">
        <v>8.00</v>
      </c>
      <c r="E452" t="str">
        <v>559.24</v>
      </c>
      <c r="F452" t="str">
        <v>329.85</v>
      </c>
      <c r="G452" t="str">
        <v>2022/06</v>
      </c>
      <c r="H452" t="str">
        <v>1.64</v>
      </c>
      <c r="I452" t="str">
        <v>25.00</v>
      </c>
      <c r="J452" t="str">
        <v>2022/06</v>
      </c>
      <c r="K452" t="str">
        <f t="array" ref="K452:T452">[1]!'3511.TW-OperatingProfitRatio,Price,PriceChangeRatio,InOutRatioNumber,Value,YearReturn,MonthReturn,WeekReturn,FinanceBalanceDif,ChipsField2'</f>
        <v>9.72</v>
      </c>
      <c r="L452">
        <v>33.299999999999997</v>
      </c>
      <c r="M452">
        <v>-1.04</v>
      </c>
      <c r="N452" t="str">
        <v>52.91%</v>
      </c>
      <c r="O452" t="str">
        <v>1387萬</v>
      </c>
      <c r="P452" t="str">
        <v>-21.66</v>
      </c>
      <c r="Q452" t="str">
        <v>+25.19</v>
      </c>
      <c r="R452" t="str">
        <v>+5.05</v>
      </c>
      <c r="S452">
        <v>321</v>
      </c>
      <c r="T452">
        <v>0</v>
      </c>
      <c r="U452">
        <f t="array" ref="U452:AD452">[1]!'3511.TW-ChipsField3,ChipsField1,ChipsField25,CashAndStockDividend,CashDividendYieldRate,ProfitFourSeason,ProfitSingle,CName,ExchangeIndustry,CompanyPos'</f>
        <v>-31</v>
      </c>
      <c r="V452">
        <v>-302</v>
      </c>
      <c r="W452" t="str">
        <v>2022/07/04</v>
      </c>
      <c r="X452" t="str">
        <v>1.00</v>
      </c>
      <c r="Y452">
        <v>3</v>
      </c>
      <c r="Z452" t="str">
        <v>2.44</v>
      </c>
      <c r="AA452" t="str">
        <v>0.86</v>
      </c>
      <c r="AB452" t="str">
        <v>矽瑪</v>
      </c>
      <c r="AC452" t="str">
        <v>上櫃電子零組件</v>
      </c>
      <c r="AD452" t="str">
        <v>台灣唯一有能力生產手機防水耳機連接器廠商</v>
      </c>
      <c r="AE452" t="str">
        <f t="array" ref="AE452:AH452">[1]!'3511.TW-CName,InvestorConferenceDate,DateofMeetingofShareHolders,TradingDate'</f>
        <v>矽瑪</v>
      </c>
      <c r="AF452" t="str">
        <v>--</v>
      </c>
      <c r="AG452" t="str">
        <v>2022/06/10</v>
      </c>
      <c r="AH452" t="str">
        <v>2022/08/01</v>
      </c>
    </row>
    <row r="453" spans="1:34" x14ac:dyDescent="0.3">
      <c r="A453" t="str">
        <f t="array" ref="A453:J453">[1]!'3520.TW-ID,Name,MarketValue,Capital,NetIncomeGrowthRate,OperIncomeGrowthRate,FinancialStatementsTime,TFXRatio,MonthlyNetSalesYoY,RevenueMonth'</f>
        <v>3520</v>
      </c>
      <c r="B453" t="str">
        <v>華盈</v>
      </c>
      <c r="C453" t="str">
        <v>11.9</v>
      </c>
      <c r="D453" t="str">
        <v>6.88</v>
      </c>
      <c r="E453" t="str">
        <v>763.98</v>
      </c>
      <c r="F453" t="str">
        <v>87.80</v>
      </c>
      <c r="G453" t="str">
        <v>2022/03</v>
      </c>
      <c r="H453" t="str">
        <v>-15.36</v>
      </c>
      <c r="I453" t="str">
        <v>34.26</v>
      </c>
      <c r="J453" t="str">
        <v>2022/06</v>
      </c>
      <c r="K453" t="str">
        <f t="array" ref="K453:T453">[1]!'3520.TW-OperatingProfitRatio,Price,PriceChangeRatio,InOutRatioNumber,Value,YearReturn,MonthReturn,WeekReturn,FinanceBalanceDif,ChipsField2'</f>
        <v>-0.58</v>
      </c>
      <c r="L453">
        <v>17.25</v>
      </c>
      <c r="M453">
        <v>-1.1499999999999999</v>
      </c>
      <c r="N453" t="str">
        <v>34.65%</v>
      </c>
      <c r="O453" t="str">
        <v>6373萬</v>
      </c>
      <c r="P453" t="str">
        <v>+34.77</v>
      </c>
      <c r="Q453" t="str">
        <v>+22.34</v>
      </c>
      <c r="R453" t="str">
        <v>-0.29</v>
      </c>
      <c r="S453">
        <v>-6</v>
      </c>
      <c r="T453">
        <v>0</v>
      </c>
      <c r="U453">
        <f t="array" ref="U453:AD453">[1]!'3520.TW-ChipsField3,ChipsField1,ChipsField25,CashAndStockDividend,CashDividendYieldRate,ProfitFourSeason,ProfitSingle,CName,ExchangeIndustry,CompanyPos'</f>
        <v>0</v>
      </c>
      <c r="V453">
        <v>863</v>
      </c>
      <c r="W453" t="str">
        <v>--</v>
      </c>
      <c r="X453" t="str">
        <v>0.00</v>
      </c>
      <c r="Y453">
        <v>0</v>
      </c>
      <c r="Z453" t="str">
        <v>1.47</v>
      </c>
      <c r="AA453" t="str">
        <v>0.90</v>
      </c>
      <c r="AB453" t="str">
        <v>華盈</v>
      </c>
      <c r="AC453" t="str">
        <v>上櫃電子零組件</v>
      </c>
      <c r="AD453" t="str">
        <v>台灣連接線材及網通資安設備供應商</v>
      </c>
      <c r="AE453" t="str">
        <f t="array" ref="AE453:AH453">[1]!'3520.TW-CName,InvestorConferenceDate,DateofMeetingofShareHolders,TradingDate'</f>
        <v>華盈</v>
      </c>
      <c r="AF453" t="str">
        <v>--</v>
      </c>
      <c r="AG453" t="str">
        <v>2022/06/17</v>
      </c>
      <c r="AH453" t="str">
        <v>2022/08/01</v>
      </c>
    </row>
    <row r="454" spans="1:34" x14ac:dyDescent="0.3">
      <c r="A454" t="str">
        <f t="array" ref="A454:J454">[1]!'3526.TW-ID,Name,MarketValue,Capital,NetIncomeGrowthRate,OperIncomeGrowthRate,FinancialStatementsTime,TFXRatio,MonthlyNetSalesYoY,RevenueMonth'</f>
        <v>3526</v>
      </c>
      <c r="B454" t="str">
        <v>凡甲</v>
      </c>
      <c r="C454" t="str">
        <v>88.1</v>
      </c>
      <c r="D454" t="str">
        <v>5.90</v>
      </c>
      <c r="E454" t="str">
        <v>23.84</v>
      </c>
      <c r="F454" t="str">
        <v>26.07</v>
      </c>
      <c r="G454" t="str">
        <v>2022/03</v>
      </c>
      <c r="H454" t="str">
        <v>29.39</v>
      </c>
      <c r="I454" t="str">
        <v>-9.26</v>
      </c>
      <c r="J454" t="str">
        <v>2022/06</v>
      </c>
      <c r="K454" t="str">
        <f t="array" ref="K454:T454">[1]!'3526.TW-OperatingProfitRatio,Price,PriceChangeRatio,InOutRatioNumber,Value,YearReturn,MonthReturn,WeekReturn,FinanceBalanceDif,ChipsField2'</f>
        <v>26.54</v>
      </c>
      <c r="L454">
        <v>149.5</v>
      </c>
      <c r="M454">
        <v>-0.99</v>
      </c>
      <c r="N454" t="str">
        <v>38.82%</v>
      </c>
      <c r="O454" t="str">
        <v>3676萬</v>
      </c>
      <c r="P454" t="str">
        <v>-13.11</v>
      </c>
      <c r="Q454" t="str">
        <v>+21.12</v>
      </c>
      <c r="R454" t="str">
        <v>+6.79</v>
      </c>
      <c r="S454">
        <v>-27</v>
      </c>
      <c r="T454">
        <v>172</v>
      </c>
      <c r="U454">
        <f t="array" ref="U454:AD454">[1]!'3526.TW-ChipsField3,ChipsField1,ChipsField25,CashAndStockDividend,CashDividendYieldRate,ProfitFourSeason,ProfitSingle,CName,ExchangeIndustry,CompanyPos'</f>
        <v>1</v>
      </c>
      <c r="V454">
        <v>7</v>
      </c>
      <c r="W454" t="str">
        <v>2022/07/25</v>
      </c>
      <c r="X454" t="str">
        <v>11.08</v>
      </c>
      <c r="Y454">
        <v>7.41</v>
      </c>
      <c r="Z454" t="str">
        <v>11.73</v>
      </c>
      <c r="AA454" t="str">
        <v>2.64</v>
      </c>
      <c r="AB454" t="str">
        <v>凡甲</v>
      </c>
      <c r="AC454" t="str">
        <v>上櫃電子零組件</v>
      </c>
      <c r="AD454" t="str">
        <v>以NB為主要應用的連接器廠</v>
      </c>
      <c r="AE454" t="str">
        <f t="array" ref="AE454:AH454">[1]!'3526.TW-CName,InvestorConferenceDate,DateofMeetingofShareHolders,TradingDate'</f>
        <v>凡甲</v>
      </c>
      <c r="AF454" t="str">
        <v>--</v>
      </c>
      <c r="AG454" t="str">
        <v>2022/06/23</v>
      </c>
      <c r="AH454" t="str">
        <v>2022/08/01</v>
      </c>
    </row>
    <row r="455" spans="1:34" x14ac:dyDescent="0.3">
      <c r="A455" t="str">
        <f t="array" ref="A455:J455">[1]!'3537.TW-ID,Name,MarketValue,Capital,NetIncomeGrowthRate,OperIncomeGrowthRate,FinancialStatementsTime,TFXRatio,MonthlyNetSalesYoY,RevenueMonth'</f>
        <v>3537</v>
      </c>
      <c r="B455" t="str">
        <v>堡達</v>
      </c>
      <c r="C455" t="str">
        <v>18.0</v>
      </c>
      <c r="D455" t="str">
        <v>5.36</v>
      </c>
      <c r="E455" t="str">
        <v>33.59</v>
      </c>
      <c r="F455" t="str">
        <v>-13.37</v>
      </c>
      <c r="G455" t="str">
        <v>2022/03</v>
      </c>
      <c r="H455" t="str">
        <v>-23.63</v>
      </c>
      <c r="I455" t="str">
        <v>-15.79</v>
      </c>
      <c r="J455" t="str">
        <v>2022/06</v>
      </c>
      <c r="K455" t="str">
        <f t="array" ref="K455:T455">[1]!'3537.TW-OperatingProfitRatio,Price,PriceChangeRatio,InOutRatioNumber,Value,YearReturn,MonthReturn,WeekReturn,FinanceBalanceDif,ChipsField2'</f>
        <v>7.34</v>
      </c>
      <c r="L455">
        <v>33.549999999999997</v>
      </c>
      <c r="M455">
        <v>0.75</v>
      </c>
      <c r="N455" t="str">
        <v>54.72%</v>
      </c>
      <c r="O455" t="str">
        <v>177萬</v>
      </c>
      <c r="P455" t="str">
        <v>+2.56</v>
      </c>
      <c r="Q455" t="str">
        <v>+0.07</v>
      </c>
      <c r="R455" t="str">
        <v>+0.15</v>
      </c>
      <c r="S455">
        <v>-7</v>
      </c>
      <c r="T455">
        <v>0</v>
      </c>
      <c r="U455">
        <f t="array" ref="U455:AD455">[1]!'3537.TW-ChipsField3,ChipsField1,ChipsField25,CashAndStockDividend,CashDividendYieldRate,ProfitFourSeason,ProfitSingle,CName,ExchangeIndustry,CompanyPos'</f>
        <v>0</v>
      </c>
      <c r="V455">
        <v>-12</v>
      </c>
      <c r="W455" t="str">
        <v>2022/07/19</v>
      </c>
      <c r="X455" t="str">
        <v>3.50</v>
      </c>
      <c r="Y455">
        <v>10.43</v>
      </c>
      <c r="Z455" t="str">
        <v>4.36</v>
      </c>
      <c r="AA455" t="str">
        <v>1.57</v>
      </c>
      <c r="AB455" t="str">
        <v>堡達</v>
      </c>
      <c r="AC455" t="str">
        <v>上櫃電子零組件</v>
      </c>
      <c r="AD455" t="str">
        <v>主要為Panasonic被動元件代理通路商</v>
      </c>
      <c r="AE455" t="str">
        <f t="array" ref="AE455:AH455">[1]!'3537.TW-CName,InvestorConferenceDate,DateofMeetingofShareHolders,TradingDate'</f>
        <v>堡達</v>
      </c>
      <c r="AF455" t="str">
        <v>--</v>
      </c>
      <c r="AG455" t="str">
        <v>2022/06/23</v>
      </c>
      <c r="AH455" t="str">
        <v>2022/08/01</v>
      </c>
    </row>
    <row r="456" spans="1:34" x14ac:dyDescent="0.3">
      <c r="A456" t="str">
        <f t="array" ref="A456:J456">[1]!'3548.TW-ID,Name,MarketValue,Capital,NetIncomeGrowthRate,OperIncomeGrowthRate,FinancialStatementsTime,TFXRatio,MonthlyNetSalesYoY,RevenueMonth'</f>
        <v>3548</v>
      </c>
      <c r="B456" t="str">
        <v>兆利</v>
      </c>
      <c r="C456" t="str">
        <v>36.6</v>
      </c>
      <c r="D456" t="str">
        <v>6.01</v>
      </c>
      <c r="E456" t="str">
        <v>160.54</v>
      </c>
      <c r="F456" t="str">
        <v>320.37</v>
      </c>
      <c r="G456" t="str">
        <v>2022/03</v>
      </c>
      <c r="H456" t="str">
        <v>34.23</v>
      </c>
      <c r="I456" t="str">
        <v>-3.65</v>
      </c>
      <c r="J456" t="str">
        <v>2022/06</v>
      </c>
      <c r="K456" t="str">
        <f t="array" ref="K456:T456">[1]!'3548.TW-OperatingProfitRatio,Price,PriceChangeRatio,InOutRatioNumber,Value,YearReturn,MonthReturn,WeekReturn,FinanceBalanceDif,ChipsField2'</f>
        <v>9.08</v>
      </c>
      <c r="L456">
        <v>60.8</v>
      </c>
      <c r="M456">
        <v>0.66</v>
      </c>
      <c r="N456" t="str">
        <v>50.85%</v>
      </c>
      <c r="O456" t="str">
        <v>364萬</v>
      </c>
      <c r="P456" t="str">
        <v>-8.82</v>
      </c>
      <c r="Q456" t="str">
        <v>+7.12</v>
      </c>
      <c r="R456" t="str">
        <v>+1.67</v>
      </c>
      <c r="S456">
        <v>6</v>
      </c>
      <c r="T456">
        <v>0</v>
      </c>
      <c r="U456">
        <f t="array" ref="U456:AD456">[1]!'3548.TW-ChipsField3,ChipsField1,ChipsField25,CashAndStockDividend,CashDividendYieldRate,ProfitFourSeason,ProfitSingle,CName,ExchangeIndustry,CompanyPos'</f>
        <v>-1</v>
      </c>
      <c r="V456">
        <v>88</v>
      </c>
      <c r="W456" t="str">
        <v>2022/07/14</v>
      </c>
      <c r="X456" t="str">
        <v>2.00</v>
      </c>
      <c r="Y456">
        <v>3.29</v>
      </c>
      <c r="Z456" t="str">
        <v>5.79</v>
      </c>
      <c r="AA456" t="str">
        <v>2.71</v>
      </c>
      <c r="AB456" t="str">
        <v>兆利</v>
      </c>
      <c r="AC456" t="str">
        <v>上櫃電子零組件</v>
      </c>
      <c r="AD456" t="str">
        <v>全球前三大NB樞紐生產商</v>
      </c>
      <c r="AE456" t="str">
        <f t="array" ref="AE456:AH456">[1]!'3548.TW-CName,InvestorConferenceDate,DateofMeetingofShareHolders,TradingDate'</f>
        <v>兆利</v>
      </c>
      <c r="AF456" t="str">
        <v>--</v>
      </c>
      <c r="AG456" t="str">
        <v>2022/06/21</v>
      </c>
      <c r="AH456" t="str">
        <v>2022/08/01</v>
      </c>
    </row>
    <row r="457" spans="1:34" x14ac:dyDescent="0.3">
      <c r="A457" t="str">
        <f t="array" ref="A457:J457">[1]!'3597.TW-ID,Name,MarketValue,Capital,NetIncomeGrowthRate,OperIncomeGrowthRate,FinancialStatementsTime,TFXRatio,MonthlyNetSalesYoY,RevenueMonth'</f>
        <v>3597</v>
      </c>
      <c r="B457" t="str">
        <v>映興</v>
      </c>
      <c r="C457" t="str">
        <v>9.4</v>
      </c>
      <c r="D457" t="str">
        <v>3.91</v>
      </c>
      <c r="E457" t="str">
        <v>-53.20</v>
      </c>
      <c r="F457" t="str">
        <v>-84.45</v>
      </c>
      <c r="G457" t="str">
        <v>2022/03</v>
      </c>
      <c r="H457" t="str">
        <v>11.29</v>
      </c>
      <c r="I457" t="str">
        <v>5.48</v>
      </c>
      <c r="J457" t="str">
        <v>2022/06</v>
      </c>
      <c r="K457" t="str">
        <f t="array" ref="K457:T457">[1]!'3597.TW-OperatingProfitRatio,Price,PriceChangeRatio,InOutRatioNumber,Value,YearReturn,MonthReturn,WeekReturn,FinanceBalanceDif,ChipsField2'</f>
        <v>1.19</v>
      </c>
      <c r="L457">
        <v>23.9</v>
      </c>
      <c r="M457">
        <v>2.14</v>
      </c>
      <c r="N457" t="str">
        <v>100.00%</v>
      </c>
      <c r="O457" t="str">
        <v>26.1萬</v>
      </c>
      <c r="P457" t="str">
        <v>-7.94</v>
      </c>
      <c r="Q457" t="str">
        <v>+11.15</v>
      </c>
      <c r="R457" t="str">
        <v>+0.63</v>
      </c>
      <c r="S457">
        <v>1</v>
      </c>
      <c r="T457">
        <v>0</v>
      </c>
      <c r="U457">
        <f t="array" ref="U457:AD457">[1]!'3597.TW-ChipsField3,ChipsField1,ChipsField25,CashAndStockDividend,CashDividendYieldRate,ProfitFourSeason,ProfitSingle,CName,ExchangeIndustry,CompanyPos'</f>
        <v>0</v>
      </c>
      <c r="V457">
        <v>0</v>
      </c>
      <c r="W457" t="str">
        <v>2022/07/14</v>
      </c>
      <c r="X457" t="str">
        <v>1.70</v>
      </c>
      <c r="Y457">
        <v>7.11</v>
      </c>
      <c r="Z457" t="str">
        <v>1.89</v>
      </c>
      <c r="AA457" t="str">
        <v>0.17</v>
      </c>
      <c r="AB457" t="str">
        <v>映興</v>
      </c>
      <c r="AC457" t="str">
        <v>上櫃電子零組件</v>
      </c>
      <c r="AD457" t="str">
        <v>台灣電子零組件製造及代理商</v>
      </c>
      <c r="AE457" t="str">
        <f t="array" ref="AE457:AH457">[1]!'3597.TW-CName,InvestorConferenceDate,DateofMeetingofShareHolders,TradingDate'</f>
        <v>映興</v>
      </c>
      <c r="AF457" t="str">
        <v>2021/09/02</v>
      </c>
      <c r="AG457" t="str">
        <v>2022/06/06</v>
      </c>
      <c r="AH457" t="str">
        <v>2022/08/01</v>
      </c>
    </row>
    <row r="458" spans="1:34" x14ac:dyDescent="0.3">
      <c r="A458" t="str">
        <f t="array" ref="A458:J458">[1]!'3609.TW-ID,Name,MarketValue,Capital,NetIncomeGrowthRate,OperIncomeGrowthRate,FinancialStatementsTime,TFXRatio,MonthlyNetSalesYoY,RevenueMonth'</f>
        <v>3609</v>
      </c>
      <c r="B458" t="str">
        <v>三一東林</v>
      </c>
      <c r="C458" t="str">
        <v>16.1</v>
      </c>
      <c r="D458" t="str">
        <v>3.07</v>
      </c>
      <c r="E458" t="str">
        <v>1.07</v>
      </c>
      <c r="F458" t="str">
        <v>-95.30</v>
      </c>
      <c r="G458" t="str">
        <v>2022/03</v>
      </c>
      <c r="H458" t="str">
        <v>12.06</v>
      </c>
      <c r="I458" t="str">
        <v>2.27</v>
      </c>
      <c r="J458" t="str">
        <v>2022/06</v>
      </c>
      <c r="K458" t="str">
        <f t="array" ref="K458:T458">[1]!'3609.TW-OperatingProfitRatio,Price,PriceChangeRatio,InOutRatioNumber,Value,YearReturn,MonthReturn,WeekReturn,FinanceBalanceDif,ChipsField2'</f>
        <v>-3.77</v>
      </c>
      <c r="L458">
        <v>52.6</v>
      </c>
      <c r="M458">
        <v>-0.75</v>
      </c>
      <c r="N458" t="str">
        <v>53.12%</v>
      </c>
      <c r="O458" t="str">
        <v>167萬</v>
      </c>
      <c r="P458" t="str">
        <v>+9.32</v>
      </c>
      <c r="Q458" t="str">
        <v>-1.87</v>
      </c>
      <c r="R458" t="str">
        <v>-1.68</v>
      </c>
      <c r="S458">
        <v>0</v>
      </c>
      <c r="T458">
        <v>0</v>
      </c>
      <c r="U458">
        <f t="array" ref="U458:AD458">[1]!'3609.TW-ChipsField3,ChipsField1,ChipsField25,CashAndStockDividend,CashDividendYieldRate,ProfitFourSeason,ProfitSingle,CName,ExchangeIndustry,CompanyPos'</f>
        <v>0</v>
      </c>
      <c r="V458">
        <v>-3</v>
      </c>
      <c r="W458" t="str">
        <v>--</v>
      </c>
      <c r="X458" t="str">
        <v>0.00</v>
      </c>
      <c r="Y458">
        <v>0</v>
      </c>
      <c r="Z458" t="str">
        <v>0.01</v>
      </c>
      <c r="AA458" t="str">
        <v>-0.23</v>
      </c>
      <c r="AB458" t="str">
        <v>三一東林</v>
      </c>
      <c r="AC458" t="str">
        <v>上櫃電子零組件</v>
      </c>
      <c r="AD458" t="str">
        <v>台灣電子安定器廠</v>
      </c>
      <c r="AE458" t="str">
        <f t="array" ref="AE458:AH458">[1]!'3609.TW-CName,InvestorConferenceDate,DateofMeetingofShareHolders,TradingDate'</f>
        <v>三一東林</v>
      </c>
      <c r="AF458" t="str">
        <v>--</v>
      </c>
      <c r="AG458" t="str">
        <v>2022/05/31</v>
      </c>
      <c r="AH458" t="str">
        <v>2022/08/01</v>
      </c>
    </row>
    <row r="459" spans="1:34" x14ac:dyDescent="0.3">
      <c r="A459" t="str">
        <f t="array" ref="A459:J459">[1]!'3624.TW-ID,Name,MarketValue,Capital,NetIncomeGrowthRate,OperIncomeGrowthRate,FinancialStatementsTime,TFXRatio,MonthlyNetSalesYoY,RevenueMonth'</f>
        <v>3624</v>
      </c>
      <c r="B459" t="str">
        <v>光頡</v>
      </c>
      <c r="C459" t="str">
        <v>67.6</v>
      </c>
      <c r="D459" t="str">
        <v>11.73</v>
      </c>
      <c r="E459" t="str">
        <v>118.76</v>
      </c>
      <c r="F459" t="str">
        <v>78.79</v>
      </c>
      <c r="G459" t="str">
        <v>2022/03</v>
      </c>
      <c r="H459" t="str">
        <v>-5.29</v>
      </c>
      <c r="I459" t="str">
        <v>10.68</v>
      </c>
      <c r="J459" t="str">
        <v>2022/06</v>
      </c>
      <c r="K459" t="str">
        <f t="array" ref="K459:T459">[1]!'3624.TW-OperatingProfitRatio,Price,PriceChangeRatio,InOutRatioNumber,Value,YearReturn,MonthReturn,WeekReturn,FinanceBalanceDif,ChipsField2'</f>
        <v>21.12</v>
      </c>
      <c r="L459">
        <v>57.6</v>
      </c>
      <c r="M459">
        <v>-1.54</v>
      </c>
      <c r="N459" t="str">
        <v>30.08%</v>
      </c>
      <c r="O459" t="str">
        <v>1.06億</v>
      </c>
      <c r="P459" t="str">
        <v>+21.65</v>
      </c>
      <c r="Q459" t="str">
        <v>+6.67</v>
      </c>
      <c r="R459" t="str">
        <v>-4.95</v>
      </c>
      <c r="S459">
        <v>31</v>
      </c>
      <c r="T459">
        <v>0</v>
      </c>
      <c r="U459">
        <f t="array" ref="U459:AD459">[1]!'3624.TW-ChipsField3,ChipsField1,ChipsField25,CashAndStockDividend,CashDividendYieldRate,ProfitFourSeason,ProfitSingle,CName,ExchangeIndustry,CompanyPos'</f>
        <v>-11</v>
      </c>
      <c r="V459">
        <v>20</v>
      </c>
      <c r="W459" t="str">
        <v>2022/08/16</v>
      </c>
      <c r="X459" t="str">
        <v>2.20</v>
      </c>
      <c r="Y459">
        <v>3.82</v>
      </c>
      <c r="Z459" t="str">
        <v>4.89</v>
      </c>
      <c r="AA459" t="str">
        <v>1.56</v>
      </c>
      <c r="AB459" t="str">
        <v>光頡</v>
      </c>
      <c r="AC459" t="str">
        <v>上櫃電子零組件</v>
      </c>
      <c r="AD459" t="str">
        <v>被動元件薄膜製程電阻元件廠</v>
      </c>
      <c r="AE459" t="str">
        <f t="array" ref="AE459:AH459">[1]!'3624.TW-CName,InvestorConferenceDate,DateofMeetingofShareHolders,TradingDate'</f>
        <v>光頡</v>
      </c>
      <c r="AF459" t="str">
        <v>--</v>
      </c>
      <c r="AG459" t="str">
        <v>2022/06/27</v>
      </c>
      <c r="AH459" t="str">
        <v>2022/08/01</v>
      </c>
    </row>
    <row r="460" spans="1:34" x14ac:dyDescent="0.3">
      <c r="A460" t="str">
        <f t="array" ref="A460:J460">[1]!'3631.TW-ID,Name,MarketValue,Capital,NetIncomeGrowthRate,OperIncomeGrowthRate,FinancialStatementsTime,TFXRatio,MonthlyNetSalesYoY,RevenueMonth'</f>
        <v>3631</v>
      </c>
      <c r="B460" t="str">
        <v>晟楠</v>
      </c>
      <c r="C460" t="str">
        <v>36.7</v>
      </c>
      <c r="D460" t="str">
        <v>8.18</v>
      </c>
      <c r="E460" t="str">
        <v>158.11</v>
      </c>
      <c r="F460" t="str">
        <v>15.32</v>
      </c>
      <c r="G460" t="str">
        <v>2022/03</v>
      </c>
      <c r="H460" t="str">
        <v>55.20</v>
      </c>
      <c r="I460" t="str">
        <v>-11.58</v>
      </c>
      <c r="J460" t="str">
        <v>2022/06</v>
      </c>
      <c r="K460" t="str">
        <f t="array" ref="K460:T460">[1]!'3631.TW-OperatingProfitRatio,Price,PriceChangeRatio,InOutRatioNumber,Value,YearReturn,MonthReturn,WeekReturn,FinanceBalanceDif,ChipsField2'</f>
        <v>-30.48</v>
      </c>
      <c r="L460">
        <v>44.9</v>
      </c>
      <c r="M460">
        <v>0.34</v>
      </c>
      <c r="N460" t="str">
        <v>100.00%</v>
      </c>
      <c r="O460" t="str">
        <v>26.9萬</v>
      </c>
      <c r="P460" t="str">
        <v>-2.36</v>
      </c>
      <c r="Q460" t="str">
        <v>+19.95</v>
      </c>
      <c r="R460" t="str">
        <v>+0.34</v>
      </c>
      <c r="S460">
        <v>2</v>
      </c>
      <c r="T460">
        <v>0</v>
      </c>
      <c r="U460">
        <f t="array" ref="U460:AD460">[1]!'3631.TW-ChipsField3,ChipsField1,ChipsField25,CashAndStockDividend,CashDividendYieldRate,ProfitFourSeason,ProfitSingle,CName,ExchangeIndustry,CompanyPos'</f>
        <v>0</v>
      </c>
      <c r="V460">
        <v>0</v>
      </c>
      <c r="W460" t="str">
        <v>2022/07/28</v>
      </c>
      <c r="X460" t="str">
        <v>0.50</v>
      </c>
      <c r="Y460">
        <v>1.1100000000000001</v>
      </c>
      <c r="Z460" t="str">
        <v>-0.09</v>
      </c>
      <c r="AA460" t="str">
        <v>0.02</v>
      </c>
      <c r="AB460" t="str">
        <v>晟楠</v>
      </c>
      <c r="AC460" t="str">
        <v>上櫃電子零組件</v>
      </c>
      <c r="AD460" t="str">
        <v>錫條、錫絲、錫膏及鉛助焊劑供應商</v>
      </c>
      <c r="AE460" t="str">
        <f t="array" ref="AE460:AH460">[1]!'3631.TW-CName,InvestorConferenceDate,DateofMeetingofShareHolders,TradingDate'</f>
        <v>晟楠</v>
      </c>
      <c r="AF460" t="str">
        <v>--</v>
      </c>
      <c r="AG460" t="str">
        <v>2022/06/28</v>
      </c>
      <c r="AH460" t="str">
        <v>2022/08/01</v>
      </c>
    </row>
    <row r="461" spans="1:34" x14ac:dyDescent="0.3">
      <c r="A461" t="str">
        <f t="array" ref="A461:J461">[1]!'3646.TW-ID,Name,MarketValue,Capital,NetIncomeGrowthRate,OperIncomeGrowthRate,FinancialStatementsTime,TFXRatio,MonthlyNetSalesYoY,RevenueMonth'</f>
        <v>3646</v>
      </c>
      <c r="B461" t="str">
        <v>艾恩特</v>
      </c>
      <c r="C461" t="str">
        <v>10.0</v>
      </c>
      <c r="D461" t="str">
        <v>3.93</v>
      </c>
      <c r="E461" t="str">
        <v>32.44</v>
      </c>
      <c r="F461" t="str">
        <v>-0.53</v>
      </c>
      <c r="G461" t="str">
        <v>2022/03</v>
      </c>
      <c r="H461" t="str">
        <v>-3.10</v>
      </c>
      <c r="I461" t="str">
        <v>-6.14</v>
      </c>
      <c r="J461" t="str">
        <v>2022/06</v>
      </c>
      <c r="K461" t="str">
        <f t="array" ref="K461:T461">[1]!'3646.TW-OperatingProfitRatio,Price,PriceChangeRatio,InOutRatioNumber,Value,YearReturn,MonthReturn,WeekReturn,FinanceBalanceDif,ChipsField2'</f>
        <v>9.92</v>
      </c>
      <c r="L461">
        <v>25.45</v>
      </c>
      <c r="M461">
        <v>0.2</v>
      </c>
      <c r="N461" t="str">
        <v>34.48%</v>
      </c>
      <c r="O461" t="str">
        <v>73.8萬</v>
      </c>
      <c r="P461" t="str">
        <v>-13.56</v>
      </c>
      <c r="Q461" t="str">
        <v>-2.12</v>
      </c>
      <c r="R461" t="str">
        <v>-0.39</v>
      </c>
      <c r="S461">
        <v>7</v>
      </c>
      <c r="T461">
        <v>0</v>
      </c>
      <c r="U461">
        <f t="array" ref="U461:AD461">[1]!'3646.TW-ChipsField3,ChipsField1,ChipsField25,CashAndStockDividend,CashDividendYieldRate,ProfitFourSeason,ProfitSingle,CName,ExchangeIndustry,CompanyPos'</f>
        <v>0</v>
      </c>
      <c r="V461">
        <v>6</v>
      </c>
      <c r="W461" t="str">
        <v>--</v>
      </c>
      <c r="X461" t="str">
        <v>1.68</v>
      </c>
      <c r="Y461">
        <v>6.6</v>
      </c>
      <c r="Z461" t="str">
        <v>2.28</v>
      </c>
      <c r="AA461" t="str">
        <v>0.45</v>
      </c>
      <c r="AB461" t="str">
        <v>艾恩特</v>
      </c>
      <c r="AC461" t="str">
        <v>上櫃電子零組件</v>
      </c>
      <c r="AD461" t="str">
        <v>台灣NB、DC用連接器大廠</v>
      </c>
      <c r="AE461" t="str">
        <f t="array" ref="AE461:AH461">[1]!'3646.TW-CName,InvestorConferenceDate,DateofMeetingofShareHolders,TradingDate'</f>
        <v>艾恩特</v>
      </c>
      <c r="AF461" t="str">
        <v>--</v>
      </c>
      <c r="AG461" t="str">
        <v>2022/06/10</v>
      </c>
      <c r="AH461" t="str">
        <v>2022/08/01</v>
      </c>
    </row>
    <row r="462" spans="1:34" x14ac:dyDescent="0.3">
      <c r="A462" t="str">
        <f t="array" ref="A462:J462">[1]!'3689.TW-ID,Name,MarketValue,Capital,NetIncomeGrowthRate,OperIncomeGrowthRate,FinancialStatementsTime,TFXRatio,MonthlyNetSalesYoY,RevenueMonth'</f>
        <v>3689</v>
      </c>
      <c r="B462" t="str">
        <v>湧德</v>
      </c>
      <c r="C462" t="str">
        <v>29.5</v>
      </c>
      <c r="D462" t="str">
        <v>7.72</v>
      </c>
      <c r="E462" t="str">
        <v>260.54</v>
      </c>
      <c r="F462" t="str">
        <v>207.69</v>
      </c>
      <c r="G462" t="str">
        <v>2022/03</v>
      </c>
      <c r="H462" t="str">
        <v>-14.14</v>
      </c>
      <c r="I462" t="str">
        <v>1.97</v>
      </c>
      <c r="J462" t="str">
        <v>2022/06</v>
      </c>
      <c r="K462" t="str">
        <f t="array" ref="K462:T462">[1]!'3689.TW-OperatingProfitRatio,Price,PriceChangeRatio,InOutRatioNumber,Value,YearReturn,MonthReturn,WeekReturn,FinanceBalanceDif,ChipsField2'</f>
        <v>5.76</v>
      </c>
      <c r="L462">
        <v>38.15</v>
      </c>
      <c r="M462">
        <v>0.53</v>
      </c>
      <c r="N462" t="str">
        <v>63.60%</v>
      </c>
      <c r="O462" t="str">
        <v>1002萬</v>
      </c>
      <c r="P462" t="str">
        <v>+44.04</v>
      </c>
      <c r="Q462" t="str">
        <v>+6.47</v>
      </c>
      <c r="R462" t="str">
        <v>-1.93</v>
      </c>
      <c r="S462">
        <v>-39</v>
      </c>
      <c r="T462">
        <v>0</v>
      </c>
      <c r="U462">
        <f t="array" ref="U462:AD462">[1]!'3689.TW-ChipsField3,ChipsField1,ChipsField25,CashAndStockDividend,CashDividendYieldRate,ProfitFourSeason,ProfitSingle,CName,ExchangeIndustry,CompanyPos'</f>
        <v>8</v>
      </c>
      <c r="V462">
        <v>47</v>
      </c>
      <c r="W462" t="str">
        <v>2022/07/18</v>
      </c>
      <c r="X462" t="str">
        <v>2.29</v>
      </c>
      <c r="Y462">
        <v>6</v>
      </c>
      <c r="Z462" t="str">
        <v>4.38</v>
      </c>
      <c r="AA462" t="str">
        <v>1.36</v>
      </c>
      <c r="AB462" t="str">
        <v>湧德</v>
      </c>
      <c r="AC462" t="str">
        <v>上櫃電子零組件</v>
      </c>
      <c r="AD462" t="str">
        <v>主要生產DT主機板、網通用連接器</v>
      </c>
      <c r="AE462" t="str">
        <f t="array" ref="AE462:AH462">[1]!'3689.TW-CName,InvestorConferenceDate,DateofMeetingofShareHolders,TradingDate'</f>
        <v>湧德</v>
      </c>
      <c r="AF462" t="str">
        <v>2021/09/15</v>
      </c>
      <c r="AG462" t="str">
        <v>2022/06/16</v>
      </c>
      <c r="AH462" t="str">
        <v>2022/08/01</v>
      </c>
    </row>
    <row r="463" spans="1:34" x14ac:dyDescent="0.3">
      <c r="A463" t="str">
        <f t="array" ref="A463:J463">[1]!'3710.TW-ID,Name,MarketValue,Capital,NetIncomeGrowthRate,OperIncomeGrowthRate,FinancialStatementsTime,TFXRatio,MonthlyNetSalesYoY,RevenueMonth'</f>
        <v>3710</v>
      </c>
      <c r="B463" t="str">
        <v>連展投控</v>
      </c>
      <c r="C463" t="str">
        <v>36.5</v>
      </c>
      <c r="D463" t="str">
        <v>28.29</v>
      </c>
      <c r="E463" t="str">
        <v>-127.14</v>
      </c>
      <c r="F463" t="str">
        <v>-15.47</v>
      </c>
      <c r="G463" t="str">
        <v>2022/03</v>
      </c>
      <c r="H463" t="str">
        <v>-3.87</v>
      </c>
      <c r="I463" t="str">
        <v>-2.20</v>
      </c>
      <c r="J463" t="str">
        <v>2022/06</v>
      </c>
      <c r="K463" t="str">
        <f t="array" ref="K463:T463">[1]!'3710.TW-OperatingProfitRatio,Price,PriceChangeRatio,InOutRatioNumber,Value,YearReturn,MonthReturn,WeekReturn,FinanceBalanceDif,ChipsField2'</f>
        <v>-3.75</v>
      </c>
      <c r="L463">
        <v>12.9</v>
      </c>
      <c r="M463">
        <v>9.7899999999999991</v>
      </c>
      <c r="N463" t="str">
        <v>81.66%</v>
      </c>
      <c r="O463" t="str">
        <v>1.39億</v>
      </c>
      <c r="P463" t="str">
        <v>+40.07</v>
      </c>
      <c r="Q463" t="str">
        <v>+7.50</v>
      </c>
      <c r="R463" t="str">
        <v>+11.21</v>
      </c>
      <c r="S463">
        <v>0</v>
      </c>
      <c r="T463">
        <v>0</v>
      </c>
      <c r="U463">
        <f t="array" ref="U463:AD463">[1]!'3710.TW-ChipsField3,ChipsField1,ChipsField25,CashAndStockDividend,CashDividendYieldRate,ProfitFourSeason,ProfitSingle,CName,ExchangeIndustry,CompanyPos'</f>
        <v>0</v>
      </c>
      <c r="V463">
        <v>-5</v>
      </c>
      <c r="W463" t="str">
        <v>--</v>
      </c>
      <c r="X463" t="str">
        <v>0.00</v>
      </c>
      <c r="Y463">
        <v>0</v>
      </c>
      <c r="Z463" t="str">
        <v>-2.84</v>
      </c>
      <c r="AA463" t="str">
        <v>-0.64</v>
      </c>
      <c r="AB463" t="str">
        <v>連展投控</v>
      </c>
      <c r="AC463" t="str">
        <v>上櫃電子零組件</v>
      </c>
      <c r="AD463" t="str">
        <v>手機隱藏式天線及I/O連接器廠</v>
      </c>
      <c r="AE463" t="str">
        <f t="array" ref="AE463:AH463">[1]!'3710.TW-CName,InvestorConferenceDate,DateofMeetingofShareHolders,TradingDate'</f>
        <v>連展投控</v>
      </c>
      <c r="AF463" t="str">
        <v>--</v>
      </c>
      <c r="AG463" t="str">
        <v>2022/06/23</v>
      </c>
      <c r="AH463" t="str">
        <v>2022/08/01</v>
      </c>
    </row>
    <row r="464" spans="1:34" x14ac:dyDescent="0.3">
      <c r="A464" t="str">
        <f t="array" ref="A464:J464">[1]!'4542.TW-ID,Name,MarketValue,Capital,NetIncomeGrowthRate,OperIncomeGrowthRate,FinancialStatementsTime,TFXRatio,MonthlyNetSalesYoY,RevenueMonth'</f>
        <v>4542</v>
      </c>
      <c r="B464" t="str">
        <v>科嶠</v>
      </c>
      <c r="C464" t="str">
        <v>8.0</v>
      </c>
      <c r="D464" t="str">
        <v>3.23</v>
      </c>
      <c r="E464" t="str">
        <v>-77.90</v>
      </c>
      <c r="F464" t="str">
        <v>-258.89</v>
      </c>
      <c r="G464" t="str">
        <v>2022/03</v>
      </c>
      <c r="H464" t="str">
        <v>-1.78</v>
      </c>
      <c r="I464" t="str">
        <v>-17.48</v>
      </c>
      <c r="J464" t="str">
        <v>2022/06</v>
      </c>
      <c r="K464" t="str">
        <f t="array" ref="K464:T464">[1]!'4542.TW-OperatingProfitRatio,Price,PriceChangeRatio,InOutRatioNumber,Value,YearReturn,MonthReturn,WeekReturn,FinanceBalanceDif,ChipsField2'</f>
        <v>-21.56</v>
      </c>
      <c r="L464">
        <v>24.8</v>
      </c>
      <c r="M464">
        <v>0.81</v>
      </c>
      <c r="N464" t="str">
        <v>100.00%</v>
      </c>
      <c r="O464" t="str">
        <v>2.48萬</v>
      </c>
      <c r="P464" t="str">
        <v>-4.52</v>
      </c>
      <c r="Q464" t="str">
        <v>+1.22</v>
      </c>
      <c r="R464" t="str">
        <v>+3.33</v>
      </c>
      <c r="S464">
        <v>1</v>
      </c>
      <c r="T464">
        <v>0</v>
      </c>
      <c r="U464">
        <f t="array" ref="U464:AD464">[1]!'4542.TW-ChipsField3,ChipsField1,ChipsField25,CashAndStockDividend,CashDividendYieldRate,ProfitFourSeason,ProfitSingle,CName,ExchangeIndustry,CompanyPos'</f>
        <v>0</v>
      </c>
      <c r="V464">
        <v>0</v>
      </c>
      <c r="W464" t="str">
        <v>2022/06/30</v>
      </c>
      <c r="X464" t="str">
        <v>1.00</v>
      </c>
      <c r="Y464">
        <v>4.03</v>
      </c>
      <c r="Z464" t="str">
        <v>0.87</v>
      </c>
      <c r="AA464" t="str">
        <v>-0.44</v>
      </c>
      <c r="AB464" t="str">
        <v>科嶠</v>
      </c>
      <c r="AC464" t="str">
        <v>上櫃電子零組件</v>
      </c>
      <c r="AD464" t="str">
        <v>PCB用自動化乾燥設備製造大廠</v>
      </c>
      <c r="AE464" t="str">
        <f t="array" ref="AE464:AH464">[1]!'4542.TW-CName,InvestorConferenceDate,DateofMeetingofShareHolders,TradingDate'</f>
        <v>科嶠</v>
      </c>
      <c r="AF464" t="str">
        <v>2022/05/31</v>
      </c>
      <c r="AG464" t="str">
        <v>2022/06/02</v>
      </c>
      <c r="AH464" t="str">
        <v>2022/08/01</v>
      </c>
    </row>
    <row r="465" spans="1:34" x14ac:dyDescent="0.3">
      <c r="A465" t="str">
        <f t="array" ref="A465:J465">[1]!'4939.TW-ID,Name,MarketValue,Capital,NetIncomeGrowthRate,OperIncomeGrowthRate,FinancialStatementsTime,TFXRatio,MonthlyNetSalesYoY,RevenueMonth'</f>
        <v>4939</v>
      </c>
      <c r="B465" t="str">
        <v>亞電</v>
      </c>
      <c r="C465" t="str">
        <v>16.8</v>
      </c>
      <c r="D465" t="str">
        <v>9.82</v>
      </c>
      <c r="E465" t="str">
        <v>3.07</v>
      </c>
      <c r="F465" t="str">
        <v>-38.62</v>
      </c>
      <c r="G465" t="str">
        <v>2022/03</v>
      </c>
      <c r="H465" t="str">
        <v>-19.73</v>
      </c>
      <c r="I465" t="str">
        <v>-31.88</v>
      </c>
      <c r="J465" t="str">
        <v>2022/06</v>
      </c>
      <c r="K465" t="str">
        <f t="array" ref="K465:T465">[1]!'4939.TW-OperatingProfitRatio,Price,PriceChangeRatio,InOutRatioNumber,Value,YearReturn,MonthReturn,WeekReturn,FinanceBalanceDif,ChipsField2'</f>
        <v>9.20</v>
      </c>
      <c r="L465">
        <v>17.149999999999999</v>
      </c>
      <c r="M465">
        <v>0</v>
      </c>
      <c r="N465" t="str">
        <v>32.32%</v>
      </c>
      <c r="O465" t="str">
        <v>169萬</v>
      </c>
      <c r="P465" t="str">
        <v>-24.94</v>
      </c>
      <c r="Q465" t="str">
        <v>+1.18</v>
      </c>
      <c r="R465" t="str">
        <v>-2.56</v>
      </c>
      <c r="S465">
        <v>-38</v>
      </c>
      <c r="T465">
        <v>0</v>
      </c>
      <c r="U465">
        <f t="array" ref="U465:AD465">[1]!'4939.TW-ChipsField3,ChipsField1,ChipsField25,CashAndStockDividend,CashDividendYieldRate,ProfitFourSeason,ProfitSingle,CName,ExchangeIndustry,CompanyPos'</f>
        <v>0</v>
      </c>
      <c r="V465">
        <v>-1</v>
      </c>
      <c r="W465" t="str">
        <v>2022/06/02</v>
      </c>
      <c r="X465" t="str">
        <v>1.40</v>
      </c>
      <c r="Y465">
        <v>8.16</v>
      </c>
      <c r="Z465" t="str">
        <v>1.78</v>
      </c>
      <c r="AA465" t="str">
        <v>0.41</v>
      </c>
      <c r="AB465" t="str">
        <v>亞電</v>
      </c>
      <c r="AC465" t="str">
        <v>上櫃電子零組件</v>
      </c>
      <c r="AD465" t="str">
        <v>台灣第二大FCCL廠商</v>
      </c>
      <c r="AE465" t="str">
        <f t="array" ref="AE465:AH465">[1]!'4939.TW-CName,InvestorConferenceDate,DateofMeetingofShareHolders,TradingDate'</f>
        <v>亞電</v>
      </c>
      <c r="AF465" t="str">
        <v>--</v>
      </c>
      <c r="AG465" t="str">
        <v>2022/05/17</v>
      </c>
      <c r="AH465" t="str">
        <v>2022/08/01</v>
      </c>
    </row>
    <row r="466" spans="1:34" x14ac:dyDescent="0.3">
      <c r="A466" t="str">
        <f t="array" ref="A466:J466">[1]!'4974.TW-ID,Name,MarketValue,Capital,NetIncomeGrowthRate,OperIncomeGrowthRate,FinancialStatementsTime,TFXRatio,MonthlyNetSalesYoY,RevenueMonth'</f>
        <v>4974</v>
      </c>
      <c r="B466" t="str">
        <v>亞泰</v>
      </c>
      <c r="C466" t="str">
        <v>40.2</v>
      </c>
      <c r="D466" t="str">
        <v>7.25</v>
      </c>
      <c r="E466" t="str">
        <v>34.86</v>
      </c>
      <c r="F466" t="str">
        <v>-7.29</v>
      </c>
      <c r="G466" t="str">
        <v>2022/03</v>
      </c>
      <c r="H466" t="str">
        <v>0.64</v>
      </c>
      <c r="I466" t="str">
        <v>-2.48</v>
      </c>
      <c r="J466" t="str">
        <v>2022/06</v>
      </c>
      <c r="K466" t="str">
        <f t="array" ref="K466:T466">[1]!'4974.TW-OperatingProfitRatio,Price,PriceChangeRatio,InOutRatioNumber,Value,YearReturn,MonthReturn,WeekReturn,FinanceBalanceDif,ChipsField2'</f>
        <v>10.31</v>
      </c>
      <c r="L466">
        <v>55.4</v>
      </c>
      <c r="M466">
        <v>5.93</v>
      </c>
      <c r="N466" t="str">
        <v>46.61%</v>
      </c>
      <c r="O466" t="str">
        <v>7986萬</v>
      </c>
      <c r="P466" t="str">
        <v>+7.98</v>
      </c>
      <c r="Q466" t="str">
        <v>+10.58</v>
      </c>
      <c r="R466" t="str">
        <v>+6.74</v>
      </c>
      <c r="S466">
        <v>5</v>
      </c>
      <c r="T466">
        <v>0</v>
      </c>
      <c r="U466">
        <f t="array" ref="U466:AD466">[1]!'4974.TW-ChipsField3,ChipsField1,ChipsField25,CashAndStockDividend,CashDividendYieldRate,ProfitFourSeason,ProfitSingle,CName,ExchangeIndustry,CompanyPos'</f>
        <v>0</v>
      </c>
      <c r="V466">
        <v>14</v>
      </c>
      <c r="W466" t="str">
        <v>2022/06/21</v>
      </c>
      <c r="X466" t="str">
        <v>4.30</v>
      </c>
      <c r="Y466">
        <v>7.76</v>
      </c>
      <c r="Z466" t="str">
        <v>6.32</v>
      </c>
      <c r="AA466" t="str">
        <v>1.73</v>
      </c>
      <c r="AB466" t="str">
        <v>亞泰</v>
      </c>
      <c r="AC466" t="str">
        <v>上櫃電子零組件</v>
      </c>
      <c r="AD466" t="str">
        <v>全球前三大接觸式CIS影像感測器業者</v>
      </c>
      <c r="AE466" t="str">
        <f t="array" ref="AE466:AH466">[1]!'4974.TW-CName,InvestorConferenceDate,DateofMeetingofShareHolders,TradingDate'</f>
        <v>亞泰</v>
      </c>
      <c r="AF466" t="str">
        <v>2022/02/10</v>
      </c>
      <c r="AG466" t="str">
        <v>2022/05/27</v>
      </c>
      <c r="AH466" t="str">
        <v>2022/08/01</v>
      </c>
    </row>
    <row r="467" spans="1:34" x14ac:dyDescent="0.3">
      <c r="A467" t="str">
        <f t="array" ref="A467:J467">[1]!'5227.TW-ID,Name,MarketValue,Capital,NetIncomeGrowthRate,OperIncomeGrowthRate,FinancialStatementsTime,TFXRatio,MonthlyNetSalesYoY,RevenueMonth'</f>
        <v>5227</v>
      </c>
      <c r="B467" t="str">
        <v>立凱-KY</v>
      </c>
      <c r="C467" t="str">
        <v>36.6</v>
      </c>
      <c r="D467" t="str">
        <v>7.00</v>
      </c>
      <c r="E467" t="str">
        <v>15.02</v>
      </c>
      <c r="F467" t="str">
        <v>-45.58</v>
      </c>
      <c r="G467" t="str">
        <v>2022/03</v>
      </c>
      <c r="H467" t="str">
        <v>6.00</v>
      </c>
      <c r="I467" t="str">
        <v>292.36</v>
      </c>
      <c r="J467" t="str">
        <v>2022/06</v>
      </c>
      <c r="K467" t="str">
        <f t="array" ref="K467:T467">[1]!'5227.TW-OperatingProfitRatio,Price,PriceChangeRatio,InOutRatioNumber,Value,YearReturn,MonthReturn,WeekReturn,FinanceBalanceDif,ChipsField2'</f>
        <v>-93.55</v>
      </c>
      <c r="L467">
        <v>52.3</v>
      </c>
      <c r="M467">
        <v>-0.76</v>
      </c>
      <c r="N467" t="str">
        <v>33.46%</v>
      </c>
      <c r="O467" t="str">
        <v>1361萬</v>
      </c>
      <c r="P467" t="str">
        <v>+39.07</v>
      </c>
      <c r="Q467" t="str">
        <v>-20.15</v>
      </c>
      <c r="R467" t="str">
        <v>-2.79</v>
      </c>
      <c r="S467">
        <v>0</v>
      </c>
      <c r="T467">
        <v>0</v>
      </c>
      <c r="U467">
        <f t="array" ref="U467:AD467">[1]!'5227.TW-ChipsField3,ChipsField1,ChipsField25,CashAndStockDividend,CashDividendYieldRate,ProfitFourSeason,ProfitSingle,CName,ExchangeIndustry,CompanyPos'</f>
        <v>0</v>
      </c>
      <c r="V467">
        <v>-15</v>
      </c>
      <c r="W467" t="str">
        <v>--</v>
      </c>
      <c r="X467" t="str">
        <v>0.00</v>
      </c>
      <c r="Y467">
        <v>0</v>
      </c>
      <c r="Z467" t="str">
        <v>-7.11</v>
      </c>
      <c r="AA467" t="str">
        <v>-1.69</v>
      </c>
      <c r="AB467" t="str">
        <v>立凱-KY</v>
      </c>
      <c r="AC467" t="str">
        <v>上櫃電子零組件</v>
      </c>
      <c r="AD467" t="str">
        <v>台灣磷酸鐵鋰電池正極材料廠商</v>
      </c>
      <c r="AE467" t="str">
        <f t="array" ref="AE467:AH467">[1]!'5227.TW-CName,InvestorConferenceDate,DateofMeetingofShareHolders,TradingDate'</f>
        <v>立凱-KY</v>
      </c>
      <c r="AF467" t="str">
        <v>2022/06/07</v>
      </c>
      <c r="AG467" t="str">
        <v>2022/06/30</v>
      </c>
      <c r="AH467" t="str">
        <v>2022/08/01</v>
      </c>
    </row>
    <row r="468" spans="1:34" x14ac:dyDescent="0.3">
      <c r="A468" t="str">
        <f t="array" ref="A468:J468">[1]!'5228.TW-ID,Name,MarketValue,Capital,NetIncomeGrowthRate,OperIncomeGrowthRate,FinancialStatementsTime,TFXRatio,MonthlyNetSalesYoY,RevenueMonth'</f>
        <v>5228</v>
      </c>
      <c r="B468" t="str">
        <v>鈺鎧</v>
      </c>
      <c r="C468" t="str">
        <v>8.3</v>
      </c>
      <c r="D468" t="str">
        <v>3.81</v>
      </c>
      <c r="E468" t="str">
        <v>63.08</v>
      </c>
      <c r="F468" t="str">
        <v>49.38</v>
      </c>
      <c r="G468" t="str">
        <v>2022/03</v>
      </c>
      <c r="H468" t="str">
        <v>9.23</v>
      </c>
      <c r="I468" t="str">
        <v>-0.63</v>
      </c>
      <c r="J468" t="str">
        <v>2022/06</v>
      </c>
      <c r="K468" t="str">
        <f t="array" ref="K468:T468">[1]!'5228.TW-OperatingProfitRatio,Price,PriceChangeRatio,InOutRatioNumber,Value,YearReturn,MonthReturn,WeekReturn,FinanceBalanceDif,ChipsField2'</f>
        <v>11.11</v>
      </c>
      <c r="L468">
        <v>21.9</v>
      </c>
      <c r="M468">
        <v>1.86</v>
      </c>
      <c r="N468" t="str">
        <v>78.95%</v>
      </c>
      <c r="O468" t="str">
        <v>82.0萬</v>
      </c>
      <c r="P468" t="str">
        <v>--</v>
      </c>
      <c r="Q468" t="str">
        <v>+3.06</v>
      </c>
      <c r="R468" t="str">
        <v>+1.15</v>
      </c>
      <c r="S468">
        <v>0</v>
      </c>
      <c r="T468">
        <v>0</v>
      </c>
      <c r="U468">
        <f t="array" ref="U468:AD468">[1]!'5228.TW-ChipsField3,ChipsField1,ChipsField25,CashAndStockDividend,CashDividendYieldRate,ProfitFourSeason,ProfitSingle,CName,ExchangeIndustry,CompanyPos'</f>
        <v>0</v>
      </c>
      <c r="V468">
        <v>0</v>
      </c>
      <c r="W468" t="str">
        <v>--</v>
      </c>
      <c r="X468" t="str">
        <v>0.50</v>
      </c>
      <c r="Y468">
        <v>2.2799999999999998</v>
      </c>
      <c r="Z468" t="str">
        <v>1.95</v>
      </c>
      <c r="AA468" t="str">
        <v>0.61</v>
      </c>
      <c r="AB468" t="str">
        <v>鈺鎧</v>
      </c>
      <c r="AC468" t="str">
        <v>上櫃電子零組件</v>
      </c>
      <c r="AD468" t="str">
        <v>積層式晶片電感專業廠商</v>
      </c>
      <c r="AE468" t="str">
        <f t="array" ref="AE468:AH468">[1]!'5228.TW-CName,InvestorConferenceDate,DateofMeetingofShareHolders,TradingDate'</f>
        <v>鈺鎧</v>
      </c>
      <c r="AF468" t="str">
        <v>2022/04/12</v>
      </c>
      <c r="AG468" t="str">
        <v>2022/06/24</v>
      </c>
      <c r="AH468" t="str">
        <v>2022/08/01</v>
      </c>
    </row>
    <row r="469" spans="1:34" x14ac:dyDescent="0.3">
      <c r="A469" t="str">
        <f t="array" ref="A469:J469">[1]!'5291.TW-ID,Name,MarketValue,Capital,NetIncomeGrowthRate,OperIncomeGrowthRate,FinancialStatementsTime,TFXRatio,MonthlyNetSalesYoY,RevenueMonth'</f>
        <v>5291</v>
      </c>
      <c r="B469" t="str">
        <v>邑昇</v>
      </c>
      <c r="C469" t="str">
        <v>14.9</v>
      </c>
      <c r="D469" t="str">
        <v>4.09</v>
      </c>
      <c r="E469" t="str">
        <v>47.89</v>
      </c>
      <c r="F469" t="str">
        <v>14.27</v>
      </c>
      <c r="G469" t="str">
        <v>2022/03</v>
      </c>
      <c r="H469" t="str">
        <v>13.92</v>
      </c>
      <c r="I469" t="str">
        <v>-3.80</v>
      </c>
      <c r="J469" t="str">
        <v>2022/06</v>
      </c>
      <c r="K469" t="str">
        <f t="array" ref="K469:T469">[1]!'5291.TW-OperatingProfitRatio,Price,PriceChangeRatio,InOutRatioNumber,Value,YearReturn,MonthReturn,WeekReturn,FinanceBalanceDif,ChipsField2'</f>
        <v>12.43</v>
      </c>
      <c r="L469">
        <v>36.450000000000003</v>
      </c>
      <c r="M469">
        <v>0.14000000000000001</v>
      </c>
      <c r="N469" t="str">
        <v>35.14%</v>
      </c>
      <c r="O469" t="str">
        <v>135萬</v>
      </c>
      <c r="P469" t="str">
        <v>-17.31</v>
      </c>
      <c r="Q469" t="str">
        <v>+9.96</v>
      </c>
      <c r="R469" t="str">
        <v>+1.25</v>
      </c>
      <c r="S469">
        <v>-14</v>
      </c>
      <c r="T469">
        <v>0</v>
      </c>
      <c r="U469">
        <f t="array" ref="U469:AD469">[1]!'5291.TW-ChipsField3,ChipsField1,ChipsField25,CashAndStockDividend,CashDividendYieldRate,ProfitFourSeason,ProfitSingle,CName,ExchangeIndustry,CompanyPos'</f>
        <v>0</v>
      </c>
      <c r="V469">
        <v>10</v>
      </c>
      <c r="W469" t="str">
        <v>2022/07/21</v>
      </c>
      <c r="X469" t="str">
        <v>2.01</v>
      </c>
      <c r="Y469">
        <v>5.51</v>
      </c>
      <c r="Z469" t="str">
        <v>4.54</v>
      </c>
      <c r="AA469" t="str">
        <v>1.15</v>
      </c>
      <c r="AB469" t="str">
        <v>邑昇</v>
      </c>
      <c r="AC469" t="str">
        <v>上櫃電子零組件</v>
      </c>
      <c r="AD469" t="str">
        <v>台灣印刷電路板與自行車燈具業者</v>
      </c>
      <c r="AE469" t="str">
        <f t="array" ref="AE469:AH469">[1]!'5291.TW-CName,InvestorConferenceDate,DateofMeetingofShareHolders,TradingDate'</f>
        <v>邑昇</v>
      </c>
      <c r="AF469" t="str">
        <v>2021/05/04</v>
      </c>
      <c r="AG469" t="str">
        <v>2022/06/20</v>
      </c>
      <c r="AH469" t="str">
        <v>2022/08/01</v>
      </c>
    </row>
    <row r="470" spans="1:34" x14ac:dyDescent="0.3">
      <c r="A470" t="str">
        <f t="array" ref="A470:J470">[1]!'5309.TW-ID,Name,MarketValue,Capital,NetIncomeGrowthRate,OperIncomeGrowthRate,FinancialStatementsTime,TFXRatio,MonthlyNetSalesYoY,RevenueMonth'</f>
        <v>5309</v>
      </c>
      <c r="B470" t="str">
        <v>系統電</v>
      </c>
      <c r="C470" t="str">
        <v>61.9</v>
      </c>
      <c r="D470" t="str">
        <v>15.63</v>
      </c>
      <c r="E470" t="str">
        <v>656.04</v>
      </c>
      <c r="F470" t="str">
        <v>8751.39</v>
      </c>
      <c r="G470" t="str">
        <v>2022/03</v>
      </c>
      <c r="H470" t="str">
        <v>6.47</v>
      </c>
      <c r="I470" t="str">
        <v>37.67</v>
      </c>
      <c r="J470" t="str">
        <v>2022/06</v>
      </c>
      <c r="K470" t="str">
        <f t="array" ref="K470:T470">[1]!'5309.TW-OperatingProfitRatio,Price,PriceChangeRatio,InOutRatioNumber,Value,YearReturn,MonthReturn,WeekReturn,FinanceBalanceDif,ChipsField2'</f>
        <v>8.78</v>
      </c>
      <c r="L470">
        <v>39.75</v>
      </c>
      <c r="M470">
        <v>1.53</v>
      </c>
      <c r="N470" t="str">
        <v>49.67%</v>
      </c>
      <c r="O470" t="str">
        <v>1.59億</v>
      </c>
      <c r="P470" t="str">
        <v>+8.90</v>
      </c>
      <c r="Q470" t="str">
        <v>+2.45</v>
      </c>
      <c r="R470" t="str">
        <v>+4.61</v>
      </c>
      <c r="S470">
        <v>0</v>
      </c>
      <c r="T470">
        <v>0</v>
      </c>
      <c r="U470">
        <f t="array" ref="U470:AD470">[1]!'5309.TW-ChipsField3,ChipsField1,ChipsField25,CashAndStockDividend,CashDividendYieldRate,ProfitFourSeason,ProfitSingle,CName,ExchangeIndustry,CompanyPos'</f>
        <v>0</v>
      </c>
      <c r="V470">
        <v>-70</v>
      </c>
      <c r="W470" t="str">
        <v>--</v>
      </c>
      <c r="X470" t="str">
        <v>0.00</v>
      </c>
      <c r="Y470">
        <v>0</v>
      </c>
      <c r="Z470" t="str">
        <v>1.03</v>
      </c>
      <c r="AA470" t="str">
        <v>0.48</v>
      </c>
      <c r="AB470" t="str">
        <v>系統電</v>
      </c>
      <c r="AC470" t="str">
        <v>上櫃電子零組件</v>
      </c>
      <c r="AD470" t="str">
        <v>電腦週邊及車用電子廠</v>
      </c>
      <c r="AE470" t="str">
        <f t="array" ref="AE470:AH470">[1]!'5309.TW-CName,InvestorConferenceDate,DateofMeetingofShareHolders,TradingDate'</f>
        <v>系統電</v>
      </c>
      <c r="AF470" t="str">
        <v>2022/05/31</v>
      </c>
      <c r="AG470" t="str">
        <v>2022/04/29</v>
      </c>
      <c r="AH470" t="str">
        <v>2022/08/01</v>
      </c>
    </row>
    <row r="471" spans="1:34" x14ac:dyDescent="0.3">
      <c r="A471" t="str">
        <f t="array" ref="A471:J471">[1]!'5328.TW-ID,Name,MarketValue,Capital,NetIncomeGrowthRate,OperIncomeGrowthRate,FinancialStatementsTime,TFXRatio,MonthlyNetSalesYoY,RevenueMonth'</f>
        <v>5328</v>
      </c>
      <c r="B471" t="str">
        <v>華容</v>
      </c>
      <c r="C471" t="str">
        <v>17.3</v>
      </c>
      <c r="D471" t="str">
        <v>17.27</v>
      </c>
      <c r="E471" t="str">
        <v>-47.74</v>
      </c>
      <c r="F471" t="str">
        <v>-98.01</v>
      </c>
      <c r="G471" t="str">
        <v>2022/03</v>
      </c>
      <c r="H471" t="str">
        <v>-18.02</v>
      </c>
      <c r="I471" t="str">
        <v>-17.37</v>
      </c>
      <c r="J471" t="str">
        <v>2022/06</v>
      </c>
      <c r="K471" t="str">
        <f t="array" ref="K471:T471">[1]!'5328.TW-OperatingProfitRatio,Price,PriceChangeRatio,InOutRatioNumber,Value,YearReturn,MonthReturn,WeekReturn,FinanceBalanceDif,ChipsField2'</f>
        <v>0.08</v>
      </c>
      <c r="L471">
        <v>10</v>
      </c>
      <c r="M471">
        <v>-0.99</v>
      </c>
      <c r="N471" t="str">
        <v>24.65%</v>
      </c>
      <c r="O471" t="str">
        <v>142萬</v>
      </c>
      <c r="P471" t="str">
        <v>-39.58</v>
      </c>
      <c r="Q471" t="str">
        <v>+4.17</v>
      </c>
      <c r="R471" t="str">
        <v>-1.96</v>
      </c>
      <c r="S471">
        <v>-36</v>
      </c>
      <c r="T471">
        <v>0</v>
      </c>
      <c r="U471">
        <f t="array" ref="U471:AD471">[1]!'5328.TW-ChipsField3,ChipsField1,ChipsField25,CashAndStockDividend,CashDividendYieldRate,ProfitFourSeason,ProfitSingle,CName,ExchangeIndustry,CompanyPos'</f>
        <v>0</v>
      </c>
      <c r="V471">
        <v>28</v>
      </c>
      <c r="W471" t="str">
        <v>--</v>
      </c>
      <c r="X471" t="str">
        <v>0.15</v>
      </c>
      <c r="Y471">
        <v>1.5</v>
      </c>
      <c r="Z471" t="str">
        <v>0.15</v>
      </c>
      <c r="AA471" t="str">
        <v>0.05</v>
      </c>
      <c r="AB471" t="str">
        <v>華容</v>
      </c>
      <c r="AC471" t="str">
        <v>上櫃電子零組件</v>
      </c>
      <c r="AD471" t="str">
        <v>台灣塑膠膜電容器供應商</v>
      </c>
      <c r="AE471" t="str">
        <f t="array" ref="AE471:AH471">[1]!'5328.TW-CName,InvestorConferenceDate,DateofMeetingofShareHolders,TradingDate'</f>
        <v>華容</v>
      </c>
      <c r="AF471" t="str">
        <v>--</v>
      </c>
      <c r="AG471" t="str">
        <v>2022/06/08</v>
      </c>
      <c r="AH471" t="str">
        <v>2022/08/01</v>
      </c>
    </row>
    <row r="472" spans="1:34" x14ac:dyDescent="0.3">
      <c r="A472" t="str">
        <f t="array" ref="A472:J472">[1]!'5340.TW-ID,Name,MarketValue,Capital,NetIncomeGrowthRate,OperIncomeGrowthRate,FinancialStatementsTime,TFXRatio,MonthlyNetSalesYoY,RevenueMonth'</f>
        <v>5340</v>
      </c>
      <c r="B472" t="str">
        <v>建榮</v>
      </c>
      <c r="C472" t="str">
        <v>58.2</v>
      </c>
      <c r="D472" t="str">
        <v>19.49</v>
      </c>
      <c r="E472" t="str">
        <v>44.53</v>
      </c>
      <c r="F472" t="str">
        <v>-13.39</v>
      </c>
      <c r="G472" t="str">
        <v>2022/03</v>
      </c>
      <c r="H472" t="str">
        <v>-13.43</v>
      </c>
      <c r="I472" t="str">
        <v>-5.60</v>
      </c>
      <c r="J472" t="str">
        <v>2022/06</v>
      </c>
      <c r="K472" t="str">
        <f t="array" ref="K472:T472">[1]!'5340.TW-OperatingProfitRatio,Price,PriceChangeRatio,InOutRatioNumber,Value,YearReturn,MonthReturn,WeekReturn,FinanceBalanceDif,ChipsField2'</f>
        <v>6.10</v>
      </c>
      <c r="L472">
        <v>29.85</v>
      </c>
      <c r="M472">
        <v>0</v>
      </c>
      <c r="N472" t="str">
        <v>5.26%</v>
      </c>
      <c r="O472" t="str">
        <v>56.1萬</v>
      </c>
      <c r="P472" t="str">
        <v>-33.81</v>
      </c>
      <c r="Q472" t="str">
        <v>+1.02</v>
      </c>
      <c r="R472" t="str">
        <v>-0.17</v>
      </c>
      <c r="S472">
        <v>0</v>
      </c>
      <c r="T472">
        <v>0</v>
      </c>
      <c r="U472">
        <f t="array" ref="U472:AD472">[1]!'5340.TW-ChipsField3,ChipsField1,ChipsField25,CashAndStockDividend,CashDividendYieldRate,ProfitFourSeason,ProfitSingle,CName,ExchangeIndustry,CompanyPos'</f>
        <v>0</v>
      </c>
      <c r="V472">
        <v>0</v>
      </c>
      <c r="W472" t="str">
        <v>--</v>
      </c>
      <c r="X472" t="str">
        <v>0.00</v>
      </c>
      <c r="Y472">
        <v>0</v>
      </c>
      <c r="Z472" t="str">
        <v>0.31</v>
      </c>
      <c r="AA472" t="str">
        <v>0.12</v>
      </c>
      <c r="AB472" t="str">
        <v>建榮</v>
      </c>
      <c r="AC472" t="str">
        <v>上櫃電子零組件</v>
      </c>
      <c r="AD472" t="str">
        <v>台灣電子領域玻纖布製造廠並跨足工業用領域</v>
      </c>
      <c r="AE472" t="str">
        <f t="array" ref="AE472:AH472">[1]!'5340.TW-CName,InvestorConferenceDate,DateofMeetingofShareHolders,TradingDate'</f>
        <v>建榮</v>
      </c>
      <c r="AF472" t="str">
        <v>--</v>
      </c>
      <c r="AG472" t="str">
        <v>2022/06/17</v>
      </c>
      <c r="AH472" t="str">
        <v>2022/08/01</v>
      </c>
    </row>
    <row r="473" spans="1:34" x14ac:dyDescent="0.3">
      <c r="A473" t="str">
        <f t="array" ref="A473:J473">[1]!'5355.TW-ID,Name,MarketValue,Capital,NetIncomeGrowthRate,OperIncomeGrowthRate,FinancialStatementsTime,TFXRatio,MonthlyNetSalesYoY,RevenueMonth'</f>
        <v>5355</v>
      </c>
      <c r="B473" t="str">
        <v>佳總</v>
      </c>
      <c r="C473" t="str">
        <v>9.5</v>
      </c>
      <c r="D473" t="str">
        <v>16.61</v>
      </c>
      <c r="E473" t="str">
        <v>7.11</v>
      </c>
      <c r="F473" t="str">
        <v>-27.39</v>
      </c>
      <c r="G473" t="str">
        <v>2022/03</v>
      </c>
      <c r="H473" t="str">
        <v>-15.32</v>
      </c>
      <c r="I473" t="str">
        <v>-38.50</v>
      </c>
      <c r="J473" t="str">
        <v>2022/06</v>
      </c>
      <c r="K473" t="str">
        <f t="array" ref="K473:T473">[1]!'5355.TW-OperatingProfitRatio,Price,PriceChangeRatio,InOutRatioNumber,Value,YearReturn,MonthReturn,WeekReturn,FinanceBalanceDif,ChipsField2'</f>
        <v>-31.57</v>
      </c>
      <c r="L473">
        <v>5.73</v>
      </c>
      <c r="M473">
        <v>-0.35</v>
      </c>
      <c r="N473" t="str">
        <v>16.90%</v>
      </c>
      <c r="O473" t="str">
        <v>40.7萬</v>
      </c>
      <c r="P473" t="str">
        <v>-29.35</v>
      </c>
      <c r="Q473" t="str">
        <v>-2.22</v>
      </c>
      <c r="R473" t="str">
        <v>-1.88</v>
      </c>
      <c r="S473">
        <v>0</v>
      </c>
      <c r="T473">
        <v>0</v>
      </c>
      <c r="U473">
        <f t="array" ref="U473:AD473">[1]!'5355.TW-ChipsField3,ChipsField1,ChipsField25,CashAndStockDividend,CashDividendYieldRate,ProfitFourSeason,ProfitSingle,CName,ExchangeIndustry,CompanyPos'</f>
        <v>0</v>
      </c>
      <c r="V473">
        <v>3</v>
      </c>
      <c r="W473" t="str">
        <v>--</v>
      </c>
      <c r="X473" t="str">
        <v>0.00</v>
      </c>
      <c r="Y473">
        <v>0</v>
      </c>
      <c r="Z473" t="str">
        <v>-0.66</v>
      </c>
      <c r="AA473" t="str">
        <v>-0.19</v>
      </c>
      <c r="AB473" t="str">
        <v>佳總</v>
      </c>
      <c r="AC473" t="str">
        <v>上櫃電子零組件</v>
      </c>
      <c r="AD473" t="str">
        <v>台灣LED散熱鋁基板廠</v>
      </c>
      <c r="AE473" t="str">
        <f t="array" ref="AE473:AH473">[1]!'5355.TW-CName,InvestorConferenceDate,DateofMeetingofShareHolders,TradingDate'</f>
        <v>佳總</v>
      </c>
      <c r="AF473" t="str">
        <v>--</v>
      </c>
      <c r="AG473" t="str">
        <v>2022/06/16</v>
      </c>
      <c r="AH473" t="str">
        <v>2022/08/01</v>
      </c>
    </row>
    <row r="474" spans="1:34" x14ac:dyDescent="0.3">
      <c r="A474" t="str">
        <f t="array" ref="A474:J474">[1]!'5381.TW-ID,Name,MarketValue,Capital,NetIncomeGrowthRate,OperIncomeGrowthRate,FinancialStatementsTime,TFXRatio,MonthlyNetSalesYoY,RevenueMonth'</f>
        <v>5381</v>
      </c>
      <c r="B474" t="str">
        <v>合正</v>
      </c>
      <c r="C474" t="str">
        <v>10.5</v>
      </c>
      <c r="D474" t="str">
        <v>18.02</v>
      </c>
      <c r="E474" t="str">
        <v>258.03</v>
      </c>
      <c r="F474" t="str">
        <v>-418.55</v>
      </c>
      <c r="G474" t="str">
        <v>2022/03</v>
      </c>
      <c r="H474" t="str">
        <v>-9.73</v>
      </c>
      <c r="I474" t="str">
        <v>-21.92</v>
      </c>
      <c r="J474" t="str">
        <v>2022/06</v>
      </c>
      <c r="K474" t="str">
        <f t="array" ref="K474:T474">[1]!'5381.TW-OperatingProfitRatio,Price,PriceChangeRatio,InOutRatioNumber,Value,YearReturn,MonthReturn,WeekReturn,FinanceBalanceDif,ChipsField2'</f>
        <v>-2.06</v>
      </c>
      <c r="L474">
        <v>5.85</v>
      </c>
      <c r="M474">
        <v>-0.85</v>
      </c>
      <c r="N474" t="str">
        <v>22.73%</v>
      </c>
      <c r="O474" t="str">
        <v>12.7萬</v>
      </c>
      <c r="P474" t="str">
        <v>+6.17</v>
      </c>
      <c r="Q474" t="str">
        <v>+0.86</v>
      </c>
      <c r="R474" t="str">
        <v>+0.86</v>
      </c>
      <c r="S474">
        <v>0</v>
      </c>
      <c r="T474">
        <v>0</v>
      </c>
      <c r="U474">
        <f t="array" ref="U474:AD474">[1]!'5381.TW-ChipsField3,ChipsField1,ChipsField25,CashAndStockDividend,CashDividendYieldRate,ProfitFourSeason,ProfitSingle,CName,ExchangeIndustry,CompanyPos'</f>
        <v>0</v>
      </c>
      <c r="V474">
        <v>0</v>
      </c>
      <c r="W474" t="str">
        <v>--</v>
      </c>
      <c r="X474" t="str">
        <v>0.00</v>
      </c>
      <c r="Y474">
        <v>0</v>
      </c>
      <c r="Z474" t="str">
        <v>0.08</v>
      </c>
      <c r="AA474" t="str">
        <v>0.01</v>
      </c>
      <c r="AB474" t="str">
        <v>合正</v>
      </c>
      <c r="AC474" t="str">
        <v>上櫃電子零組件</v>
      </c>
      <c r="AD474" t="str">
        <v>主要經營鑽孔用潤滑鋁蓋板與鑽孔用下墊板業務</v>
      </c>
      <c r="AE474" t="str">
        <f t="array" ref="AE474:AH474">[1]!'5381.TW-CName,InvestorConferenceDate,DateofMeetingofShareHolders,TradingDate'</f>
        <v>合正</v>
      </c>
      <c r="AF474" t="str">
        <v>--</v>
      </c>
      <c r="AG474" t="str">
        <v>2022/06/06</v>
      </c>
      <c r="AH474" t="str">
        <v>2022/08/01</v>
      </c>
    </row>
    <row r="475" spans="1:34" x14ac:dyDescent="0.3">
      <c r="A475" t="str">
        <f t="array" ref="A475:J475">[1]!'5439.TW-ID,Name,MarketValue,Capital,NetIncomeGrowthRate,OperIncomeGrowthRate,FinancialStatementsTime,TFXRatio,MonthlyNetSalesYoY,RevenueMonth'</f>
        <v>5439</v>
      </c>
      <c r="B475" t="str">
        <v>高技</v>
      </c>
      <c r="C475" t="str">
        <v>38.0</v>
      </c>
      <c r="D475" t="str">
        <v>9.30</v>
      </c>
      <c r="E475" t="str">
        <v>7.47</v>
      </c>
      <c r="F475" t="str">
        <v>-9.22</v>
      </c>
      <c r="G475" t="str">
        <v>2022/03</v>
      </c>
      <c r="H475" t="str">
        <v>4.05</v>
      </c>
      <c r="I475" t="str">
        <v>-18.52</v>
      </c>
      <c r="J475" t="str">
        <v>2022/06</v>
      </c>
      <c r="K475" t="str">
        <f t="array" ref="K475:T475">[1]!'5439.TW-OperatingProfitRatio,Price,PriceChangeRatio,InOutRatioNumber,Value,YearReturn,MonthReturn,WeekReturn,FinanceBalanceDif,ChipsField2'</f>
        <v>13.27</v>
      </c>
      <c r="L475">
        <v>40.9</v>
      </c>
      <c r="M475">
        <v>1.24</v>
      </c>
      <c r="N475" t="str">
        <v>51.08%</v>
      </c>
      <c r="O475" t="str">
        <v>756萬</v>
      </c>
      <c r="P475" t="str">
        <v>-35.20</v>
      </c>
      <c r="Q475" t="str">
        <v>+8.05</v>
      </c>
      <c r="R475" t="str">
        <v>0.00</v>
      </c>
      <c r="S475">
        <v>9</v>
      </c>
      <c r="T475">
        <v>-22</v>
      </c>
      <c r="U475">
        <f t="array" ref="U475:AD475">[1]!'5439.TW-ChipsField3,ChipsField1,ChipsField25,CashAndStockDividend,CashDividendYieldRate,ProfitFourSeason,ProfitSingle,CName,ExchangeIndustry,CompanyPos'</f>
        <v>0</v>
      </c>
      <c r="V475">
        <v>21</v>
      </c>
      <c r="W475" t="str">
        <v>2022/07/19</v>
      </c>
      <c r="X475" t="str">
        <v>3.60</v>
      </c>
      <c r="Y475">
        <v>8.8000000000000007</v>
      </c>
      <c r="Z475" t="str">
        <v>4.66</v>
      </c>
      <c r="AA475" t="str">
        <v>1.12</v>
      </c>
      <c r="AB475" t="str">
        <v>高技</v>
      </c>
      <c r="AC475" t="str">
        <v>上櫃電子零組件</v>
      </c>
      <c r="AD475" t="str">
        <v>生產少量多樣高層數利基型PCB為主</v>
      </c>
      <c r="AE475" t="str">
        <f t="array" ref="AE475:AH475">[1]!'5439.TW-CName,InvestorConferenceDate,DateofMeetingofShareHolders,TradingDate'</f>
        <v>高技</v>
      </c>
      <c r="AF475" t="str">
        <v>2021/11/29</v>
      </c>
      <c r="AG475" t="str">
        <v>2022/06/30</v>
      </c>
      <c r="AH475" t="str">
        <v>2022/08/01</v>
      </c>
    </row>
    <row r="476" spans="1:34" x14ac:dyDescent="0.3">
      <c r="A476" t="str">
        <f t="array" ref="A476:J476">[1]!'5457.TW-ID,Name,MarketValue,Capital,NetIncomeGrowthRate,OperIncomeGrowthRate,FinancialStatementsTime,TFXRatio,MonthlyNetSalesYoY,RevenueMonth'</f>
        <v>5457</v>
      </c>
      <c r="B476" t="str">
        <v>宣德</v>
      </c>
      <c r="C476" t="str">
        <v>89.9</v>
      </c>
      <c r="D476" t="str">
        <v>17.03</v>
      </c>
      <c r="E476" t="str">
        <v>5.49</v>
      </c>
      <c r="F476" t="str">
        <v>-11.67</v>
      </c>
      <c r="G476" t="str">
        <v>2022/03</v>
      </c>
      <c r="H476" t="str">
        <v>-3.94</v>
      </c>
      <c r="I476" t="str">
        <v>41.94</v>
      </c>
      <c r="J476" t="str">
        <v>2022/06</v>
      </c>
      <c r="K476" t="str">
        <f t="array" ref="K476:T476">[1]!'5457.TW-OperatingProfitRatio,Price,PriceChangeRatio,InOutRatioNumber,Value,YearReturn,MonthReturn,WeekReturn,FinanceBalanceDif,ChipsField2'</f>
        <v>7.62</v>
      </c>
      <c r="L476">
        <v>52.8</v>
      </c>
      <c r="M476">
        <v>-3.47</v>
      </c>
      <c r="N476" t="str">
        <v>18.89%</v>
      </c>
      <c r="O476" t="str">
        <v>1944萬</v>
      </c>
      <c r="P476" t="str">
        <v>-30.28</v>
      </c>
      <c r="Q476" t="str">
        <v>+4.35</v>
      </c>
      <c r="R476" t="str">
        <v>-4.69</v>
      </c>
      <c r="S476">
        <v>-33</v>
      </c>
      <c r="T476">
        <v>0</v>
      </c>
      <c r="U476">
        <f t="array" ref="U476:AD476">[1]!'5457.TW-ChipsField3,ChipsField1,ChipsField25,CashAndStockDividend,CashDividendYieldRate,ProfitFourSeason,ProfitSingle,CName,ExchangeIndustry,CompanyPos'</f>
        <v>2</v>
      </c>
      <c r="V476">
        <v>14</v>
      </c>
      <c r="W476" t="str">
        <v>2022/08/04</v>
      </c>
      <c r="X476" t="str">
        <v>2.50</v>
      </c>
      <c r="Y476">
        <v>4.7300000000000004</v>
      </c>
      <c r="Z476" t="str">
        <v>5.09</v>
      </c>
      <c r="AA476" t="str">
        <v>0.91</v>
      </c>
      <c r="AB476" t="str">
        <v>宣德</v>
      </c>
      <c r="AC476" t="str">
        <v>上櫃電子零組件</v>
      </c>
      <c r="AD476" t="str">
        <v>台灣第三大NB連接器廠</v>
      </c>
      <c r="AE476" t="str">
        <f t="array" ref="AE476:AH476">[1]!'5457.TW-CName,InvestorConferenceDate,DateofMeetingofShareHolders,TradingDate'</f>
        <v>宣德</v>
      </c>
      <c r="AF476" t="str">
        <v>2021/05/18</v>
      </c>
      <c r="AG476" t="str">
        <v>2022/06/24</v>
      </c>
      <c r="AH476" t="str">
        <v>2022/08/01</v>
      </c>
    </row>
    <row r="477" spans="1:34" x14ac:dyDescent="0.3">
      <c r="A477" t="str">
        <f t="array" ref="A477:J477">[1]!'5460.TW-ID,Name,MarketValue,Capital,NetIncomeGrowthRate,OperIncomeGrowthRate,FinancialStatementsTime,TFXRatio,MonthlyNetSalesYoY,RevenueMonth'</f>
        <v>5460</v>
      </c>
      <c r="B477" t="str">
        <v>同協</v>
      </c>
      <c r="C477" t="str">
        <v>7.0</v>
      </c>
      <c r="D477" t="str">
        <v>5.88</v>
      </c>
      <c r="E477" t="str">
        <v>-18.50</v>
      </c>
      <c r="F477" t="str">
        <v>-69.98</v>
      </c>
      <c r="G477" t="str">
        <v>2022/03</v>
      </c>
      <c r="H477" t="str">
        <v>20.84</v>
      </c>
      <c r="I477" t="str">
        <v>21.53</v>
      </c>
      <c r="J477" t="str">
        <v>2022/06</v>
      </c>
      <c r="K477" t="str">
        <f t="array" ref="K477:T477">[1]!'5460.TW-OperatingProfitRatio,Price,PriceChangeRatio,InOutRatioNumber,Value,YearReturn,MonthReturn,WeekReturn,FinanceBalanceDif,ChipsField2'</f>
        <v>-6.90</v>
      </c>
      <c r="L477">
        <v>11.85</v>
      </c>
      <c r="M477">
        <v>0</v>
      </c>
      <c r="N477" t="str">
        <v>48.00%</v>
      </c>
      <c r="O477" t="str">
        <v>29.6萬</v>
      </c>
      <c r="P477" t="str">
        <v>+4.11</v>
      </c>
      <c r="Q477" t="str">
        <v>-0.84</v>
      </c>
      <c r="R477" t="str">
        <v>-0.42</v>
      </c>
      <c r="S477">
        <v>0</v>
      </c>
      <c r="T477">
        <v>0</v>
      </c>
      <c r="U477">
        <f t="array" ref="U477:AD477">[1]!'5460.TW-ChipsField3,ChipsField1,ChipsField25,CashAndStockDividend,CashDividendYieldRate,ProfitFourSeason,ProfitSingle,CName,ExchangeIndustry,CompanyPos'</f>
        <v>0</v>
      </c>
      <c r="V477">
        <v>0</v>
      </c>
      <c r="W477" t="str">
        <v>--</v>
      </c>
      <c r="X477" t="str">
        <v>0.00</v>
      </c>
      <c r="Y477">
        <v>0</v>
      </c>
      <c r="Z477" t="str">
        <v>0.00</v>
      </c>
      <c r="AA477" t="str">
        <v>-0.07</v>
      </c>
      <c r="AB477" t="str">
        <v>同協</v>
      </c>
      <c r="AC477" t="str">
        <v>上櫃電子零組件</v>
      </c>
      <c r="AD477" t="str">
        <v>專業的連續沖壓模具及零件大廠</v>
      </c>
      <c r="AE477" t="str">
        <f t="array" ref="AE477:AH477">[1]!'5460.TW-CName,InvestorConferenceDate,DateofMeetingofShareHolders,TradingDate'</f>
        <v>同協</v>
      </c>
      <c r="AF477" t="str">
        <v>--</v>
      </c>
      <c r="AG477" t="str">
        <v>2022/06/23</v>
      </c>
      <c r="AH477" t="str">
        <v>2022/08/01</v>
      </c>
    </row>
    <row r="478" spans="1:34" x14ac:dyDescent="0.3">
      <c r="A478" t="str">
        <f t="array" ref="A478:J478">[1]!'5464.TW-ID,Name,MarketValue,Capital,NetIncomeGrowthRate,OperIncomeGrowthRate,FinancialStatementsTime,TFXRatio,MonthlyNetSalesYoY,RevenueMonth'</f>
        <v>5464</v>
      </c>
      <c r="B478" t="str">
        <v>霖宏</v>
      </c>
      <c r="C478" t="str">
        <v>17.3</v>
      </c>
      <c r="D478" t="str">
        <v>7.11</v>
      </c>
      <c r="E478" t="str">
        <v>-82.75</v>
      </c>
      <c r="F478" t="str">
        <v>-96.35</v>
      </c>
      <c r="G478" t="str">
        <v>2022/03</v>
      </c>
      <c r="H478" t="str">
        <v>-17.57</v>
      </c>
      <c r="I478" t="str">
        <v>-7.85</v>
      </c>
      <c r="J478" t="str">
        <v>2022/06</v>
      </c>
      <c r="K478" t="str">
        <f t="array" ref="K478:T478">[1]!'5464.TW-OperatingProfitRatio,Price,PriceChangeRatio,InOutRatioNumber,Value,YearReturn,MonthReturn,WeekReturn,FinanceBalanceDif,ChipsField2'</f>
        <v>-9.27</v>
      </c>
      <c r="L478">
        <v>24.3</v>
      </c>
      <c r="M478">
        <v>-2.21</v>
      </c>
      <c r="N478" t="str">
        <v>33.98%</v>
      </c>
      <c r="O478" t="str">
        <v>1323萬</v>
      </c>
      <c r="P478" t="str">
        <v>-24.18</v>
      </c>
      <c r="Q478" t="str">
        <v>+3.18</v>
      </c>
      <c r="R478" t="str">
        <v>+0.21</v>
      </c>
      <c r="S478">
        <v>26</v>
      </c>
      <c r="T478">
        <v>0</v>
      </c>
      <c r="U478">
        <f t="array" ref="U478:AD478">[1]!'5464.TW-ChipsField3,ChipsField1,ChipsField25,CashAndStockDividend,CashDividendYieldRate,ProfitFourSeason,ProfitSingle,CName,ExchangeIndustry,CompanyPos'</f>
        <v>-11</v>
      </c>
      <c r="V478">
        <v>84</v>
      </c>
      <c r="W478" t="str">
        <v>--</v>
      </c>
      <c r="X478" t="str">
        <v>2.00</v>
      </c>
      <c r="Y478">
        <v>8.23</v>
      </c>
      <c r="Z478" t="str">
        <v>-0.18</v>
      </c>
      <c r="AA478" t="str">
        <v>1.04</v>
      </c>
      <c r="AB478" t="str">
        <v>霖宏</v>
      </c>
      <c r="AC478" t="str">
        <v>上櫃電子零組件</v>
      </c>
      <c r="AD478" t="str">
        <v>LCD TV,印表機等消費性PCB廠</v>
      </c>
      <c r="AE478" t="str">
        <f t="array" ref="AE478:AH478">[1]!'5464.TW-CName,InvestorConferenceDate,DateofMeetingofShareHolders,TradingDate'</f>
        <v>霖宏</v>
      </c>
      <c r="AF478" t="str">
        <v>--</v>
      </c>
      <c r="AG478" t="str">
        <v>2022/06/23</v>
      </c>
      <c r="AH478" t="str">
        <v>2022/08/01</v>
      </c>
    </row>
    <row r="479" spans="1:34" x14ac:dyDescent="0.3">
      <c r="A479" t="str">
        <f t="array" ref="A479:J479">[1]!'5475.TW-ID,Name,MarketValue,Capital,NetIncomeGrowthRate,OperIncomeGrowthRate,FinancialStatementsTime,TFXRatio,MonthlyNetSalesYoY,RevenueMonth'</f>
        <v>5475</v>
      </c>
      <c r="B479" t="str">
        <v>德宏</v>
      </c>
      <c r="C479" t="str">
        <v>15.4</v>
      </c>
      <c r="D479" t="str">
        <v>12.71</v>
      </c>
      <c r="E479" t="str">
        <v>-216.75</v>
      </c>
      <c r="F479" t="str">
        <v>-190.96</v>
      </c>
      <c r="G479" t="str">
        <v>2022/03</v>
      </c>
      <c r="H479" t="str">
        <v>-10.70</v>
      </c>
      <c r="I479" t="str">
        <v>-75.83</v>
      </c>
      <c r="J479" t="str">
        <v>2022/06</v>
      </c>
      <c r="K479" t="str">
        <f t="array" ref="K479:T479">[1]!'5475.TW-OperatingProfitRatio,Price,PriceChangeRatio,InOutRatioNumber,Value,YearReturn,MonthReturn,WeekReturn,FinanceBalanceDif,ChipsField2'</f>
        <v>-42.50</v>
      </c>
      <c r="L479">
        <v>12.1</v>
      </c>
      <c r="M479">
        <v>-1.22</v>
      </c>
      <c r="N479" t="str">
        <v>21.97%</v>
      </c>
      <c r="O479" t="str">
        <v>281萬</v>
      </c>
      <c r="P479" t="str">
        <v>-66.20</v>
      </c>
      <c r="Q479" t="str">
        <v>-15.38</v>
      </c>
      <c r="R479" t="str">
        <v>-4.72</v>
      </c>
      <c r="S479">
        <v>0</v>
      </c>
      <c r="T479">
        <v>0</v>
      </c>
      <c r="U479">
        <f t="array" ref="U479:AD479">[1]!'5475.TW-ChipsField3,ChipsField1,ChipsField25,CashAndStockDividend,CashDividendYieldRate,ProfitFourSeason,ProfitSingle,CName,ExchangeIndustry,CompanyPos'</f>
        <v>0</v>
      </c>
      <c r="V479">
        <v>12</v>
      </c>
      <c r="W479" t="str">
        <v>--</v>
      </c>
      <c r="X479" t="str">
        <v>0.00</v>
      </c>
      <c r="Y479">
        <v>0</v>
      </c>
      <c r="Z479" t="str">
        <v>2.10</v>
      </c>
      <c r="AA479" t="str">
        <v>-0.84</v>
      </c>
      <c r="AB479" t="str">
        <v>德宏</v>
      </c>
      <c r="AC479" t="str">
        <v>上櫃電子零組件</v>
      </c>
      <c r="AD479" t="str">
        <v>台灣專業電子級玻纖布廠</v>
      </c>
      <c r="AE479" t="str">
        <f t="array" ref="AE479:AH479">[1]!'5475.TW-CName,InvestorConferenceDate,DateofMeetingofShareHolders,TradingDate'</f>
        <v>德宏</v>
      </c>
      <c r="AF479" t="str">
        <v>--</v>
      </c>
      <c r="AG479" t="str">
        <v>2022/06/17</v>
      </c>
      <c r="AH479" t="str">
        <v>2022/08/01</v>
      </c>
    </row>
    <row r="480" spans="1:34" x14ac:dyDescent="0.3">
      <c r="A480" t="str">
        <f t="array" ref="A480:J480">[1]!'5488.TW-ID,Name,MarketValue,Capital,NetIncomeGrowthRate,OperIncomeGrowthRate,FinancialStatementsTime,TFXRatio,MonthlyNetSalesYoY,RevenueMonth'</f>
        <v>5488</v>
      </c>
      <c r="B480" t="str">
        <v>松普</v>
      </c>
      <c r="C480" t="str">
        <v>8.1</v>
      </c>
      <c r="D480" t="str">
        <v>9.16</v>
      </c>
      <c r="E480" t="str">
        <v>-166.88</v>
      </c>
      <c r="F480" t="str">
        <v>544.80</v>
      </c>
      <c r="G480" t="str">
        <v>2022/03</v>
      </c>
      <c r="H480" t="str">
        <v>-13.89</v>
      </c>
      <c r="I480" t="str">
        <v>-14.25</v>
      </c>
      <c r="J480" t="str">
        <v>2022/06</v>
      </c>
      <c r="K480" t="str">
        <f t="array" ref="K480:T480">[1]!'5488.TW-OperatingProfitRatio,Price,PriceChangeRatio,InOutRatioNumber,Value,YearReturn,MonthReturn,WeekReturn,FinanceBalanceDif,ChipsField2'</f>
        <v>1.38</v>
      </c>
      <c r="L480">
        <v>8.7899999999999991</v>
      </c>
      <c r="M480">
        <v>0</v>
      </c>
      <c r="N480" t="str">
        <v>56.06%</v>
      </c>
      <c r="O480" t="str">
        <v>58.0萬</v>
      </c>
      <c r="P480" t="str">
        <v>+6.93</v>
      </c>
      <c r="Q480" t="str">
        <v>+2.81</v>
      </c>
      <c r="R480" t="str">
        <v>-1.46</v>
      </c>
      <c r="S480">
        <v>0</v>
      </c>
      <c r="T480">
        <v>0</v>
      </c>
      <c r="U480">
        <f t="array" ref="U480:AD480">[1]!'5488.TW-ChipsField3,ChipsField1,ChipsField25,CashAndStockDividend,CashDividendYieldRate,ProfitFourSeason,ProfitSingle,CName,ExchangeIndustry,CompanyPos'</f>
        <v>0</v>
      </c>
      <c r="V480">
        <v>-1</v>
      </c>
      <c r="W480" t="str">
        <v>--</v>
      </c>
      <c r="X480" t="str">
        <v>0.00</v>
      </c>
      <c r="Y480">
        <v>0</v>
      </c>
      <c r="Z480" t="str">
        <v>0.06</v>
      </c>
      <c r="AA480" t="str">
        <v>-0.02</v>
      </c>
      <c r="AB480" t="str">
        <v>松普</v>
      </c>
      <c r="AC480" t="str">
        <v>上櫃電子零組件</v>
      </c>
      <c r="AD480" t="str">
        <v>以製造網路線為主的線材廠</v>
      </c>
      <c r="AE480" t="str">
        <f t="array" ref="AE480:AH480">[1]!'5488.TW-CName,InvestorConferenceDate,DateofMeetingofShareHolders,TradingDate'</f>
        <v>松普</v>
      </c>
      <c r="AF480" t="str">
        <v>--</v>
      </c>
      <c r="AG480" t="str">
        <v>2022/06/17</v>
      </c>
      <c r="AH480" t="str">
        <v>2022/08/01</v>
      </c>
    </row>
    <row r="481" spans="1:34" x14ac:dyDescent="0.3">
      <c r="A481" t="str">
        <f t="array" ref="A481:J481">[1]!'5498.TW-ID,Name,MarketValue,Capital,NetIncomeGrowthRate,OperIncomeGrowthRate,FinancialStatementsTime,TFXRatio,MonthlyNetSalesYoY,RevenueMonth'</f>
        <v>5498</v>
      </c>
      <c r="B481" t="str">
        <v>凱崴</v>
      </c>
      <c r="C481" t="str">
        <v>19.4</v>
      </c>
      <c r="D481" t="str">
        <v>18.99</v>
      </c>
      <c r="E481" t="str">
        <v>-349.67</v>
      </c>
      <c r="F481" t="str">
        <v>-199.26</v>
      </c>
      <c r="G481" t="str">
        <v>2022/03</v>
      </c>
      <c r="H481" t="str">
        <v>10.32</v>
      </c>
      <c r="I481" t="str">
        <v>-2.53</v>
      </c>
      <c r="J481" t="str">
        <v>2022/06</v>
      </c>
      <c r="K481" t="str">
        <f t="array" ref="K481:T481">[1]!'5498.TW-OperatingProfitRatio,Price,PriceChangeRatio,InOutRatioNumber,Value,YearReturn,MonthReturn,WeekReturn,FinanceBalanceDif,ChipsField2'</f>
        <v>-3.20</v>
      </c>
      <c r="L481">
        <v>10.199999999999999</v>
      </c>
      <c r="M481">
        <v>1.49</v>
      </c>
      <c r="N481" t="str">
        <v>56.90%</v>
      </c>
      <c r="O481" t="str">
        <v>243萬</v>
      </c>
      <c r="P481" t="str">
        <v>-44.65</v>
      </c>
      <c r="Q481" t="str">
        <v>+5.37</v>
      </c>
      <c r="R481" t="str">
        <v>+1.49</v>
      </c>
      <c r="S481">
        <v>-129</v>
      </c>
      <c r="T481">
        <v>0</v>
      </c>
      <c r="U481">
        <f t="array" ref="U481:AD481">[1]!'5498.TW-ChipsField3,ChipsField1,ChipsField25,CashAndStockDividend,CashDividendYieldRate,ProfitFourSeason,ProfitSingle,CName,ExchangeIndustry,CompanyPos'</f>
        <v>0</v>
      </c>
      <c r="V481">
        <v>25</v>
      </c>
      <c r="W481" t="str">
        <v>--</v>
      </c>
      <c r="X481" t="str">
        <v>0.00</v>
      </c>
      <c r="Y481">
        <v>0</v>
      </c>
      <c r="Z481" t="str">
        <v>0.04</v>
      </c>
      <c r="AA481" t="str">
        <v>-0.10</v>
      </c>
      <c r="AB481" t="str">
        <v>凱崴</v>
      </c>
      <c r="AC481" t="str">
        <v>上櫃電子零組件</v>
      </c>
      <c r="AD481" t="str">
        <v>台灣PCB鑽頭製造商</v>
      </c>
      <c r="AE481" t="str">
        <f t="array" ref="AE481:AH481">[1]!'5498.TW-CName,InvestorConferenceDate,DateofMeetingofShareHolders,TradingDate'</f>
        <v>凱崴</v>
      </c>
      <c r="AF481" t="str">
        <v>--</v>
      </c>
      <c r="AG481" t="str">
        <v>2022/06/22</v>
      </c>
      <c r="AH481" t="str">
        <v>2022/08/01</v>
      </c>
    </row>
    <row r="482" spans="1:34" x14ac:dyDescent="0.3">
      <c r="A482" t="str">
        <f t="array" ref="A482:J482">[1]!'6114.TW-ID,Name,MarketValue,Capital,NetIncomeGrowthRate,OperIncomeGrowthRate,FinancialStatementsTime,TFXRatio,MonthlyNetSalesYoY,RevenueMonth'</f>
        <v>6114</v>
      </c>
      <c r="B482" t="str">
        <v>久威</v>
      </c>
      <c r="C482" t="str">
        <v>10.1</v>
      </c>
      <c r="D482" t="str">
        <v>4.39</v>
      </c>
      <c r="E482" t="str">
        <v>86.03</v>
      </c>
      <c r="F482" t="str">
        <v>-30.18</v>
      </c>
      <c r="G482" t="str">
        <v>2022/03</v>
      </c>
      <c r="H482" t="str">
        <v>-39.19</v>
      </c>
      <c r="I482" t="str">
        <v>-32.80</v>
      </c>
      <c r="J482" t="str">
        <v>2022/06</v>
      </c>
      <c r="K482" t="str">
        <f t="array" ref="K482:T482">[1]!'6114.TW-OperatingProfitRatio,Price,PriceChangeRatio,InOutRatioNumber,Value,YearReturn,MonthReturn,WeekReturn,FinanceBalanceDif,ChipsField2'</f>
        <v>3.38</v>
      </c>
      <c r="L482">
        <v>23</v>
      </c>
      <c r="M482">
        <v>2.4500000000000002</v>
      </c>
      <c r="N482" t="str">
        <v>50.34%</v>
      </c>
      <c r="O482" t="str">
        <v>1714萬</v>
      </c>
      <c r="P482" t="str">
        <v>-5.41</v>
      </c>
      <c r="Q482" t="str">
        <v>+3.10</v>
      </c>
      <c r="R482" t="str">
        <v>+6.98</v>
      </c>
      <c r="S482">
        <v>-92</v>
      </c>
      <c r="T482">
        <v>0</v>
      </c>
      <c r="U482">
        <f t="array" ref="U482:AD482">[1]!'6114.TW-ChipsField3,ChipsField1,ChipsField25,CashAndStockDividend,CashDividendYieldRate,ProfitFourSeason,ProfitSingle,CName,ExchangeIndustry,CompanyPos'</f>
        <v>0</v>
      </c>
      <c r="V482">
        <v>163</v>
      </c>
      <c r="W482" t="str">
        <v>2022/07/06</v>
      </c>
      <c r="X482" t="str">
        <v>0.50</v>
      </c>
      <c r="Y482">
        <v>2.17</v>
      </c>
      <c r="Z482" t="str">
        <v>0.78</v>
      </c>
      <c r="AA482" t="str">
        <v>0.98</v>
      </c>
      <c r="AB482" t="str">
        <v>久威</v>
      </c>
      <c r="AC482" t="str">
        <v>上櫃電子零組件</v>
      </c>
      <c r="AD482" t="str">
        <v>由PCB製造商轉型為電子材料代理及成品加工業務</v>
      </c>
      <c r="AE482" t="str">
        <f t="array" ref="AE482:AH482">[1]!'6114.TW-CName,InvestorConferenceDate,DateofMeetingofShareHolders,TradingDate'</f>
        <v>久威</v>
      </c>
      <c r="AF482" t="str">
        <v>--</v>
      </c>
      <c r="AG482" t="str">
        <v>2022/06/17</v>
      </c>
      <c r="AH482" t="str">
        <v>2022/08/01</v>
      </c>
    </row>
    <row r="483" spans="1:34" x14ac:dyDescent="0.3">
      <c r="A483" t="str">
        <f t="array" ref="A483:J483">[1]!'6124.TW-ID,Name,MarketValue,Capital,NetIncomeGrowthRate,OperIncomeGrowthRate,FinancialStatementsTime,TFXRatio,MonthlyNetSalesYoY,RevenueMonth'</f>
        <v>6124</v>
      </c>
      <c r="B483" t="str">
        <v>業強</v>
      </c>
      <c r="C483" t="str">
        <v>43.6</v>
      </c>
      <c r="D483" t="str">
        <v>18.25</v>
      </c>
      <c r="E483" t="str">
        <v>66.01</v>
      </c>
      <c r="F483" t="str">
        <v>-17.67</v>
      </c>
      <c r="G483" t="str">
        <v>2022/03</v>
      </c>
      <c r="H483" t="str">
        <v>-13.27</v>
      </c>
      <c r="I483" t="str">
        <v>-27.36</v>
      </c>
      <c r="J483" t="str">
        <v>2022/06</v>
      </c>
      <c r="K483" t="str">
        <f t="array" ref="K483:T483">[1]!'6124.TW-OperatingProfitRatio,Price,PriceChangeRatio,InOutRatioNumber,Value,YearReturn,MonthReturn,WeekReturn,FinanceBalanceDif,ChipsField2'</f>
        <v>11.86</v>
      </c>
      <c r="L483">
        <v>23.9</v>
      </c>
      <c r="M483">
        <v>0</v>
      </c>
      <c r="N483" t="str">
        <v>50.00%</v>
      </c>
      <c r="O483" t="str">
        <v>4.75萬</v>
      </c>
      <c r="P483" t="str">
        <v>-11.48</v>
      </c>
      <c r="Q483" t="str">
        <v>-2.25</v>
      </c>
      <c r="R483" t="str">
        <v>+0.21</v>
      </c>
      <c r="S483">
        <v>4</v>
      </c>
      <c r="T483">
        <v>0</v>
      </c>
      <c r="U483">
        <f t="array" ref="U483:AD483">[1]!'6124.TW-ChipsField3,ChipsField1,ChipsField25,CashAndStockDividend,CashDividendYieldRate,ProfitFourSeason,ProfitSingle,CName,ExchangeIndustry,CompanyPos'</f>
        <v>0</v>
      </c>
      <c r="V483">
        <v>1</v>
      </c>
      <c r="W483" t="str">
        <v>--</v>
      </c>
      <c r="X483" t="str">
        <v>0.00</v>
      </c>
      <c r="Y483">
        <v>0</v>
      </c>
      <c r="Z483" t="str">
        <v>1.51</v>
      </c>
      <c r="AA483" t="str">
        <v>0.59</v>
      </c>
      <c r="AB483" t="str">
        <v>業強</v>
      </c>
      <c r="AC483" t="str">
        <v>上櫃電子零組件</v>
      </c>
      <c r="AD483" t="str">
        <v>台灣最大熱導管供應商</v>
      </c>
      <c r="AE483" t="str">
        <f t="array" ref="AE483:AH483">[1]!'6124.TW-CName,InvestorConferenceDate,DateofMeetingofShareHolders,TradingDate'</f>
        <v>業強</v>
      </c>
      <c r="AF483" t="str">
        <v>--</v>
      </c>
      <c r="AG483" t="str">
        <v>2022/06/15</v>
      </c>
      <c r="AH483" t="str">
        <v>2022/08/01</v>
      </c>
    </row>
    <row r="484" spans="1:34" x14ac:dyDescent="0.3">
      <c r="A484" t="str">
        <f t="array" ref="A484:J484">[1]!'6126.TW-ID,Name,MarketValue,Capital,NetIncomeGrowthRate,OperIncomeGrowthRate,FinancialStatementsTime,TFXRatio,MonthlyNetSalesYoY,RevenueMonth'</f>
        <v>6126</v>
      </c>
      <c r="B484" t="str">
        <v>信音</v>
      </c>
      <c r="C484" t="str">
        <v>27.4</v>
      </c>
      <c r="D484" t="str">
        <v>12.28</v>
      </c>
      <c r="E484" t="str">
        <v>6.52</v>
      </c>
      <c r="F484" t="str">
        <v>-4.42</v>
      </c>
      <c r="G484" t="str">
        <v>2022/03</v>
      </c>
      <c r="H484" t="str">
        <v>17.36</v>
      </c>
      <c r="I484" t="str">
        <v>6.08</v>
      </c>
      <c r="J484" t="str">
        <v>2022/06</v>
      </c>
      <c r="K484" t="str">
        <f t="array" ref="K484:T484">[1]!'6126.TW-OperatingProfitRatio,Price,PriceChangeRatio,InOutRatioNumber,Value,YearReturn,MonthReturn,WeekReturn,FinanceBalanceDif,ChipsField2'</f>
        <v>9.32</v>
      </c>
      <c r="L484">
        <v>22.35</v>
      </c>
      <c r="M484">
        <v>3.71</v>
      </c>
      <c r="N484" t="str">
        <v>65.10%</v>
      </c>
      <c r="O484" t="str">
        <v>1725萬</v>
      </c>
      <c r="P484" t="str">
        <v>+5.29</v>
      </c>
      <c r="Q484" t="str">
        <v>+24.48</v>
      </c>
      <c r="R484" t="str">
        <v>+10.92</v>
      </c>
      <c r="S484">
        <v>30</v>
      </c>
      <c r="T484">
        <v>0</v>
      </c>
      <c r="U484">
        <f t="array" ref="U484:AD484">[1]!'6126.TW-ChipsField3,ChipsField1,ChipsField25,CashAndStockDividend,CashDividendYieldRate,ProfitFourSeason,ProfitSingle,CName,ExchangeIndustry,CompanyPos'</f>
        <v>0</v>
      </c>
      <c r="V484">
        <v>76</v>
      </c>
      <c r="W484" t="str">
        <v>2022/07/20</v>
      </c>
      <c r="X484" t="str">
        <v>1.33</v>
      </c>
      <c r="Y484">
        <v>5.95</v>
      </c>
      <c r="Z484" t="str">
        <v>2.02</v>
      </c>
      <c r="AA484" t="str">
        <v>0.46</v>
      </c>
      <c r="AB484" t="str">
        <v>信音</v>
      </c>
      <c r="AC484" t="str">
        <v>上櫃電子零組件</v>
      </c>
      <c r="AD484" t="str">
        <v>NB電源插頭及手持式裝置連接器廠</v>
      </c>
      <c r="AE484" t="str">
        <f t="array" ref="AE484:AH484">[1]!'6126.TW-CName,InvestorConferenceDate,DateofMeetingofShareHolders,TradingDate'</f>
        <v>信音</v>
      </c>
      <c r="AF484" t="str">
        <v>2021/11/15</v>
      </c>
      <c r="AG484" t="str">
        <v>2022/06/16</v>
      </c>
      <c r="AH484" t="str">
        <v>2022/08/01</v>
      </c>
    </row>
    <row r="485" spans="1:34" x14ac:dyDescent="0.3">
      <c r="A485" t="str">
        <f t="array" ref="A485:J485">[1]!'6127.TW-ID,Name,MarketValue,Capital,NetIncomeGrowthRate,OperIncomeGrowthRate,FinancialStatementsTime,TFXRatio,MonthlyNetSalesYoY,RevenueMonth'</f>
        <v>6127</v>
      </c>
      <c r="B485" t="str">
        <v>九豪</v>
      </c>
      <c r="C485" t="str">
        <v>19.6</v>
      </c>
      <c r="D485" t="str">
        <v>10.81</v>
      </c>
      <c r="E485" t="str">
        <v>-70.66</v>
      </c>
      <c r="F485" t="str">
        <v>-32.60</v>
      </c>
      <c r="G485" t="str">
        <v>2022/03</v>
      </c>
      <c r="H485" t="str">
        <v>8.74</v>
      </c>
      <c r="I485" t="str">
        <v>-26.26</v>
      </c>
      <c r="J485" t="str">
        <v>2022/06</v>
      </c>
      <c r="K485" t="str">
        <f t="array" ref="K485:T485">[1]!'6127.TW-OperatingProfitRatio,Price,PriceChangeRatio,InOutRatioNumber,Value,YearReturn,MonthReturn,WeekReturn,FinanceBalanceDif,ChipsField2'</f>
        <v>5.21</v>
      </c>
      <c r="L485">
        <v>18.100000000000001</v>
      </c>
      <c r="M485">
        <v>0.84</v>
      </c>
      <c r="N485" t="str">
        <v>39.73%</v>
      </c>
      <c r="O485" t="str">
        <v>263萬</v>
      </c>
      <c r="P485" t="str">
        <v>-39.87</v>
      </c>
      <c r="Q485" t="str">
        <v>+11.38</v>
      </c>
      <c r="R485" t="str">
        <v>-0.28</v>
      </c>
      <c r="S485">
        <v>-21</v>
      </c>
      <c r="T485">
        <v>0</v>
      </c>
      <c r="U485">
        <f t="array" ref="U485:AD485">[1]!'6127.TW-ChipsField3,ChipsField1,ChipsField25,CashAndStockDividend,CashDividendYieldRate,ProfitFourSeason,ProfitSingle,CName,ExchangeIndustry,CompanyPos'</f>
        <v>0</v>
      </c>
      <c r="V485">
        <v>42</v>
      </c>
      <c r="W485" t="str">
        <v>--</v>
      </c>
      <c r="X485" t="str">
        <v>0.00</v>
      </c>
      <c r="Y485">
        <v>0</v>
      </c>
      <c r="Z485" t="str">
        <v>0.41</v>
      </c>
      <c r="AA485" t="str">
        <v>0.03</v>
      </c>
      <c r="AB485" t="str">
        <v>九豪</v>
      </c>
      <c r="AC485" t="str">
        <v>上櫃電子零組件</v>
      </c>
      <c r="AD485" t="str">
        <v>全球晶片電阻陶瓷基板製造大廠</v>
      </c>
      <c r="AE485" t="str">
        <f t="array" ref="AE485:AH485">[1]!'6127.TW-CName,InvestorConferenceDate,DateofMeetingofShareHolders,TradingDate'</f>
        <v>九豪</v>
      </c>
      <c r="AF485" t="str">
        <v>--</v>
      </c>
      <c r="AG485" t="str">
        <v>2022/06/23</v>
      </c>
      <c r="AH485" t="str">
        <v>2022/08/01</v>
      </c>
    </row>
    <row r="486" spans="1:34" x14ac:dyDescent="0.3">
      <c r="A486" t="str">
        <f t="array" ref="A486:J486">[1]!'6134.TW-ID,Name,MarketValue,Capital,NetIncomeGrowthRate,OperIncomeGrowthRate,FinancialStatementsTime,TFXRatio,MonthlyNetSalesYoY,RevenueMonth'</f>
        <v>6134</v>
      </c>
      <c r="B486" t="str">
        <v>萬旭</v>
      </c>
      <c r="C486" t="str">
        <v>17.8</v>
      </c>
      <c r="D486" t="str">
        <v>7.26</v>
      </c>
      <c r="E486" t="str">
        <v>-474.73</v>
      </c>
      <c r="F486" t="str">
        <v>-4377.22</v>
      </c>
      <c r="G486" t="str">
        <v>2022/03</v>
      </c>
      <c r="H486" t="str">
        <v>23.96</v>
      </c>
      <c r="I486" t="str">
        <v>2.81</v>
      </c>
      <c r="J486" t="str">
        <v>2022/06</v>
      </c>
      <c r="K486" t="str">
        <f t="array" ref="K486:T486">[1]!'6134.TW-OperatingProfitRatio,Price,PriceChangeRatio,InOutRatioNumber,Value,YearReturn,MonthReturn,WeekReturn,FinanceBalanceDif,ChipsField2'</f>
        <v>-11.32</v>
      </c>
      <c r="L486">
        <v>24.55</v>
      </c>
      <c r="M486">
        <v>0.41</v>
      </c>
      <c r="N486" t="str">
        <v>60.09%</v>
      </c>
      <c r="O486" t="str">
        <v>576萬</v>
      </c>
      <c r="P486" t="str">
        <v>+35.12</v>
      </c>
      <c r="Q486" t="str">
        <v>+7.44</v>
      </c>
      <c r="R486" t="str">
        <v>+0.82</v>
      </c>
      <c r="S486">
        <v>3</v>
      </c>
      <c r="T486">
        <v>0</v>
      </c>
      <c r="U486">
        <f t="array" ref="U486:AD486">[1]!'6134.TW-ChipsField3,ChipsField1,ChipsField25,CashAndStockDividend,CashDividendYieldRate,ProfitFourSeason,ProfitSingle,CName,ExchangeIndustry,CompanyPos'</f>
        <v>0</v>
      </c>
      <c r="V486">
        <v>13</v>
      </c>
      <c r="W486" t="str">
        <v>2022/07/12</v>
      </c>
      <c r="X486" t="str">
        <v>0.10</v>
      </c>
      <c r="Y486">
        <v>0.41</v>
      </c>
      <c r="Z486" t="str">
        <v>-0.78</v>
      </c>
      <c r="AA486" t="str">
        <v>-0.17</v>
      </c>
      <c r="AB486" t="str">
        <v>萬旭</v>
      </c>
      <c r="AC486" t="str">
        <v>上櫃電子零組件</v>
      </c>
      <c r="AD486" t="str">
        <v>主要經營極細銅軸線、天線、信號線等線材業者</v>
      </c>
      <c r="AE486" t="str">
        <f t="array" ref="AE486:AH486">[1]!'6134.TW-CName,InvestorConferenceDate,DateofMeetingofShareHolders,TradingDate'</f>
        <v>萬旭</v>
      </c>
      <c r="AF486" t="str">
        <v>2022/05/24</v>
      </c>
      <c r="AG486" t="str">
        <v>2022/06/10</v>
      </c>
      <c r="AH486" t="str">
        <v>2022/08/01</v>
      </c>
    </row>
    <row r="487" spans="1:34" x14ac:dyDescent="0.3">
      <c r="A487" t="str">
        <f t="array" ref="A487:J487">[1]!'6156.TW-ID,Name,MarketValue,Capital,NetIncomeGrowthRate,OperIncomeGrowthRate,FinancialStatementsTime,TFXRatio,MonthlyNetSalesYoY,RevenueMonth'</f>
        <v>6156</v>
      </c>
      <c r="B487" t="str">
        <v>松上</v>
      </c>
      <c r="C487" t="str">
        <v>16.3</v>
      </c>
      <c r="D487" t="str">
        <v>8.05</v>
      </c>
      <c r="E487" t="str">
        <v>54.39</v>
      </c>
      <c r="F487" t="str">
        <v>-223.82</v>
      </c>
      <c r="G487" t="str">
        <v>2022/06</v>
      </c>
      <c r="H487" t="str">
        <v>4.62</v>
      </c>
      <c r="I487" t="str">
        <v>-3.23</v>
      </c>
      <c r="J487" t="str">
        <v>2022/06</v>
      </c>
      <c r="K487" t="str">
        <f t="array" ref="K487:T487">[1]!'6156.TW-OperatingProfitRatio,Price,PriceChangeRatio,InOutRatioNumber,Value,YearReturn,MonthReturn,WeekReturn,FinanceBalanceDif,ChipsField2'</f>
        <v>-0.89</v>
      </c>
      <c r="L487">
        <v>20.25</v>
      </c>
      <c r="M487">
        <v>6.58</v>
      </c>
      <c r="N487" t="str">
        <v>60.44%</v>
      </c>
      <c r="O487" t="str">
        <v>9760萬</v>
      </c>
      <c r="P487" t="str">
        <v>+22.91</v>
      </c>
      <c r="Q487" t="str">
        <v>+35.00</v>
      </c>
      <c r="R487" t="str">
        <v>+20.54</v>
      </c>
      <c r="S487">
        <v>158</v>
      </c>
      <c r="T487">
        <v>0</v>
      </c>
      <c r="U487">
        <f t="array" ref="U487:AD487">[1]!'6156.TW-ChipsField3,ChipsField1,ChipsField25,CashAndStockDividend,CashDividendYieldRate,ProfitFourSeason,ProfitSingle,CName,ExchangeIndustry,CompanyPos'</f>
        <v>-20</v>
      </c>
      <c r="V487">
        <v>-198</v>
      </c>
      <c r="W487" t="str">
        <v>--</v>
      </c>
      <c r="X487" t="str">
        <v>0.50</v>
      </c>
      <c r="Y487">
        <v>2.4700000000000002</v>
      </c>
      <c r="Z487" t="str">
        <v>1.59</v>
      </c>
      <c r="AA487" t="str">
        <v>0.52</v>
      </c>
      <c r="AB487" t="str">
        <v>松上</v>
      </c>
      <c r="AC487" t="str">
        <v>上櫃電子零組件</v>
      </c>
      <c r="AD487" t="str">
        <v>印刷電路板和磁性元件製造商</v>
      </c>
      <c r="AE487" t="str">
        <f t="array" ref="AE487:AH487">[1]!'6156.TW-CName,InvestorConferenceDate,DateofMeetingofShareHolders,TradingDate'</f>
        <v>松上</v>
      </c>
      <c r="AF487" t="str">
        <v>--</v>
      </c>
      <c r="AG487" t="str">
        <v>2022/06/17</v>
      </c>
      <c r="AH487" t="str">
        <v>2022/08/01</v>
      </c>
    </row>
    <row r="488" spans="1:34" x14ac:dyDescent="0.3">
      <c r="A488" t="str">
        <f t="array" ref="A488:J488">[1]!'6158.TW-ID,Name,MarketValue,Capital,NetIncomeGrowthRate,OperIncomeGrowthRate,FinancialStatementsTime,TFXRatio,MonthlyNetSalesYoY,RevenueMonth'</f>
        <v>6158</v>
      </c>
      <c r="B488" t="str">
        <v>禾昌</v>
      </c>
      <c r="C488" t="str">
        <v>16.5</v>
      </c>
      <c r="D488" t="str">
        <v>5.50</v>
      </c>
      <c r="E488" t="str">
        <v>-26.29</v>
      </c>
      <c r="F488" t="str">
        <v>-35.29</v>
      </c>
      <c r="G488" t="str">
        <v>2022/06</v>
      </c>
      <c r="H488" t="str">
        <v>2.51</v>
      </c>
      <c r="I488" t="str">
        <v>-7.98</v>
      </c>
      <c r="J488" t="str">
        <v>2022/06</v>
      </c>
      <c r="K488" t="str">
        <f t="array" ref="K488:T488">[1]!'6158.TW-OperatingProfitRatio,Price,PriceChangeRatio,InOutRatioNumber,Value,YearReturn,MonthReturn,WeekReturn,FinanceBalanceDif,ChipsField2'</f>
        <v>6.41</v>
      </c>
      <c r="L488">
        <v>29.9</v>
      </c>
      <c r="M488">
        <v>1.01</v>
      </c>
      <c r="N488" t="str">
        <v>65.52%</v>
      </c>
      <c r="O488" t="str">
        <v>173萬</v>
      </c>
      <c r="P488" t="str">
        <v>-9.91</v>
      </c>
      <c r="Q488" t="str">
        <v>+7.94</v>
      </c>
      <c r="R488" t="str">
        <v>+1.01</v>
      </c>
      <c r="S488">
        <v>2</v>
      </c>
      <c r="T488">
        <v>0</v>
      </c>
      <c r="U488">
        <f t="array" ref="U488:AD488">[1]!'6158.TW-ChipsField3,ChipsField1,ChipsField25,CashAndStockDividend,CashDividendYieldRate,ProfitFourSeason,ProfitSingle,CName,ExchangeIndustry,CompanyPos'</f>
        <v>-1</v>
      </c>
      <c r="V488">
        <v>-7</v>
      </c>
      <c r="W488" t="str">
        <v>2022/08/04</v>
      </c>
      <c r="X488" t="str">
        <v>1.00</v>
      </c>
      <c r="Y488">
        <v>3.34</v>
      </c>
      <c r="Z488" t="str">
        <v>2.51</v>
      </c>
      <c r="AA488" t="str">
        <v>1.05</v>
      </c>
      <c r="AB488" t="str">
        <v>禾昌</v>
      </c>
      <c r="AC488" t="str">
        <v>上櫃電子零組件</v>
      </c>
      <c r="AD488" t="str">
        <v>3C、PC、NB用連接器、連接線材生產廠</v>
      </c>
      <c r="AE488" t="str">
        <f t="array" ref="AE488:AH488">[1]!'6158.TW-CName,InvestorConferenceDate,DateofMeetingofShareHolders,TradingDate'</f>
        <v>禾昌</v>
      </c>
      <c r="AF488" t="str">
        <v>--</v>
      </c>
      <c r="AG488" t="str">
        <v>2022/06/10</v>
      </c>
      <c r="AH488" t="str">
        <v>2022/08/01</v>
      </c>
    </row>
    <row r="489" spans="1:34" x14ac:dyDescent="0.3">
      <c r="A489" t="str">
        <f t="array" ref="A489:J489">[1]!'6173.TW-ID,Name,MarketValue,Capital,NetIncomeGrowthRate,OperIncomeGrowthRate,FinancialStatementsTime,TFXRatio,MonthlyNetSalesYoY,RevenueMonth'</f>
        <v>6173</v>
      </c>
      <c r="B489" t="str">
        <v>信昌電</v>
      </c>
      <c r="C489" t="str">
        <v>68.1</v>
      </c>
      <c r="D489" t="str">
        <v>17.20</v>
      </c>
      <c r="E489" t="str">
        <v>-19.31</v>
      </c>
      <c r="F489" t="str">
        <v>3.43</v>
      </c>
      <c r="G489" t="str">
        <v>2022/03</v>
      </c>
      <c r="H489" t="str">
        <v>-16.54</v>
      </c>
      <c r="I489" t="str">
        <v>-38.98</v>
      </c>
      <c r="J489" t="str">
        <v>2022/06</v>
      </c>
      <c r="K489" t="str">
        <f t="array" ref="K489:T489">[1]!'6173.TW-OperatingProfitRatio,Price,PriceChangeRatio,InOutRatioNumber,Value,YearReturn,MonthReturn,WeekReturn,FinanceBalanceDif,ChipsField2'</f>
        <v>19.92</v>
      </c>
      <c r="L489">
        <v>39.6</v>
      </c>
      <c r="M489">
        <v>0.25</v>
      </c>
      <c r="N489" t="str">
        <v>56.03%</v>
      </c>
      <c r="O489" t="str">
        <v>459萬</v>
      </c>
      <c r="P489" t="str">
        <v>-38.39</v>
      </c>
      <c r="Q489" t="str">
        <v>+10.95</v>
      </c>
      <c r="R489" t="str">
        <v>-1.98</v>
      </c>
      <c r="S489">
        <v>1</v>
      </c>
      <c r="T489">
        <v>0</v>
      </c>
      <c r="U489">
        <f t="array" ref="U489:AD489">[1]!'6173.TW-ChipsField3,ChipsField1,ChipsField25,CashAndStockDividend,CashDividendYieldRate,ProfitFourSeason,ProfitSingle,CName,ExchangeIndustry,CompanyPos'</f>
        <v>0</v>
      </c>
      <c r="V489">
        <v>59</v>
      </c>
      <c r="W489" t="str">
        <v>2022/07/12</v>
      </c>
      <c r="X489" t="str">
        <v>2.01</v>
      </c>
      <c r="Y489">
        <v>5.08</v>
      </c>
      <c r="Z489" t="str">
        <v>6.38</v>
      </c>
      <c r="AA489" t="str">
        <v>1.28</v>
      </c>
      <c r="AB489" t="str">
        <v>信昌電</v>
      </c>
      <c r="AC489" t="str">
        <v>上櫃電子零組件</v>
      </c>
      <c r="AD489" t="str">
        <v>華新科旗下MLCC及瓷粉原料供應商</v>
      </c>
      <c r="AE489" t="str">
        <f t="array" ref="AE489:AH489">[1]!'6173.TW-CName,InvestorConferenceDate,DateofMeetingofShareHolders,TradingDate'</f>
        <v>信昌電</v>
      </c>
      <c r="AF489" t="str">
        <v>--</v>
      </c>
      <c r="AG489" t="str">
        <v>2022/06/14</v>
      </c>
      <c r="AH489" t="str">
        <v>2022/08/01</v>
      </c>
    </row>
    <row r="490" spans="1:34" x14ac:dyDescent="0.3">
      <c r="A490" t="str">
        <f t="array" ref="A490:J490">[1]!'6174.TW-ID,Name,MarketValue,Capital,NetIncomeGrowthRate,OperIncomeGrowthRate,FinancialStatementsTime,TFXRatio,MonthlyNetSalesYoY,RevenueMonth'</f>
        <v>6174</v>
      </c>
      <c r="B490" t="str">
        <v>安碁</v>
      </c>
      <c r="C490" t="str">
        <v>13.4</v>
      </c>
      <c r="D490" t="str">
        <v>5.00</v>
      </c>
      <c r="E490" t="str">
        <v>549.04</v>
      </c>
      <c r="F490" t="str">
        <v>662.46</v>
      </c>
      <c r="G490" t="str">
        <v>2022/03</v>
      </c>
      <c r="H490" t="str">
        <v>-4.33</v>
      </c>
      <c r="I490" t="str">
        <v>37.39</v>
      </c>
      <c r="J490" t="str">
        <v>2022/06</v>
      </c>
      <c r="K490" t="str">
        <f t="array" ref="K490:T490">[1]!'6174.TW-OperatingProfitRatio,Price,PriceChangeRatio,InOutRatioNumber,Value,YearReturn,MonthReturn,WeekReturn,FinanceBalanceDif,ChipsField2'</f>
        <v>21.90</v>
      </c>
      <c r="L490">
        <v>26.75</v>
      </c>
      <c r="M490">
        <v>-0.37</v>
      </c>
      <c r="N490" t="str">
        <v>49.02%</v>
      </c>
      <c r="O490" t="str">
        <v>409萬</v>
      </c>
      <c r="P490" t="str">
        <v>+53.44</v>
      </c>
      <c r="Q490" t="str">
        <v>+6.57</v>
      </c>
      <c r="R490" t="str">
        <v>-1.29</v>
      </c>
      <c r="S490">
        <v>-2</v>
      </c>
      <c r="T490">
        <v>0</v>
      </c>
      <c r="U490">
        <f t="array" ref="U490:AD490">[1]!'6174.TW-ChipsField3,ChipsField1,ChipsField25,CashAndStockDividend,CashDividendYieldRate,ProfitFourSeason,ProfitSingle,CName,ExchangeIndustry,CompanyPos'</f>
        <v>0</v>
      </c>
      <c r="V490">
        <v>29</v>
      </c>
      <c r="W490" t="str">
        <v>2022/06/13</v>
      </c>
      <c r="X490" t="str">
        <v>1.60</v>
      </c>
      <c r="Y490">
        <v>5.98</v>
      </c>
      <c r="Z490" t="str">
        <v>2.43</v>
      </c>
      <c r="AA490" t="str">
        <v>0.75</v>
      </c>
      <c r="AB490" t="str">
        <v>安碁</v>
      </c>
      <c r="AC490" t="str">
        <v>上櫃電子零組件</v>
      </c>
      <c r="AD490" t="str">
        <v>台灣三大石英元件廠之一</v>
      </c>
      <c r="AE490" t="str">
        <f t="array" ref="AE490:AH490">[1]!'6174.TW-CName,InvestorConferenceDate,DateofMeetingofShareHolders,TradingDate'</f>
        <v>安碁</v>
      </c>
      <c r="AF490" t="str">
        <v>--</v>
      </c>
      <c r="AG490" t="str">
        <v>2022/05/24</v>
      </c>
      <c r="AH490" t="str">
        <v>2022/08/01</v>
      </c>
    </row>
    <row r="491" spans="1:34" x14ac:dyDescent="0.3">
      <c r="A491" t="str">
        <f t="array" ref="A491:J491">[1]!'6175.TW-ID,Name,MarketValue,Capital,NetIncomeGrowthRate,OperIncomeGrowthRate,FinancialStatementsTime,TFXRatio,MonthlyNetSalesYoY,RevenueMonth'</f>
        <v>6175</v>
      </c>
      <c r="B491" t="str">
        <v>立敦</v>
      </c>
      <c r="C491" t="str">
        <v>45.4</v>
      </c>
      <c r="D491" t="str">
        <v>14.32</v>
      </c>
      <c r="E491" t="str">
        <v>22.08</v>
      </c>
      <c r="F491" t="str">
        <v>26.30</v>
      </c>
      <c r="G491" t="str">
        <v>2022/03</v>
      </c>
      <c r="H491" t="str">
        <v>3.64</v>
      </c>
      <c r="I491" t="str">
        <v>-6.37</v>
      </c>
      <c r="J491" t="str">
        <v>2022/06</v>
      </c>
      <c r="K491" t="str">
        <f t="array" ref="K491:T491">[1]!'6175.TW-OperatingProfitRatio,Price,PriceChangeRatio,InOutRatioNumber,Value,YearReturn,MonthReturn,WeekReturn,FinanceBalanceDif,ChipsField2'</f>
        <v>17.49</v>
      </c>
      <c r="L491">
        <v>31.7</v>
      </c>
      <c r="M491">
        <v>0.63</v>
      </c>
      <c r="N491" t="str">
        <v>24.21%</v>
      </c>
      <c r="O491" t="str">
        <v>312萬</v>
      </c>
      <c r="P491" t="str">
        <v>-33.18</v>
      </c>
      <c r="Q491" t="str">
        <v>+13.42</v>
      </c>
      <c r="R491" t="str">
        <v>-0.06</v>
      </c>
      <c r="S491">
        <v>6</v>
      </c>
      <c r="T491">
        <v>0</v>
      </c>
      <c r="U491">
        <f t="array" ref="U491:AD491">[1]!'6175.TW-ChipsField3,ChipsField1,ChipsField25,CashAndStockDividend,CashDividendYieldRate,ProfitFourSeason,ProfitSingle,CName,ExchangeIndustry,CompanyPos'</f>
        <v>0</v>
      </c>
      <c r="V491">
        <v>1</v>
      </c>
      <c r="W491" t="str">
        <v>2022/07/28</v>
      </c>
      <c r="X491" t="str">
        <v>1.50</v>
      </c>
      <c r="Y491">
        <v>4.7300000000000004</v>
      </c>
      <c r="Z491" t="str">
        <v>3.65</v>
      </c>
      <c r="AA491" t="str">
        <v>1.01</v>
      </c>
      <c r="AB491" t="str">
        <v>立敦</v>
      </c>
      <c r="AC491" t="str">
        <v>上櫃電子零組件</v>
      </c>
      <c r="AD491" t="str">
        <v>台灣鋁質電解電容之上游鋁箔製造商</v>
      </c>
      <c r="AE491" t="str">
        <f t="array" ref="AE491:AH491">[1]!'6175.TW-CName,InvestorConferenceDate,DateofMeetingofShareHolders,TradingDate'</f>
        <v>立敦</v>
      </c>
      <c r="AF491" t="str">
        <v>--</v>
      </c>
      <c r="AG491" t="str">
        <v>2022/06/24</v>
      </c>
      <c r="AH491" t="str">
        <v>2022/08/01</v>
      </c>
    </row>
    <row r="492" spans="1:34" x14ac:dyDescent="0.3">
      <c r="A492" t="str">
        <f t="array" ref="A492:J492">[1]!'6185.TW-ID,Name,MarketValue,Capital,NetIncomeGrowthRate,OperIncomeGrowthRate,FinancialStatementsTime,TFXRatio,MonthlyNetSalesYoY,RevenueMonth'</f>
        <v>6185</v>
      </c>
      <c r="B492" t="str">
        <v>幃翔</v>
      </c>
      <c r="C492" t="str">
        <v>19.3</v>
      </c>
      <c r="D492" t="str">
        <v>14.99</v>
      </c>
      <c r="E492" t="str">
        <v>77.23</v>
      </c>
      <c r="F492" t="str">
        <v>52.52</v>
      </c>
      <c r="G492" t="str">
        <v>2022/03</v>
      </c>
      <c r="H492" t="str">
        <v>42.78</v>
      </c>
      <c r="I492" t="str">
        <v>31.32</v>
      </c>
      <c r="J492" t="str">
        <v>2022/06</v>
      </c>
      <c r="K492" t="str">
        <f t="array" ref="K492:T492">[1]!'6185.TW-OperatingProfitRatio,Price,PriceChangeRatio,InOutRatioNumber,Value,YearReturn,MonthReturn,WeekReturn,FinanceBalanceDif,ChipsField2'</f>
        <v>-11.98</v>
      </c>
      <c r="L492">
        <v>12.9</v>
      </c>
      <c r="M492">
        <v>0.78</v>
      </c>
      <c r="N492" t="str">
        <v>68.83%</v>
      </c>
      <c r="O492" t="str">
        <v>322萬</v>
      </c>
      <c r="P492" t="str">
        <v>+0.05</v>
      </c>
      <c r="Q492" t="str">
        <v>+7.05</v>
      </c>
      <c r="R492" t="str">
        <v>+1.18</v>
      </c>
      <c r="S492">
        <v>20</v>
      </c>
      <c r="T492">
        <v>0</v>
      </c>
      <c r="U492">
        <f t="array" ref="U492:AD492">[1]!'6185.TW-ChipsField3,ChipsField1,ChipsField25,CashAndStockDividend,CashDividendYieldRate,ProfitFourSeason,ProfitSingle,CName,ExchangeIndustry,CompanyPos'</f>
        <v>0</v>
      </c>
      <c r="V492">
        <v>-2</v>
      </c>
      <c r="W492" t="str">
        <v>2022/06/14</v>
      </c>
      <c r="X492" t="str">
        <v>0.20</v>
      </c>
      <c r="Y492">
        <v>1.55</v>
      </c>
      <c r="Z492" t="str">
        <v>-0.46</v>
      </c>
      <c r="AA492" t="str">
        <v>-0.06</v>
      </c>
      <c r="AB492" t="str">
        <v>幃翔</v>
      </c>
      <c r="AC492" t="str">
        <v>上櫃電子零組件</v>
      </c>
      <c r="AD492" t="str">
        <v>BTB、快閃記憶卡類連接器生產廠</v>
      </c>
      <c r="AE492" t="str">
        <f t="array" ref="AE492:AH492">[1]!'6185.TW-CName,InvestorConferenceDate,DateofMeetingofShareHolders,TradingDate'</f>
        <v>幃翔</v>
      </c>
      <c r="AF492" t="str">
        <v>--</v>
      </c>
      <c r="AG492" t="str">
        <v>2022/06/14</v>
      </c>
      <c r="AH492" t="str">
        <v>2022/08/01</v>
      </c>
    </row>
    <row r="493" spans="1:34" x14ac:dyDescent="0.3">
      <c r="A493" t="str">
        <f t="array" ref="A493:J493">[1]!'6194.TW-ID,Name,MarketValue,Capital,NetIncomeGrowthRate,OperIncomeGrowthRate,FinancialStatementsTime,TFXRatio,MonthlyNetSalesYoY,RevenueMonth'</f>
        <v>6194</v>
      </c>
      <c r="B493" t="str">
        <v>育富</v>
      </c>
      <c r="C493" t="str">
        <v>12.8</v>
      </c>
      <c r="D493" t="str">
        <v>6.00</v>
      </c>
      <c r="E493" t="str">
        <v>-385.02</v>
      </c>
      <c r="F493" t="str">
        <v>-915.06</v>
      </c>
      <c r="G493" t="str">
        <v>2022/03</v>
      </c>
      <c r="H493" t="str">
        <v>-43.47</v>
      </c>
      <c r="I493" t="str">
        <v>-45.76</v>
      </c>
      <c r="J493" t="str">
        <v>2022/06</v>
      </c>
      <c r="K493" t="str">
        <f t="array" ref="K493:T493">[1]!'6194.TW-OperatingProfitRatio,Price,PriceChangeRatio,InOutRatioNumber,Value,YearReturn,MonthReturn,WeekReturn,FinanceBalanceDif,ChipsField2'</f>
        <v>-10.67</v>
      </c>
      <c r="L493">
        <v>21.3</v>
      </c>
      <c r="M493">
        <v>0</v>
      </c>
      <c r="N493" t="str">
        <v>67.86%</v>
      </c>
      <c r="O493" t="str">
        <v>59.6萬</v>
      </c>
      <c r="P493" t="str">
        <v>-22.70</v>
      </c>
      <c r="Q493" t="str">
        <v>-1.15</v>
      </c>
      <c r="R493" t="str">
        <v>-0.23</v>
      </c>
      <c r="S493">
        <v>4</v>
      </c>
      <c r="T493">
        <v>0</v>
      </c>
      <c r="U493">
        <f t="array" ref="U493:AD493">[1]!'6194.TW-ChipsField3,ChipsField1,ChipsField25,CashAndStockDividend,CashDividendYieldRate,ProfitFourSeason,ProfitSingle,CName,ExchangeIndustry,CompanyPos'</f>
        <v>0</v>
      </c>
      <c r="V493">
        <v>0</v>
      </c>
      <c r="W493" t="str">
        <v>2022/07/12</v>
      </c>
      <c r="X493" t="str">
        <v>0.25</v>
      </c>
      <c r="Y493">
        <v>1.17</v>
      </c>
      <c r="Z493" t="str">
        <v>-0.20</v>
      </c>
      <c r="AA493" t="str">
        <v>-0.35</v>
      </c>
      <c r="AB493" t="str">
        <v>育富</v>
      </c>
      <c r="AC493" t="str">
        <v>上櫃電子零組件</v>
      </c>
      <c r="AD493" t="str">
        <v>台灣印刷電路板製造業者</v>
      </c>
      <c r="AE493" t="str">
        <f t="array" ref="AE493:AH493">[1]!'6194.TW-CName,InvestorConferenceDate,DateofMeetingofShareHolders,TradingDate'</f>
        <v>育富</v>
      </c>
      <c r="AF493" t="str">
        <v>--</v>
      </c>
      <c r="AG493" t="str">
        <v>2022/06/14</v>
      </c>
      <c r="AH493" t="str">
        <v>2022/08/01</v>
      </c>
    </row>
    <row r="494" spans="1:34" x14ac:dyDescent="0.3">
      <c r="A494" t="str">
        <f t="array" ref="A494:J494">[1]!'6203.TW-ID,Name,MarketValue,Capital,NetIncomeGrowthRate,OperIncomeGrowthRate,FinancialStatementsTime,TFXRatio,MonthlyNetSalesYoY,RevenueMonth'</f>
        <v>6203</v>
      </c>
      <c r="B494" t="str">
        <v>海韻電</v>
      </c>
      <c r="C494" t="str">
        <v>43.1</v>
      </c>
      <c r="D494" t="str">
        <v>8.00</v>
      </c>
      <c r="E494" t="str">
        <v>-40.55</v>
      </c>
      <c r="F494" t="str">
        <v>-67.94</v>
      </c>
      <c r="G494" t="str">
        <v>2022/03</v>
      </c>
      <c r="H494" t="str">
        <v>-18.11</v>
      </c>
      <c r="I494" t="str">
        <v>-47.33</v>
      </c>
      <c r="J494" t="str">
        <v>2022/06</v>
      </c>
      <c r="K494" t="str">
        <f t="array" ref="K494:T494">[1]!'6203.TW-OperatingProfitRatio,Price,PriceChangeRatio,InOutRatioNumber,Value,YearReturn,MonthReturn,WeekReturn,FinanceBalanceDif,ChipsField2'</f>
        <v>15.29</v>
      </c>
      <c r="L494">
        <v>53.9</v>
      </c>
      <c r="M494">
        <v>-0.37</v>
      </c>
      <c r="N494" t="str">
        <v>36.36%</v>
      </c>
      <c r="O494" t="str">
        <v>244萬</v>
      </c>
      <c r="P494" t="str">
        <v>-44.77</v>
      </c>
      <c r="Q494" t="str">
        <v>+5.69</v>
      </c>
      <c r="R494" t="str">
        <v>-1.64</v>
      </c>
      <c r="S494">
        <v>-2</v>
      </c>
      <c r="T494">
        <v>0</v>
      </c>
      <c r="U494">
        <f t="array" ref="U494:AD494">[1]!'6203.TW-ChipsField3,ChipsField1,ChipsField25,CashAndStockDividend,CashDividendYieldRate,ProfitFourSeason,ProfitSingle,CName,ExchangeIndustry,CompanyPos'</f>
        <v>-7</v>
      </c>
      <c r="V494">
        <v>17</v>
      </c>
      <c r="W494" t="str">
        <v>--</v>
      </c>
      <c r="X494" t="str">
        <v>5.00</v>
      </c>
      <c r="Y494">
        <v>9.2799999999999994</v>
      </c>
      <c r="Z494" t="str">
        <v>8.21</v>
      </c>
      <c r="AA494" t="str">
        <v>1.76</v>
      </c>
      <c r="AB494" t="str">
        <v>海韻電</v>
      </c>
      <c r="AC494" t="str">
        <v>上櫃電子零組件</v>
      </c>
      <c r="AD494" t="str">
        <v>台灣以PC高階應用為主之交換式電源供應器廠商</v>
      </c>
      <c r="AE494" t="str">
        <f t="array" ref="AE494:AH494">[1]!'6203.TW-CName,InvestorConferenceDate,DateofMeetingofShareHolders,TradingDate'</f>
        <v>海韻電</v>
      </c>
      <c r="AF494" t="str">
        <v>--</v>
      </c>
      <c r="AG494" t="str">
        <v>2022/06/16</v>
      </c>
      <c r="AH494" t="str">
        <v>2022/08/01</v>
      </c>
    </row>
    <row r="495" spans="1:34" x14ac:dyDescent="0.3">
      <c r="A495" t="str">
        <f t="array" ref="A495:J495">[1]!'6204.TW-ID,Name,MarketValue,Capital,NetIncomeGrowthRate,OperIncomeGrowthRate,FinancialStatementsTime,TFXRatio,MonthlyNetSalesYoY,RevenueMonth'</f>
        <v>6204</v>
      </c>
      <c r="B495" t="str">
        <v>艾華</v>
      </c>
      <c r="C495" t="str">
        <v>12.7</v>
      </c>
      <c r="D495" t="str">
        <v>2.31</v>
      </c>
      <c r="E495" t="str">
        <v>-76.71</v>
      </c>
      <c r="F495" t="str">
        <v>-122.46</v>
      </c>
      <c r="G495" t="str">
        <v>2022/03</v>
      </c>
      <c r="H495" t="str">
        <v>14.09</v>
      </c>
      <c r="I495" t="str">
        <v>-44.94</v>
      </c>
      <c r="J495" t="str">
        <v>2022/06</v>
      </c>
      <c r="K495" t="str">
        <f t="array" ref="K495:T495">[1]!'6204.TW-OperatingProfitRatio,Price,PriceChangeRatio,InOutRatioNumber,Value,YearReturn,MonthReturn,WeekReturn,FinanceBalanceDif,ChipsField2'</f>
        <v>-0.27</v>
      </c>
      <c r="L495">
        <v>55.1</v>
      </c>
      <c r="M495">
        <v>0.18</v>
      </c>
      <c r="N495" t="str">
        <v>16.67%</v>
      </c>
      <c r="O495" t="str">
        <v>33.1萬</v>
      </c>
      <c r="P495" t="str">
        <v>-21.19</v>
      </c>
      <c r="Q495" t="str">
        <v>+14.32</v>
      </c>
      <c r="R495" t="str">
        <v>+2.99</v>
      </c>
      <c r="S495">
        <v>1</v>
      </c>
      <c r="T495">
        <v>0</v>
      </c>
      <c r="U495">
        <f t="array" ref="U495:AD495">[1]!'6204.TW-ChipsField3,ChipsField1,ChipsField25,CashAndStockDividend,CashDividendYieldRate,ProfitFourSeason,ProfitSingle,CName,ExchangeIndustry,CompanyPos'</f>
        <v>0</v>
      </c>
      <c r="V495">
        <v>0</v>
      </c>
      <c r="W495" t="str">
        <v>2022/03/24</v>
      </c>
      <c r="X495" t="str">
        <v>5.20</v>
      </c>
      <c r="Y495">
        <v>36.659999999999997</v>
      </c>
      <c r="Z495" t="str">
        <v>11.65</v>
      </c>
      <c r="AA495" t="str">
        <v>0.23</v>
      </c>
      <c r="AB495" t="str">
        <v>艾華</v>
      </c>
      <c r="AC495" t="str">
        <v>上櫃電子零組件</v>
      </c>
      <c r="AD495" t="str">
        <v>電腦週邊及音響用之可變電阻器廠商</v>
      </c>
      <c r="AE495" t="str">
        <f t="array" ref="AE495:AH495">[1]!'6204.TW-CName,InvestorConferenceDate,DateofMeetingofShareHolders,TradingDate'</f>
        <v>艾華</v>
      </c>
      <c r="AF495" t="str">
        <v>2021/11/16</v>
      </c>
      <c r="AG495" t="str">
        <v>2022/05/24</v>
      </c>
      <c r="AH495" t="str">
        <v>2022/08/01</v>
      </c>
    </row>
    <row r="496" spans="1:34" x14ac:dyDescent="0.3">
      <c r="A496" t="str">
        <f t="array" ref="A496:J496">[1]!'6207.TW-ID,Name,MarketValue,Capital,NetIncomeGrowthRate,OperIncomeGrowthRate,FinancialStatementsTime,TFXRatio,MonthlyNetSalesYoY,RevenueMonth'</f>
        <v>6207</v>
      </c>
      <c r="B496" t="str">
        <v>雷科</v>
      </c>
      <c r="C496" t="str">
        <v>23.1</v>
      </c>
      <c r="D496" t="str">
        <v>8.39</v>
      </c>
      <c r="E496" t="str">
        <v>33.51</v>
      </c>
      <c r="F496" t="str">
        <v>0.08</v>
      </c>
      <c r="G496" t="str">
        <v>2022/03</v>
      </c>
      <c r="H496" t="str">
        <v>16.56</v>
      </c>
      <c r="I496" t="str">
        <v>25.67</v>
      </c>
      <c r="J496" t="str">
        <v>2022/06</v>
      </c>
      <c r="K496" t="str">
        <f t="array" ref="K496:T496">[1]!'6207.TW-OperatingProfitRatio,Price,PriceChangeRatio,InOutRatioNumber,Value,YearReturn,MonthReturn,WeekReturn,FinanceBalanceDif,ChipsField2'</f>
        <v>9.24</v>
      </c>
      <c r="L496">
        <v>27.6</v>
      </c>
      <c r="M496">
        <v>1.85</v>
      </c>
      <c r="N496" t="str">
        <v>64.63%</v>
      </c>
      <c r="O496" t="str">
        <v>678萬</v>
      </c>
      <c r="P496" t="str">
        <v>-13.82</v>
      </c>
      <c r="Q496" t="str">
        <v>+13.81</v>
      </c>
      <c r="R496" t="str">
        <v>+3.56</v>
      </c>
      <c r="S496">
        <v>-17</v>
      </c>
      <c r="T496">
        <v>0</v>
      </c>
      <c r="U496">
        <f t="array" ref="U496:AD496">[1]!'6207.TW-ChipsField3,ChipsField1,ChipsField25,CashAndStockDividend,CashDividendYieldRate,ProfitFourSeason,ProfitSingle,CName,ExchangeIndustry,CompanyPos'</f>
        <v>0</v>
      </c>
      <c r="V496">
        <v>33</v>
      </c>
      <c r="W496" t="str">
        <v>2022/08/02</v>
      </c>
      <c r="X496" t="str">
        <v>1.50</v>
      </c>
      <c r="Y496">
        <v>5.43</v>
      </c>
      <c r="Z496" t="str">
        <v>3.20</v>
      </c>
      <c r="AA496" t="str">
        <v>0.54</v>
      </c>
      <c r="AB496" t="str">
        <v>雷科</v>
      </c>
      <c r="AC496" t="str">
        <v>上櫃電子零組件</v>
      </c>
      <c r="AD496" t="str">
        <v>台灣最大被動元件紙帶包材供應商</v>
      </c>
      <c r="AE496" t="str">
        <f t="array" ref="AE496:AH496">[1]!'6207.TW-CName,InvestorConferenceDate,DateofMeetingofShareHolders,TradingDate'</f>
        <v>雷科</v>
      </c>
      <c r="AF496" t="str">
        <v>--</v>
      </c>
      <c r="AG496" t="str">
        <v>2022/06/24</v>
      </c>
      <c r="AH496" t="str">
        <v>2022/08/01</v>
      </c>
    </row>
    <row r="497" spans="1:34" x14ac:dyDescent="0.3">
      <c r="A497" t="str">
        <f t="array" ref="A497:J497">[1]!'6208.TW-ID,Name,MarketValue,Capital,NetIncomeGrowthRate,OperIncomeGrowthRate,FinancialStatementsTime,TFXRatio,MonthlyNetSalesYoY,RevenueMonth'</f>
        <v>6208</v>
      </c>
      <c r="B497" t="str">
        <v>日揚</v>
      </c>
      <c r="C497" t="str">
        <v>57.4</v>
      </c>
      <c r="D497" t="str">
        <v>11.82</v>
      </c>
      <c r="E497" t="str">
        <v>48.38</v>
      </c>
      <c r="F497" t="str">
        <v>31.58</v>
      </c>
      <c r="G497" t="str">
        <v>2022/03</v>
      </c>
      <c r="H497" t="str">
        <v>31.30</v>
      </c>
      <c r="I497" t="str">
        <v>34.49</v>
      </c>
      <c r="J497" t="str">
        <v>2022/06</v>
      </c>
      <c r="K497" t="str">
        <f t="array" ref="K497:T497">[1]!'6208.TW-OperatingProfitRatio,Price,PriceChangeRatio,InOutRatioNumber,Value,YearReturn,MonthReturn,WeekReturn,FinanceBalanceDif,ChipsField2'</f>
        <v>15.37</v>
      </c>
      <c r="L497">
        <v>48.6</v>
      </c>
      <c r="M497">
        <v>-0.41</v>
      </c>
      <c r="N497" t="str">
        <v>32.61%</v>
      </c>
      <c r="O497" t="str">
        <v>224萬</v>
      </c>
      <c r="P497" t="str">
        <v>+19.62</v>
      </c>
      <c r="Q497" t="str">
        <v>+8.48</v>
      </c>
      <c r="R497" t="str">
        <v>-1.02</v>
      </c>
      <c r="S497">
        <v>-9</v>
      </c>
      <c r="T497">
        <v>0</v>
      </c>
      <c r="U497">
        <f t="array" ref="U497:AD497">[1]!'6208.TW-ChipsField3,ChipsField1,ChipsField25,CashAndStockDividend,CashDividendYieldRate,ProfitFourSeason,ProfitSingle,CName,ExchangeIndustry,CompanyPos'</f>
        <v>0</v>
      </c>
      <c r="V497">
        <v>6</v>
      </c>
      <c r="W497" t="str">
        <v>2022/03/15</v>
      </c>
      <c r="X497" t="str">
        <v>2.20</v>
      </c>
      <c r="Y497">
        <v>4.53</v>
      </c>
      <c r="Z497" t="str">
        <v>3.57</v>
      </c>
      <c r="AA497" t="str">
        <v>0.96</v>
      </c>
      <c r="AB497" t="str">
        <v>日揚</v>
      </c>
      <c r="AC497" t="str">
        <v>上櫃電子零組件</v>
      </c>
      <c r="AD497" t="str">
        <v>台灣最大製程設備真空元件供應商</v>
      </c>
      <c r="AE497" t="str">
        <f t="array" ref="AE497:AH497">[1]!'6208.TW-CName,InvestorConferenceDate,DateofMeetingofShareHolders,TradingDate'</f>
        <v>日揚</v>
      </c>
      <c r="AF497" t="str">
        <v>--</v>
      </c>
      <c r="AG497" t="str">
        <v>2022/06/09</v>
      </c>
      <c r="AH497" t="str">
        <v>2022/08/01</v>
      </c>
    </row>
    <row r="498" spans="1:34" x14ac:dyDescent="0.3">
      <c r="A498" t="str">
        <f t="array" ref="A498:J498">[1]!'6210.TW-ID,Name,MarketValue,Capital,NetIncomeGrowthRate,OperIncomeGrowthRate,FinancialStatementsTime,TFXRatio,MonthlyNetSalesYoY,RevenueMonth'</f>
        <v>6210</v>
      </c>
      <c r="B498" t="str">
        <v>慶生</v>
      </c>
      <c r="C498" t="str">
        <v>14.3</v>
      </c>
      <c r="D498" t="str">
        <v>3.50</v>
      </c>
      <c r="E498" t="str">
        <v>64.24</v>
      </c>
      <c r="F498" t="str">
        <v>25.77</v>
      </c>
      <c r="G498" t="str">
        <v>2022/03</v>
      </c>
      <c r="H498" t="str">
        <v>-11.02</v>
      </c>
      <c r="I498" t="str">
        <v>-37.66</v>
      </c>
      <c r="J498" t="str">
        <v>2022/06</v>
      </c>
      <c r="K498" t="str">
        <f t="array" ref="K498:T498">[1]!'6210.TW-OperatingProfitRatio,Price,PriceChangeRatio,InOutRatioNumber,Value,YearReturn,MonthReturn,WeekReturn,FinanceBalanceDif,ChipsField2'</f>
        <v>11.25</v>
      </c>
      <c r="L498">
        <v>40.9</v>
      </c>
      <c r="M498">
        <v>0.74</v>
      </c>
      <c r="N498" t="str">
        <v>7.69%</v>
      </c>
      <c r="O498" t="str">
        <v>53.0萬</v>
      </c>
      <c r="P498" t="str">
        <v>+3.40</v>
      </c>
      <c r="Q498" t="str">
        <v>+0.99</v>
      </c>
      <c r="R498" t="str">
        <v>+1.49</v>
      </c>
      <c r="S498">
        <v>0</v>
      </c>
      <c r="T498">
        <v>0</v>
      </c>
      <c r="U498">
        <f t="array" ref="U498:AD498">[1]!'6210.TW-ChipsField3,ChipsField1,ChipsField25,CashAndStockDividend,CashDividendYieldRate,ProfitFourSeason,ProfitSingle,CName,ExchangeIndustry,CompanyPos'</f>
        <v>0</v>
      </c>
      <c r="V498">
        <v>0</v>
      </c>
      <c r="W498" t="str">
        <v>2022/08/11</v>
      </c>
      <c r="X498" t="str">
        <v>3.00</v>
      </c>
      <c r="Y498">
        <v>7.33</v>
      </c>
      <c r="Z498" t="str">
        <v>3.18</v>
      </c>
      <c r="AA498" t="str">
        <v>0.59</v>
      </c>
      <c r="AB498" t="str">
        <v>慶生</v>
      </c>
      <c r="AC498" t="str">
        <v>上櫃電子零組件</v>
      </c>
      <c r="AD498" t="str">
        <v>台灣中小型的多層PCB廠</v>
      </c>
      <c r="AE498" t="str">
        <f t="array" ref="AE498:AH498">[1]!'6210.TW-CName,InvestorConferenceDate,DateofMeetingofShareHolders,TradingDate'</f>
        <v>慶生</v>
      </c>
      <c r="AF498" t="str">
        <v>--</v>
      </c>
      <c r="AG498" t="str">
        <v>2022/06/16</v>
      </c>
      <c r="AH498" t="str">
        <v>2022/08/01</v>
      </c>
    </row>
    <row r="499" spans="1:34" x14ac:dyDescent="0.3">
      <c r="A499" t="str">
        <f t="array" ref="A499:J499">[1]!'6217.TW-ID,Name,MarketValue,Capital,NetIncomeGrowthRate,OperIncomeGrowthRate,FinancialStatementsTime,TFXRatio,MonthlyNetSalesYoY,RevenueMonth'</f>
        <v>6217</v>
      </c>
      <c r="B499" t="str">
        <v>中探針</v>
      </c>
      <c r="C499" t="str">
        <v>60.1</v>
      </c>
      <c r="D499" t="str">
        <v>9.44</v>
      </c>
      <c r="E499" t="str">
        <v>166.81</v>
      </c>
      <c r="F499" t="str">
        <v>106.00</v>
      </c>
      <c r="G499" t="str">
        <v>2022/03</v>
      </c>
      <c r="H499" t="str">
        <v>-6.88</v>
      </c>
      <c r="I499" t="str">
        <v>41.00</v>
      </c>
      <c r="J499" t="str">
        <v>2022/06</v>
      </c>
      <c r="K499" t="str">
        <f t="array" ref="K499:T499">[1]!'6217.TW-OperatingProfitRatio,Price,PriceChangeRatio,InOutRatioNumber,Value,YearReturn,MonthReturn,WeekReturn,FinanceBalanceDif,ChipsField2'</f>
        <v>8.90</v>
      </c>
      <c r="L499">
        <v>63.7</v>
      </c>
      <c r="M499">
        <v>0.16</v>
      </c>
      <c r="N499" t="str">
        <v>38.58%</v>
      </c>
      <c r="O499" t="str">
        <v>8.95億</v>
      </c>
      <c r="P499" t="str">
        <v>+58.93</v>
      </c>
      <c r="Q499" t="str">
        <v>+20.22</v>
      </c>
      <c r="R499" t="str">
        <v>+2.74</v>
      </c>
      <c r="S499">
        <v>-282</v>
      </c>
      <c r="T499">
        <v>0</v>
      </c>
      <c r="U499">
        <f t="array" ref="U499:AD499">[1]!'6217.TW-ChipsField3,ChipsField1,ChipsField25,CashAndStockDividend,CashDividendYieldRate,ProfitFourSeason,ProfitSingle,CName,ExchangeIndustry,CompanyPos'</f>
        <v>194</v>
      </c>
      <c r="V499">
        <v>1241</v>
      </c>
      <c r="W499" t="str">
        <v>2022/07/22</v>
      </c>
      <c r="X499" t="str">
        <v>1.67</v>
      </c>
      <c r="Y499">
        <v>2.62</v>
      </c>
      <c r="Z499" t="str">
        <v>3.28</v>
      </c>
      <c r="AA499" t="str">
        <v>1.05</v>
      </c>
      <c r="AB499" t="str">
        <v>中探針</v>
      </c>
      <c r="AC499" t="str">
        <v>上櫃電子零組件</v>
      </c>
      <c r="AD499" t="str">
        <v>台灣第一家探針及探針式連接器製造廠</v>
      </c>
      <c r="AE499" t="str">
        <f t="array" ref="AE499:AH499">[1]!'6217.TW-CName,InvestorConferenceDate,DateofMeetingofShareHolders,TradingDate'</f>
        <v>中探針</v>
      </c>
      <c r="AF499" t="str">
        <v>2022/01/10</v>
      </c>
      <c r="AG499" t="str">
        <v>2022/06/24</v>
      </c>
      <c r="AH499" t="str">
        <v>2022/08/01</v>
      </c>
    </row>
    <row r="500" spans="1:34" x14ac:dyDescent="0.3">
      <c r="A500" t="str">
        <f t="array" ref="A500:J500">[1]!'6220.TW-ID,Name,MarketValue,Capital,NetIncomeGrowthRate,OperIncomeGrowthRate,FinancialStatementsTime,TFXRatio,MonthlyNetSalesYoY,RevenueMonth'</f>
        <v>6220</v>
      </c>
      <c r="B500" t="str">
        <v>岳豐</v>
      </c>
      <c r="C500" t="str">
        <v>41.8</v>
      </c>
      <c r="D500" t="str">
        <v>13.95</v>
      </c>
      <c r="E500" t="str">
        <v>-717.78</v>
      </c>
      <c r="F500" t="str">
        <v>-123.59</v>
      </c>
      <c r="G500" t="str">
        <v>2022/03</v>
      </c>
      <c r="H500" t="str">
        <v>26.57</v>
      </c>
      <c r="I500" t="str">
        <v>23.48</v>
      </c>
      <c r="J500" t="str">
        <v>2022/06</v>
      </c>
      <c r="K500" t="str">
        <f t="array" ref="K500:T500">[1]!'6220.TW-OperatingProfitRatio,Price,PriceChangeRatio,InOutRatioNumber,Value,YearReturn,MonthReturn,WeekReturn,FinanceBalanceDif,ChipsField2'</f>
        <v>-0.29</v>
      </c>
      <c r="L500">
        <v>30</v>
      </c>
      <c r="M500">
        <v>-1.48</v>
      </c>
      <c r="N500" t="str">
        <v>44.45%</v>
      </c>
      <c r="O500" t="str">
        <v>2.89億</v>
      </c>
      <c r="P500" t="str">
        <v>+28.49</v>
      </c>
      <c r="Q500" t="str">
        <v>+31.73</v>
      </c>
      <c r="R500" t="str">
        <v>+14.29</v>
      </c>
      <c r="S500">
        <v>1060</v>
      </c>
      <c r="T500">
        <v>0</v>
      </c>
      <c r="U500">
        <f t="array" ref="U500:AD500">[1]!'6220.TW-ChipsField3,ChipsField1,ChipsField25,CashAndStockDividend,CashDividendYieldRate,ProfitFourSeason,ProfitSingle,CName,ExchangeIndustry,CompanyPos'</f>
        <v>-143</v>
      </c>
      <c r="V500">
        <v>383</v>
      </c>
      <c r="W500" t="str">
        <v>2022/07/11</v>
      </c>
      <c r="X500" t="str">
        <v>0.13</v>
      </c>
      <c r="Y500">
        <v>0.43</v>
      </c>
      <c r="Z500" t="str">
        <v>0.59</v>
      </c>
      <c r="AA500" t="str">
        <v>-0.15</v>
      </c>
      <c r="AB500" t="str">
        <v>岳豐</v>
      </c>
      <c r="AC500" t="str">
        <v>上櫃電子零組件</v>
      </c>
      <c r="AD500" t="str">
        <v>主要生產區域網路線材，並延伸至終端產品生產廠商</v>
      </c>
      <c r="AE500" t="str">
        <f t="array" ref="AE500:AH500">[1]!'6220.TW-CName,InvestorConferenceDate,DateofMeetingofShareHolders,TradingDate'</f>
        <v>岳豐</v>
      </c>
      <c r="AF500" t="str">
        <v>2021/12/30</v>
      </c>
      <c r="AG500" t="str">
        <v>2022/06/21</v>
      </c>
      <c r="AH500" t="str">
        <v>2022/08/01</v>
      </c>
    </row>
    <row r="501" spans="1:34" x14ac:dyDescent="0.3">
      <c r="A501" t="str">
        <f t="array" ref="A501:J501">[1]!'6259.TW-ID,Name,MarketValue,Capital,NetIncomeGrowthRate,OperIncomeGrowthRate,FinancialStatementsTime,TFXRatio,MonthlyNetSalesYoY,RevenueMonth'</f>
        <v>6259</v>
      </c>
      <c r="B501" t="str">
        <v>百徽</v>
      </c>
      <c r="C501" t="str">
        <v>5.2</v>
      </c>
      <c r="D501" t="str">
        <v>1.89</v>
      </c>
      <c r="E501" t="str">
        <v>762.90</v>
      </c>
      <c r="F501" t="str">
        <v>-89.83</v>
      </c>
      <c r="G501" t="str">
        <v>2022/03</v>
      </c>
      <c r="H501" t="str">
        <v>-22.74</v>
      </c>
      <c r="I501" t="str">
        <v>183.10</v>
      </c>
      <c r="J501" t="str">
        <v>2022/06</v>
      </c>
      <c r="K501" t="str">
        <f t="array" ref="K501:T501">[1]!'6259.TW-OperatingProfitRatio,Price,PriceChangeRatio,InOutRatioNumber,Value,YearReturn,MonthReturn,WeekReturn,FinanceBalanceDif,ChipsField2'</f>
        <v>0.17</v>
      </c>
      <c r="L501">
        <v>28.15</v>
      </c>
      <c r="M501">
        <v>1.44</v>
      </c>
      <c r="N501" t="str">
        <v>50.88%</v>
      </c>
      <c r="O501" t="str">
        <v>319萬</v>
      </c>
      <c r="P501" t="str">
        <v>+62.70</v>
      </c>
      <c r="Q501" t="str">
        <v>+0.72</v>
      </c>
      <c r="R501" t="str">
        <v>-1.23</v>
      </c>
      <c r="S501">
        <v>0</v>
      </c>
      <c r="T501">
        <v>0</v>
      </c>
      <c r="U501">
        <f t="array" ref="U501:AD501">[1]!'6259.TW-ChipsField3,ChipsField1,ChipsField25,CashAndStockDividend,CashDividendYieldRate,ProfitFourSeason,ProfitSingle,CName,ExchangeIndustry,CompanyPos'</f>
        <v>0</v>
      </c>
      <c r="V501">
        <v>6</v>
      </c>
      <c r="W501" t="str">
        <v>2022/04/22</v>
      </c>
      <c r="X501" t="str">
        <v>0.19</v>
      </c>
      <c r="Y501">
        <v>0.67</v>
      </c>
      <c r="Z501" t="str">
        <v>0.42</v>
      </c>
      <c r="AA501" t="str">
        <v>0.41</v>
      </c>
      <c r="AB501" t="str">
        <v>百徽</v>
      </c>
      <c r="AC501" t="str">
        <v>上櫃電子零組件</v>
      </c>
      <c r="AD501" t="str">
        <v>主要代理電磁波防制元件和電源相關元件</v>
      </c>
      <c r="AE501" t="str">
        <f t="array" ref="AE501:AH501">[1]!'6259.TW-CName,InvestorConferenceDate,DateofMeetingofShareHolders,TradingDate'</f>
        <v>百徽</v>
      </c>
      <c r="AF501" t="str">
        <v>--</v>
      </c>
      <c r="AG501" t="str">
        <v>2022/06/24</v>
      </c>
      <c r="AH501" t="str">
        <v>2022/08/01</v>
      </c>
    </row>
    <row r="502" spans="1:34" x14ac:dyDescent="0.3">
      <c r="A502" t="str">
        <f t="array" ref="A502:J502">[1]!'6266.TW-ID,Name,MarketValue,Capital,NetIncomeGrowthRate,OperIncomeGrowthRate,FinancialStatementsTime,TFXRatio,MonthlyNetSalesYoY,RevenueMonth'</f>
        <v>6266</v>
      </c>
      <c r="B502" t="str">
        <v>泰詠</v>
      </c>
      <c r="C502" t="str">
        <v>27.0</v>
      </c>
      <c r="D502" t="str">
        <v>10.94</v>
      </c>
      <c r="E502" t="str">
        <v>64.36</v>
      </c>
      <c r="F502" t="str">
        <v>58.11</v>
      </c>
      <c r="G502" t="str">
        <v>2022/03</v>
      </c>
      <c r="H502" t="str">
        <v>40.38</v>
      </c>
      <c r="I502" t="str">
        <v>46.36</v>
      </c>
      <c r="J502" t="str">
        <v>2022/06</v>
      </c>
      <c r="K502" t="str">
        <f t="array" ref="K502:T502">[1]!'6266.TW-OperatingProfitRatio,Price,PriceChangeRatio,InOutRatioNumber,Value,YearReturn,MonthReturn,WeekReturn,FinanceBalanceDif,ChipsField2'</f>
        <v>9.65</v>
      </c>
      <c r="L502">
        <v>24.7</v>
      </c>
      <c r="M502">
        <v>1.86</v>
      </c>
      <c r="N502" t="str">
        <v>50.21%</v>
      </c>
      <c r="O502" t="str">
        <v>2917萬</v>
      </c>
      <c r="P502" t="str">
        <v>+31.07</v>
      </c>
      <c r="Q502" t="str">
        <v>+28.31</v>
      </c>
      <c r="R502" t="str">
        <v>+4.22</v>
      </c>
      <c r="S502">
        <v>-178</v>
      </c>
      <c r="T502">
        <v>0</v>
      </c>
      <c r="U502">
        <f t="array" ref="U502:AD502">[1]!'6266.TW-ChipsField3,ChipsField1,ChipsField25,CashAndStockDividend,CashDividendYieldRate,ProfitFourSeason,ProfitSingle,CName,ExchangeIndustry,CompanyPos'</f>
        <v>-4</v>
      </c>
      <c r="V502">
        <v>422</v>
      </c>
      <c r="W502" t="str">
        <v>2022/06/20</v>
      </c>
      <c r="X502" t="str">
        <v>1.38</v>
      </c>
      <c r="Y502">
        <v>5.59</v>
      </c>
      <c r="Z502" t="str">
        <v>1.84</v>
      </c>
      <c r="AA502" t="str">
        <v>0.60</v>
      </c>
      <c r="AB502" t="str">
        <v>泰詠</v>
      </c>
      <c r="AC502" t="str">
        <v>上櫃電子零組件</v>
      </c>
      <c r="AD502" t="str">
        <v>台灣專業SMT加工及組裝測試廠商</v>
      </c>
      <c r="AE502" t="str">
        <f t="array" ref="AE502:AH502">[1]!'6266.TW-CName,InvestorConferenceDate,DateofMeetingofShareHolders,TradingDate'</f>
        <v>泰詠</v>
      </c>
      <c r="AF502" t="str">
        <v>--</v>
      </c>
      <c r="AG502" t="str">
        <v>2022/05/20</v>
      </c>
      <c r="AH502" t="str">
        <v>2022/08/01</v>
      </c>
    </row>
    <row r="503" spans="1:34" x14ac:dyDescent="0.3">
      <c r="A503" t="str">
        <f t="array" ref="A503:J503">[1]!'6274.TW-ID,Name,MarketValue,Capital,NetIncomeGrowthRate,OperIncomeGrowthRate,FinancialStatementsTime,TFXRatio,MonthlyNetSalesYoY,RevenueMonth'</f>
        <v>6274</v>
      </c>
      <c r="B503" t="str">
        <v>台燿</v>
      </c>
      <c r="C503" t="str">
        <v>140.5</v>
      </c>
      <c r="D503" t="str">
        <v>26.92</v>
      </c>
      <c r="E503" t="str">
        <v>-25.08</v>
      </c>
      <c r="F503" t="str">
        <v>-25.07</v>
      </c>
      <c r="G503" t="str">
        <v>2022/06</v>
      </c>
      <c r="H503" t="str">
        <v>-10.21</v>
      </c>
      <c r="I503" t="str">
        <v>-20.35</v>
      </c>
      <c r="J503" t="str">
        <v>2022/06</v>
      </c>
      <c r="K503" t="str">
        <f t="array" ref="K503:T503">[1]!'6274.TW-OperatingProfitRatio,Price,PriceChangeRatio,InOutRatioNumber,Value,YearReturn,MonthReturn,WeekReturn,FinanceBalanceDif,ChipsField2'</f>
        <v>8.85</v>
      </c>
      <c r="L503" t="str">
        <v>--</v>
      </c>
      <c r="M503" t="str">
        <v>--</v>
      </c>
      <c r="N503" t="str">
        <v>--</v>
      </c>
      <c r="O503" t="str">
        <v>--</v>
      </c>
      <c r="P503" t="str">
        <v>-52.99</v>
      </c>
      <c r="Q503" t="str">
        <v>-11.68</v>
      </c>
      <c r="R503" t="str">
        <v>-8.58</v>
      </c>
      <c r="S503">
        <v>83</v>
      </c>
      <c r="T503">
        <v>0</v>
      </c>
      <c r="U503">
        <f t="array" ref="U503:AD503">[1]!'6274.TW-ChipsField3,ChipsField1,ChipsField25,CashAndStockDividend,CashDividendYieldRate,ProfitFourSeason,ProfitSingle,CName,ExchangeIndustry,CompanyPos'</f>
        <v>5</v>
      </c>
      <c r="V503">
        <v>-827</v>
      </c>
      <c r="W503" t="str">
        <v>2022/04/14</v>
      </c>
      <c r="X503" t="str">
        <v>5.00</v>
      </c>
      <c r="Y503">
        <v>9.58</v>
      </c>
      <c r="Z503" t="str">
        <v>6.13</v>
      </c>
      <c r="AA503" t="str">
        <v>1.08</v>
      </c>
      <c r="AB503" t="str">
        <v>台燿</v>
      </c>
      <c r="AC503" t="str">
        <v>上櫃電子零組件</v>
      </c>
      <c r="AD503" t="str">
        <v>台灣前五大銅箔基板廠之一</v>
      </c>
      <c r="AE503" t="str">
        <f t="array" ref="AE503:AH503">[1]!'6274.TW-CName,InvestorConferenceDate,DateofMeetingofShareHolders,TradingDate'</f>
        <v>台燿</v>
      </c>
      <c r="AF503" t="str">
        <v>--</v>
      </c>
      <c r="AG503" t="str">
        <v>2022/06/15</v>
      </c>
      <c r="AH503" t="str">
        <v>2022/08/01</v>
      </c>
    </row>
    <row r="504" spans="1:34" x14ac:dyDescent="0.3">
      <c r="A504" t="str">
        <f t="array" ref="A504:J504">[1]!'6275.TW-ID,Name,MarketValue,Capital,NetIncomeGrowthRate,OperIncomeGrowthRate,FinancialStatementsTime,TFXRatio,MonthlyNetSalesYoY,RevenueMonth'</f>
        <v>6275</v>
      </c>
      <c r="B504" t="str">
        <v>元山</v>
      </c>
      <c r="C504" t="str">
        <v>22.5</v>
      </c>
      <c r="D504" t="str">
        <v>7.02</v>
      </c>
      <c r="E504" t="str">
        <v>-16.47</v>
      </c>
      <c r="F504" t="str">
        <v>-64.43</v>
      </c>
      <c r="G504" t="str">
        <v>2022/03</v>
      </c>
      <c r="H504" t="str">
        <v>-18.61</v>
      </c>
      <c r="I504" t="str">
        <v>3.38</v>
      </c>
      <c r="J504" t="str">
        <v>2022/06</v>
      </c>
      <c r="K504" t="str">
        <f t="array" ref="K504:T504">[1]!'6275.TW-OperatingProfitRatio,Price,PriceChangeRatio,InOutRatioNumber,Value,YearReturn,MonthReturn,WeekReturn,FinanceBalanceDif,ChipsField2'</f>
        <v>2.60</v>
      </c>
      <c r="L504">
        <v>32</v>
      </c>
      <c r="M504">
        <v>2.2400000000000002</v>
      </c>
      <c r="N504" t="str">
        <v>50.70%</v>
      </c>
      <c r="O504" t="str">
        <v>4135萬</v>
      </c>
      <c r="P504" t="str">
        <v>+11.89</v>
      </c>
      <c r="Q504" t="str">
        <v>+4.40</v>
      </c>
      <c r="R504" t="str">
        <v>+1.11</v>
      </c>
      <c r="S504">
        <v>6</v>
      </c>
      <c r="T504">
        <v>0</v>
      </c>
      <c r="U504">
        <f t="array" ref="U504:AD504">[1]!'6275.TW-ChipsField3,ChipsField1,ChipsField25,CashAndStockDividend,CashDividendYieldRate,ProfitFourSeason,ProfitSingle,CName,ExchangeIndustry,CompanyPos'</f>
        <v>0</v>
      </c>
      <c r="V504">
        <v>2</v>
      </c>
      <c r="W504" t="str">
        <v>2022/08/05</v>
      </c>
      <c r="X504" t="str">
        <v>2.20</v>
      </c>
      <c r="Y504">
        <v>6.88</v>
      </c>
      <c r="Z504" t="str">
        <v>2.73</v>
      </c>
      <c r="AA504" t="str">
        <v>0.61</v>
      </c>
      <c r="AB504" t="str">
        <v>元山</v>
      </c>
      <c r="AC504" t="str">
        <v>上櫃電子零組件</v>
      </c>
      <c r="AD504" t="str">
        <v>以小家電起家，並跨入交直流無刷馬達散熱風扇廠商</v>
      </c>
      <c r="AE504" t="str">
        <f t="array" ref="AE504:AH504">[1]!'6275.TW-CName,InvestorConferenceDate,DateofMeetingofShareHolders,TradingDate'</f>
        <v>元山</v>
      </c>
      <c r="AF504" t="str">
        <v>2022/07/21</v>
      </c>
      <c r="AG504" t="str">
        <v>2022/05/31</v>
      </c>
      <c r="AH504" t="str">
        <v>2022/08/01</v>
      </c>
    </row>
    <row r="505" spans="1:34" x14ac:dyDescent="0.3">
      <c r="A505" t="str">
        <f t="array" ref="A505:J505">[1]!'6279.TW-ID,Name,MarketValue,Capital,NetIncomeGrowthRate,OperIncomeGrowthRate,FinancialStatementsTime,TFXRatio,MonthlyNetSalesYoY,RevenueMonth'</f>
        <v>6279</v>
      </c>
      <c r="B505" t="str">
        <v>胡連</v>
      </c>
      <c r="C505" t="str">
        <v>152.0</v>
      </c>
      <c r="D505" t="str">
        <v>9.97</v>
      </c>
      <c r="E505" t="str">
        <v>-7.92</v>
      </c>
      <c r="F505" t="str">
        <v>-27.68</v>
      </c>
      <c r="G505" t="str">
        <v>2022/03</v>
      </c>
      <c r="H505" t="str">
        <v>15.85</v>
      </c>
      <c r="I505" t="str">
        <v>37.88</v>
      </c>
      <c r="J505" t="str">
        <v>2022/06</v>
      </c>
      <c r="K505" t="str">
        <f t="array" ref="K505:T505">[1]!'6279.TW-OperatingProfitRatio,Price,PriceChangeRatio,InOutRatioNumber,Value,YearReturn,MonthReturn,WeekReturn,FinanceBalanceDif,ChipsField2'</f>
        <v>15.70</v>
      </c>
      <c r="L505">
        <v>152.5</v>
      </c>
      <c r="M505">
        <v>0.66</v>
      </c>
      <c r="N505" t="str">
        <v>44.30%</v>
      </c>
      <c r="O505" t="str">
        <v>1.78億</v>
      </c>
      <c r="P505" t="str">
        <v>+16.39</v>
      </c>
      <c r="Q505" t="str">
        <v>+22.00</v>
      </c>
      <c r="R505" t="str">
        <v>+0.99</v>
      </c>
      <c r="S505">
        <v>-108</v>
      </c>
      <c r="T505">
        <v>0</v>
      </c>
      <c r="U505">
        <f t="array" ref="U505:AD505">[1]!'6279.TW-ChipsField3,ChipsField1,ChipsField25,CashAndStockDividend,CashDividendYieldRate,ProfitFourSeason,ProfitSingle,CName,ExchangeIndustry,CompanyPos'</f>
        <v>-66</v>
      </c>
      <c r="V505">
        <v>550</v>
      </c>
      <c r="W505" t="str">
        <v>--</v>
      </c>
      <c r="X505" t="str">
        <v>5.00</v>
      </c>
      <c r="Y505">
        <v>3.28</v>
      </c>
      <c r="Z505" t="str">
        <v>7.74</v>
      </c>
      <c r="AA505" t="str">
        <v>2.07</v>
      </c>
      <c r="AB505" t="str">
        <v>胡連</v>
      </c>
      <c r="AC505" t="str">
        <v>上櫃電子零組件</v>
      </c>
      <c r="AD505" t="str">
        <v>兩岸最大汽車端子製造商</v>
      </c>
      <c r="AE505" t="str">
        <f t="array" ref="AE505:AH505">[1]!'6279.TW-CName,InvestorConferenceDate,DateofMeetingofShareHolders,TradingDate'</f>
        <v>胡連</v>
      </c>
      <c r="AF505" t="str">
        <v>2021/04/14</v>
      </c>
      <c r="AG505" t="str">
        <v>2022/06/17</v>
      </c>
      <c r="AH505" t="str">
        <v>2022/08/01</v>
      </c>
    </row>
    <row r="506" spans="1:34" x14ac:dyDescent="0.3">
      <c r="A506" t="str">
        <f t="array" ref="A506:J506">[1]!'6284.TW-ID,Name,MarketValue,Capital,NetIncomeGrowthRate,OperIncomeGrowthRate,FinancialStatementsTime,TFXRatio,MonthlyNetSalesYoY,RevenueMonth'</f>
        <v>6284</v>
      </c>
      <c r="B506" t="str">
        <v>佳邦</v>
      </c>
      <c r="C506" t="str">
        <v>69.9</v>
      </c>
      <c r="D506" t="str">
        <v>14.02</v>
      </c>
      <c r="E506" t="str">
        <v>15.06</v>
      </c>
      <c r="F506" t="str">
        <v>-16.09</v>
      </c>
      <c r="G506" t="str">
        <v>2022/03</v>
      </c>
      <c r="H506" t="str">
        <v>0.67</v>
      </c>
      <c r="I506" t="str">
        <v>-2.96</v>
      </c>
      <c r="J506" t="str">
        <v>2022/06</v>
      </c>
      <c r="K506" t="str">
        <f t="array" ref="K506:T506">[1]!'6284.TW-OperatingProfitRatio,Price,PriceChangeRatio,InOutRatioNumber,Value,YearReturn,MonthReturn,WeekReturn,FinanceBalanceDif,ChipsField2'</f>
        <v>7.68</v>
      </c>
      <c r="L506">
        <v>49.9</v>
      </c>
      <c r="M506">
        <v>-0.6</v>
      </c>
      <c r="N506" t="str">
        <v>45.16%</v>
      </c>
      <c r="O506" t="str">
        <v>465萬</v>
      </c>
      <c r="P506" t="str">
        <v>-24.53</v>
      </c>
      <c r="Q506" t="str">
        <v>+15.91</v>
      </c>
      <c r="R506" t="str">
        <v>-1.77</v>
      </c>
      <c r="S506">
        <v>7</v>
      </c>
      <c r="T506">
        <v>0</v>
      </c>
      <c r="U506">
        <f t="array" ref="U506:AD506">[1]!'6284.TW-ChipsField3,ChipsField1,ChipsField25,CashAndStockDividend,CashDividendYieldRate,ProfitFourSeason,ProfitSingle,CName,ExchangeIndustry,CompanyPos'</f>
        <v>-9</v>
      </c>
      <c r="V506">
        <v>60</v>
      </c>
      <c r="W506" t="str">
        <v>2022/08/04</v>
      </c>
      <c r="X506" t="str">
        <v>1.20</v>
      </c>
      <c r="Y506">
        <v>2.4</v>
      </c>
      <c r="Z506" t="str">
        <v>4.14</v>
      </c>
      <c r="AA506" t="str">
        <v>1.02</v>
      </c>
      <c r="AB506" t="str">
        <v>佳邦</v>
      </c>
      <c r="AC506" t="str">
        <v>上櫃電子零組件</v>
      </c>
      <c r="AD506" t="str">
        <v>電子保護元件及天線產品之領導廠商</v>
      </c>
      <c r="AE506" t="str">
        <f t="array" ref="AE506:AH506">[1]!'6284.TW-CName,InvestorConferenceDate,DateofMeetingofShareHolders,TradingDate'</f>
        <v>佳邦</v>
      </c>
      <c r="AF506" t="str">
        <v>--</v>
      </c>
      <c r="AG506" t="str">
        <v>2022/06/14</v>
      </c>
      <c r="AH506" t="str">
        <v>2022/08/01</v>
      </c>
    </row>
    <row r="507" spans="1:34" x14ac:dyDescent="0.3">
      <c r="A507" t="str">
        <f t="array" ref="A507:J507">[1]!'6290.TW-ID,Name,MarketValue,Capital,NetIncomeGrowthRate,OperIncomeGrowthRate,FinancialStatementsTime,TFXRatio,MonthlyNetSalesYoY,RevenueMonth'</f>
        <v>6290</v>
      </c>
      <c r="B507" t="str">
        <v>良維</v>
      </c>
      <c r="C507" t="str">
        <v>80.1</v>
      </c>
      <c r="D507" t="str">
        <v>14.78</v>
      </c>
      <c r="E507" t="str">
        <v>-24.44</v>
      </c>
      <c r="F507" t="str">
        <v>-69.91</v>
      </c>
      <c r="G507" t="str">
        <v>2022/03</v>
      </c>
      <c r="H507" t="str">
        <v>15.91</v>
      </c>
      <c r="I507" t="str">
        <v>10.35</v>
      </c>
      <c r="J507" t="str">
        <v>2022/06</v>
      </c>
      <c r="K507" t="str">
        <f t="array" ref="K507:T507">[1]!'6290.TW-OperatingProfitRatio,Price,PriceChangeRatio,InOutRatioNumber,Value,YearReturn,MonthReturn,WeekReturn,FinanceBalanceDif,ChipsField2'</f>
        <v>3.64</v>
      </c>
      <c r="L507">
        <v>54.2</v>
      </c>
      <c r="M507">
        <v>0.18</v>
      </c>
      <c r="N507" t="str">
        <v>50.38%</v>
      </c>
      <c r="O507" t="str">
        <v>5942萬</v>
      </c>
      <c r="P507" t="str">
        <v>-14.29</v>
      </c>
      <c r="Q507" t="str">
        <v>+12.38</v>
      </c>
      <c r="R507" t="str">
        <v>+3.88</v>
      </c>
      <c r="S507">
        <v>-106</v>
      </c>
      <c r="T507">
        <v>0</v>
      </c>
      <c r="U507">
        <f t="array" ref="U507:AD507">[1]!'6290.TW-ChipsField3,ChipsField1,ChipsField25,CashAndStockDividend,CashDividendYieldRate,ProfitFourSeason,ProfitSingle,CName,ExchangeIndustry,CompanyPos'</f>
        <v>32</v>
      </c>
      <c r="V507">
        <v>91</v>
      </c>
      <c r="W507" t="str">
        <v>2022/07/28</v>
      </c>
      <c r="X507" t="str">
        <v>2.00</v>
      </c>
      <c r="Y507">
        <v>3.69</v>
      </c>
      <c r="Z507" t="str">
        <v>2.75</v>
      </c>
      <c r="AA507" t="str">
        <v>1.00</v>
      </c>
      <c r="AB507" t="str">
        <v>良維</v>
      </c>
      <c r="AC507" t="str">
        <v>上櫃電子零組件</v>
      </c>
      <c r="AD507" t="str">
        <v>全球最大的TV電源供應商</v>
      </c>
      <c r="AE507" t="str">
        <f t="array" ref="AE507:AH507">[1]!'6290.TW-CName,InvestorConferenceDate,DateofMeetingofShareHolders,TradingDate'</f>
        <v>良維</v>
      </c>
      <c r="AF507" t="str">
        <v>--</v>
      </c>
      <c r="AG507" t="str">
        <v>2022/06/21</v>
      </c>
      <c r="AH507" t="str">
        <v>2022/08/01</v>
      </c>
    </row>
    <row r="508" spans="1:34" x14ac:dyDescent="0.3">
      <c r="A508" t="str">
        <f t="array" ref="A508:J508">[1]!'6292.TW-ID,Name,MarketValue,Capital,NetIncomeGrowthRate,OperIncomeGrowthRate,FinancialStatementsTime,TFXRatio,MonthlyNetSalesYoY,RevenueMonth'</f>
        <v>6292</v>
      </c>
      <c r="B508" t="str">
        <v>迅德</v>
      </c>
      <c r="C508" t="str">
        <v>20.5</v>
      </c>
      <c r="D508" t="str">
        <v>4.69</v>
      </c>
      <c r="E508" t="str">
        <v>36.62</v>
      </c>
      <c r="F508" t="str">
        <v>24.67</v>
      </c>
      <c r="G508" t="str">
        <v>2022/03</v>
      </c>
      <c r="H508" t="str">
        <v>-9.44</v>
      </c>
      <c r="I508" t="str">
        <v>42.21</v>
      </c>
      <c r="J508" t="str">
        <v>2022/06</v>
      </c>
      <c r="K508" t="str">
        <f t="array" ref="K508:T508">[1]!'6292.TW-OperatingProfitRatio,Price,PriceChangeRatio,InOutRatioNumber,Value,YearReturn,MonthReturn,WeekReturn,FinanceBalanceDif,ChipsField2'</f>
        <v>13.91</v>
      </c>
      <c r="L508">
        <v>43.75</v>
      </c>
      <c r="M508">
        <v>-0.46</v>
      </c>
      <c r="N508" t="str">
        <v>41.03%</v>
      </c>
      <c r="O508" t="str">
        <v>180萬</v>
      </c>
      <c r="P508" t="str">
        <v>+20.05</v>
      </c>
      <c r="Q508" t="str">
        <v>+1.76</v>
      </c>
      <c r="R508" t="str">
        <v>-1.24</v>
      </c>
      <c r="S508">
        <v>0</v>
      </c>
      <c r="T508">
        <v>0</v>
      </c>
      <c r="U508">
        <f t="array" ref="U508:AD508">[1]!'6292.TW-ChipsField3,ChipsField1,ChipsField25,CashAndStockDividend,CashDividendYieldRate,ProfitFourSeason,ProfitSingle,CName,ExchangeIndustry,CompanyPos'</f>
        <v>0</v>
      </c>
      <c r="V508">
        <v>0</v>
      </c>
      <c r="W508" t="str">
        <v>2022/07/12</v>
      </c>
      <c r="X508" t="str">
        <v>3.60</v>
      </c>
      <c r="Y508">
        <v>8.23</v>
      </c>
      <c r="Z508" t="str">
        <v>5.47</v>
      </c>
      <c r="AA508" t="str">
        <v>1.72</v>
      </c>
      <c r="AB508" t="str">
        <v>迅德</v>
      </c>
      <c r="AC508" t="str">
        <v>上櫃電子零組件</v>
      </c>
      <c r="AD508" t="str">
        <v>專注生產工業用變壓器產品之廠商</v>
      </c>
      <c r="AE508" t="str">
        <f t="array" ref="AE508:AH508">[1]!'6292.TW-CName,InvestorConferenceDate,DateofMeetingofShareHolders,TradingDate'</f>
        <v>迅德</v>
      </c>
      <c r="AF508" t="str">
        <v>--</v>
      </c>
      <c r="AG508" t="str">
        <v>2022/05/27</v>
      </c>
      <c r="AH508" t="str">
        <v>2022/08/01</v>
      </c>
    </row>
    <row r="509" spans="1:34" x14ac:dyDescent="0.3">
      <c r="A509" t="str">
        <f t="array" ref="A509:J509">[1]!'6418.TW-ID,Name,MarketValue,Capital,NetIncomeGrowthRate,OperIncomeGrowthRate,FinancialStatementsTime,TFXRatio,MonthlyNetSalesYoY,RevenueMonth'</f>
        <v>6418</v>
      </c>
      <c r="B509" t="str">
        <v>詠昇</v>
      </c>
      <c r="C509" t="str">
        <v>5.0</v>
      </c>
      <c r="D509" t="str">
        <v>3.45</v>
      </c>
      <c r="E509" t="str">
        <v>76.46</v>
      </c>
      <c r="F509" t="str">
        <v>121.08</v>
      </c>
      <c r="G509" t="str">
        <v>2022/03</v>
      </c>
      <c r="H509" t="str">
        <v>-14.56</v>
      </c>
      <c r="I509" t="str">
        <v>-14.95</v>
      </c>
      <c r="J509" t="str">
        <v>2022/06</v>
      </c>
      <c r="K509" t="str">
        <f t="array" ref="K509:T509">[1]!'6418.TW-OperatingProfitRatio,Price,PriceChangeRatio,InOutRatioNumber,Value,YearReturn,MonthReturn,WeekReturn,FinanceBalanceDif,ChipsField2'</f>
        <v>0.89</v>
      </c>
      <c r="L509">
        <v>14.4</v>
      </c>
      <c r="M509">
        <v>1.05</v>
      </c>
      <c r="N509" t="str">
        <v>41.07%</v>
      </c>
      <c r="O509" t="str">
        <v>80.7萬</v>
      </c>
      <c r="P509" t="str">
        <v>+6.41</v>
      </c>
      <c r="Q509" t="str">
        <v>+10.77</v>
      </c>
      <c r="R509" t="str">
        <v>-1.37</v>
      </c>
      <c r="S509">
        <v>10</v>
      </c>
      <c r="T509">
        <v>0</v>
      </c>
      <c r="U509">
        <f t="array" ref="U509:AD509">[1]!'6418.TW-ChipsField3,ChipsField1,ChipsField25,CashAndStockDividend,CashDividendYieldRate,ProfitFourSeason,ProfitSingle,CName,ExchangeIndustry,CompanyPos'</f>
        <v>0</v>
      </c>
      <c r="V509">
        <v>-2</v>
      </c>
      <c r="W509" t="str">
        <v>--</v>
      </c>
      <c r="X509" t="str">
        <v>0.00</v>
      </c>
      <c r="Y509">
        <v>0</v>
      </c>
      <c r="Z509" t="str">
        <v>-0.53</v>
      </c>
      <c r="AA509" t="str">
        <v>-0.05</v>
      </c>
      <c r="AB509" t="str">
        <v>詠昇</v>
      </c>
      <c r="AC509" t="str">
        <v>上櫃電子零組件</v>
      </c>
      <c r="AD509" t="str">
        <v>PC、TV、NB、3C用連接器生產廠</v>
      </c>
      <c r="AE509" t="str">
        <f t="array" ref="AE509:AH509">[1]!'6418.TW-CName,InvestorConferenceDate,DateofMeetingofShareHolders,TradingDate'</f>
        <v>詠昇</v>
      </c>
      <c r="AF509" t="str">
        <v>2021/12/21</v>
      </c>
      <c r="AG509" t="str">
        <v>2022/06/09</v>
      </c>
      <c r="AH509" t="str">
        <v>2022/08/01</v>
      </c>
    </row>
    <row r="510" spans="1:34" x14ac:dyDescent="0.3">
      <c r="A510" t="str">
        <f t="array" ref="A510:J510">[1]!'6432.TW-ID,Name,MarketValue,Capital,NetIncomeGrowthRate,OperIncomeGrowthRate,FinancialStatementsTime,TFXRatio,MonthlyNetSalesYoY,RevenueMonth'</f>
        <v>6432</v>
      </c>
      <c r="B510" t="str">
        <v>今展科</v>
      </c>
      <c r="C510" t="str">
        <v>9.9</v>
      </c>
      <c r="D510" t="str">
        <v>3.06</v>
      </c>
      <c r="E510" t="str">
        <v>2.40</v>
      </c>
      <c r="F510" t="str">
        <v>-56.94</v>
      </c>
      <c r="G510" t="str">
        <v>2022/03</v>
      </c>
      <c r="H510" t="str">
        <v>-13.77</v>
      </c>
      <c r="I510" t="str">
        <v>-31.62</v>
      </c>
      <c r="J510" t="str">
        <v>2022/06</v>
      </c>
      <c r="K510" t="str">
        <f t="array" ref="K510:T510">[1]!'6432.TW-OperatingProfitRatio,Price,PriceChangeRatio,InOutRatioNumber,Value,YearReturn,MonthReturn,WeekReturn,FinanceBalanceDif,ChipsField2'</f>
        <v>4.12</v>
      </c>
      <c r="L510">
        <v>32.5</v>
      </c>
      <c r="M510">
        <v>-1.22</v>
      </c>
      <c r="N510" t="str">
        <v>25.26%</v>
      </c>
      <c r="O510" t="str">
        <v>349萬</v>
      </c>
      <c r="P510" t="str">
        <v>-24.79</v>
      </c>
      <c r="Q510" t="str">
        <v>+19.71</v>
      </c>
      <c r="R510" t="str">
        <v>0.00</v>
      </c>
      <c r="S510">
        <v>1</v>
      </c>
      <c r="T510">
        <v>0</v>
      </c>
      <c r="U510">
        <f t="array" ref="U510:AD510">[1]!'6432.TW-ChipsField3,ChipsField1,ChipsField25,CashAndStockDividend,CashDividendYieldRate,ProfitFourSeason,ProfitSingle,CName,ExchangeIndustry,CompanyPos'</f>
        <v>0</v>
      </c>
      <c r="V510">
        <v>-7</v>
      </c>
      <c r="W510" t="str">
        <v>2022/08/17</v>
      </c>
      <c r="X510" t="str">
        <v>1.60</v>
      </c>
      <c r="Y510">
        <v>4.92</v>
      </c>
      <c r="Z510" t="str">
        <v>2.92</v>
      </c>
      <c r="AA510" t="str">
        <v>0.75</v>
      </c>
      <c r="AB510" t="str">
        <v>今展科</v>
      </c>
      <c r="AC510" t="str">
        <v>上櫃電子零組件</v>
      </c>
      <c r="AD510" t="str">
        <v>全球知名TV控制板電感供應商</v>
      </c>
      <c r="AE510" t="str">
        <f t="array" ref="AE510:AH510">[1]!'6432.TW-CName,InvestorConferenceDate,DateofMeetingofShareHolders,TradingDate'</f>
        <v>今展科</v>
      </c>
      <c r="AF510" t="str">
        <v>--</v>
      </c>
      <c r="AG510" t="str">
        <v>2022/06/09</v>
      </c>
      <c r="AH510" t="str">
        <v>2022/08/01</v>
      </c>
    </row>
    <row r="511" spans="1:34" x14ac:dyDescent="0.3">
      <c r="A511" t="str">
        <f t="array" ref="A511:J511">[1]!'6538.TW-ID,Name,MarketValue,Capital,NetIncomeGrowthRate,OperIncomeGrowthRate,FinancialStatementsTime,TFXRatio,MonthlyNetSalesYoY,RevenueMonth'</f>
        <v>6538</v>
      </c>
      <c r="B511" t="str">
        <v>倉和</v>
      </c>
      <c r="C511" t="str">
        <v>27.6</v>
      </c>
      <c r="D511" t="str">
        <v>3.73</v>
      </c>
      <c r="E511" t="str">
        <v>-14.74</v>
      </c>
      <c r="F511" t="str">
        <v>-44.60</v>
      </c>
      <c r="G511" t="str">
        <v>2022/03</v>
      </c>
      <c r="H511" t="str">
        <v>-3.61</v>
      </c>
      <c r="I511" t="str">
        <v>13.05</v>
      </c>
      <c r="J511" t="str">
        <v>2022/06</v>
      </c>
      <c r="K511" t="str">
        <f t="array" ref="K511:T511">[1]!'6538.TW-OperatingProfitRatio,Price,PriceChangeRatio,InOutRatioNumber,Value,YearReturn,MonthReturn,WeekReturn,FinanceBalanceDif,ChipsField2'</f>
        <v>11.43</v>
      </c>
      <c r="L511">
        <v>74</v>
      </c>
      <c r="M511">
        <v>-0.94</v>
      </c>
      <c r="N511" t="str">
        <v>46.75%</v>
      </c>
      <c r="O511" t="str">
        <v>578萬</v>
      </c>
      <c r="P511" t="str">
        <v>-37.20</v>
      </c>
      <c r="Q511" t="str">
        <v>+8.98</v>
      </c>
      <c r="R511" t="str">
        <v>+0.14</v>
      </c>
      <c r="S511">
        <v>-16</v>
      </c>
      <c r="T511">
        <v>0</v>
      </c>
      <c r="U511">
        <f t="array" ref="U511:AD511">[1]!'6538.TW-ChipsField3,ChipsField1,ChipsField25,CashAndStockDividend,CashDividendYieldRate,ProfitFourSeason,ProfitSingle,CName,ExchangeIndustry,CompanyPos'</f>
        <v>1</v>
      </c>
      <c r="V511">
        <v>83</v>
      </c>
      <c r="W511" t="str">
        <v>2022/08/04</v>
      </c>
      <c r="X511" t="str">
        <v>2.50</v>
      </c>
      <c r="Y511">
        <v>3.38</v>
      </c>
      <c r="Z511" t="str">
        <v>3.91</v>
      </c>
      <c r="AA511" t="str">
        <v>1.29</v>
      </c>
      <c r="AB511" t="str">
        <v>倉和</v>
      </c>
      <c r="AC511" t="str">
        <v>上櫃電子零組件</v>
      </c>
      <c r="AD511" t="str">
        <v>國內最大的太陽能精密網版廠</v>
      </c>
      <c r="AE511" t="str">
        <f t="array" ref="AE511:AH511">[1]!'6538.TW-CName,InvestorConferenceDate,DateofMeetingofShareHolders,TradingDate'</f>
        <v>倉和</v>
      </c>
      <c r="AF511" t="str">
        <v>2022/04/15</v>
      </c>
      <c r="AG511" t="str">
        <v>2022/06/21</v>
      </c>
      <c r="AH511" t="str">
        <v>2022/08/01</v>
      </c>
    </row>
    <row r="512" spans="1:34" x14ac:dyDescent="0.3">
      <c r="A512" t="str">
        <f t="array" ref="A512:J512">[1]!'6642.TW-ID,Name,MarketValue,Capital,NetIncomeGrowthRate,OperIncomeGrowthRate,FinancialStatementsTime,TFXRatio,MonthlyNetSalesYoY,RevenueMonth'</f>
        <v>6642</v>
      </c>
      <c r="B512" t="str">
        <v>富致</v>
      </c>
      <c r="C512" t="str">
        <v>19.4</v>
      </c>
      <c r="D512" t="str">
        <v>3.74</v>
      </c>
      <c r="E512" t="str">
        <v>43.09</v>
      </c>
      <c r="F512" t="str">
        <v>6.40</v>
      </c>
      <c r="G512" t="str">
        <v>2022/03</v>
      </c>
      <c r="H512" t="str">
        <v>-0.82</v>
      </c>
      <c r="I512" t="str">
        <v>-13.60</v>
      </c>
      <c r="J512" t="str">
        <v>2022/06</v>
      </c>
      <c r="K512" t="str">
        <f t="array" ref="K512:T512">[1]!'6642.TW-OperatingProfitRatio,Price,PriceChangeRatio,InOutRatioNumber,Value,YearReturn,MonthReturn,WeekReturn,FinanceBalanceDif,ChipsField2'</f>
        <v>32.01</v>
      </c>
      <c r="L512">
        <v>52</v>
      </c>
      <c r="M512">
        <v>-1.7</v>
      </c>
      <c r="N512" t="str">
        <v>11.11%</v>
      </c>
      <c r="O512" t="str">
        <v>47.1萬</v>
      </c>
      <c r="P512" t="str">
        <v>-35.44</v>
      </c>
      <c r="Q512" t="str">
        <v>-4.94</v>
      </c>
      <c r="R512" t="str">
        <v>-3.70</v>
      </c>
      <c r="S512">
        <v>0</v>
      </c>
      <c r="T512">
        <v>0</v>
      </c>
      <c r="U512">
        <f t="array" ref="U512:AD512">[1]!'6642.TW-ChipsField3,ChipsField1,ChipsField25,CashAndStockDividend,CashDividendYieldRate,ProfitFourSeason,ProfitSingle,CName,ExchangeIndustry,CompanyPos'</f>
        <v>0</v>
      </c>
      <c r="V512">
        <v>-1</v>
      </c>
      <c r="W512" t="str">
        <v>2022/06/16</v>
      </c>
      <c r="X512" t="str">
        <v>3.60</v>
      </c>
      <c r="Y512">
        <v>6.92</v>
      </c>
      <c r="Z512" t="str">
        <v>5.06</v>
      </c>
      <c r="AA512" t="str">
        <v>1.36</v>
      </c>
      <c r="AB512" t="str">
        <v>富致</v>
      </c>
      <c r="AC512" t="str">
        <v>上櫃電子零組件</v>
      </c>
      <c r="AD512" t="str">
        <v>台灣PPTC自復式保險絲製造商</v>
      </c>
      <c r="AE512" t="str">
        <f t="array" ref="AE512:AH512">[1]!'6642.TW-CName,InvestorConferenceDate,DateofMeetingofShareHolders,TradingDate'</f>
        <v>富致</v>
      </c>
      <c r="AF512" t="str">
        <v>2021/11/08</v>
      </c>
      <c r="AG512" t="str">
        <v>2022/05/24</v>
      </c>
      <c r="AH512" t="str">
        <v>2022/08/01</v>
      </c>
    </row>
    <row r="513" spans="1:34" x14ac:dyDescent="0.3">
      <c r="A513" t="str">
        <f t="array" ref="A513:J513">[1]!'6664.TW-ID,Name,MarketValue,Capital,NetIncomeGrowthRate,OperIncomeGrowthRate,FinancialStatementsTime,TFXRatio,MonthlyNetSalesYoY,RevenueMonth'</f>
        <v>6664</v>
      </c>
      <c r="B513" t="str">
        <v>群翊</v>
      </c>
      <c r="C513" t="str">
        <v>43.2</v>
      </c>
      <c r="D513" t="str">
        <v>5.50</v>
      </c>
      <c r="E513" t="str">
        <v>42.64</v>
      </c>
      <c r="F513" t="str">
        <v>3.55</v>
      </c>
      <c r="G513" t="str">
        <v>2022/03</v>
      </c>
      <c r="H513" t="str">
        <v>-2.41</v>
      </c>
      <c r="I513" t="str">
        <v>32.90</v>
      </c>
      <c r="J513" t="str">
        <v>2022/06</v>
      </c>
      <c r="K513" t="str">
        <f t="array" ref="K513:T513">[1]!'6664.TW-OperatingProfitRatio,Price,PriceChangeRatio,InOutRatioNumber,Value,YearReturn,MonthReturn,WeekReturn,FinanceBalanceDif,ChipsField2'</f>
        <v>26.11</v>
      </c>
      <c r="L513">
        <v>78.599999999999994</v>
      </c>
      <c r="M513">
        <v>-1.26</v>
      </c>
      <c r="N513" t="str">
        <v>33.33%</v>
      </c>
      <c r="O513" t="str">
        <v>677萬</v>
      </c>
      <c r="P513" t="str">
        <v>+21.26</v>
      </c>
      <c r="Q513" t="str">
        <v>+7.25</v>
      </c>
      <c r="R513" t="str">
        <v>+1.40</v>
      </c>
      <c r="S513">
        <v>18</v>
      </c>
      <c r="T513">
        <v>0</v>
      </c>
      <c r="U513">
        <f t="array" ref="U513:AD513">[1]!'6664.TW-ChipsField3,ChipsField1,ChipsField25,CashAndStockDividend,CashDividendYieldRate,ProfitFourSeason,ProfitSingle,CName,ExchangeIndustry,CompanyPos'</f>
        <v>1</v>
      </c>
      <c r="V513">
        <v>0</v>
      </c>
      <c r="W513" t="str">
        <v>2022/07/28</v>
      </c>
      <c r="X513" t="str">
        <v>4.90</v>
      </c>
      <c r="Y513">
        <v>6.23</v>
      </c>
      <c r="Z513" t="str">
        <v>6.89</v>
      </c>
      <c r="AA513" t="str">
        <v>2.57</v>
      </c>
      <c r="AB513" t="str">
        <v>群翊</v>
      </c>
      <c r="AC513" t="str">
        <v>上櫃電子零組件</v>
      </c>
      <c r="AD513" t="str">
        <v>專業的PCB及光電產業乾製程設備製造商</v>
      </c>
      <c r="AE513" t="str">
        <f t="array" ref="AE513:AH513">[1]!'6664.TW-CName,InvestorConferenceDate,DateofMeetingofShareHolders,TradingDate'</f>
        <v>群翊</v>
      </c>
      <c r="AF513" t="str">
        <v>--</v>
      </c>
      <c r="AG513" t="str">
        <v>2022/05/27</v>
      </c>
      <c r="AH513" t="str">
        <v>2022/08/01</v>
      </c>
    </row>
    <row r="514" spans="1:34" x14ac:dyDescent="0.3">
      <c r="A514" t="str">
        <f t="array" ref="A514:J514">[1]!'6727.TW-ID,Name,MarketValue,Capital,NetIncomeGrowthRate,OperIncomeGrowthRate,FinancialStatementsTime,TFXRatio,MonthlyNetSalesYoY,RevenueMonth'</f>
        <v>6727</v>
      </c>
      <c r="B514" t="str">
        <v>亞泰金屬</v>
      </c>
      <c r="C514" t="str">
        <v>16.3</v>
      </c>
      <c r="D514" t="str">
        <v>2.26</v>
      </c>
      <c r="E514" t="str">
        <v>226.69</v>
      </c>
      <c r="F514" t="str">
        <v>107.41</v>
      </c>
      <c r="G514" t="str">
        <v>2022/03</v>
      </c>
      <c r="H514" t="str">
        <v>41.89</v>
      </c>
      <c r="I514" t="str">
        <v>-29.06</v>
      </c>
      <c r="J514" t="str">
        <v>2022/06</v>
      </c>
      <c r="K514" t="str">
        <f t="array" ref="K514:T514">[1]!'6727.TW-OperatingProfitRatio,Price,PriceChangeRatio,InOutRatioNumber,Value,YearReturn,MonthReturn,WeekReturn,FinanceBalanceDif,ChipsField2'</f>
        <v>16.10</v>
      </c>
      <c r="L514">
        <v>72.099999999999994</v>
      </c>
      <c r="M514">
        <v>3</v>
      </c>
      <c r="N514" t="str">
        <v>61.35%</v>
      </c>
      <c r="O514" t="str">
        <v>1494萬</v>
      </c>
      <c r="P514" t="str">
        <v>-33.01</v>
      </c>
      <c r="Q514" t="str">
        <v>+21.67</v>
      </c>
      <c r="R514" t="str">
        <v>+8.91</v>
      </c>
      <c r="S514">
        <v>0</v>
      </c>
      <c r="T514">
        <v>0</v>
      </c>
      <c r="U514">
        <f t="array" ref="U514:AD514">[1]!'6727.TW-ChipsField3,ChipsField1,ChipsField25,CashAndStockDividend,CashDividendYieldRate,ProfitFourSeason,ProfitSingle,CName,ExchangeIndustry,CompanyPos'</f>
        <v>2</v>
      </c>
      <c r="V514">
        <v>7</v>
      </c>
      <c r="W514" t="str">
        <v>2022/07/19</v>
      </c>
      <c r="X514" t="str">
        <v>3.00</v>
      </c>
      <c r="Y514">
        <v>4.16</v>
      </c>
      <c r="Z514" t="str">
        <v>8.51</v>
      </c>
      <c r="AA514" t="str">
        <v>3.90</v>
      </c>
      <c r="AB514" t="str">
        <v>亞泰金屬</v>
      </c>
      <c r="AC514" t="str">
        <v>上櫃電子零組件</v>
      </c>
      <c r="AD514" t="str">
        <v>塗佈、含浸等生產設備製造廠</v>
      </c>
      <c r="AE514" t="str">
        <f t="array" ref="AE514:AH514">[1]!'6727.TW-CName,InvestorConferenceDate,DateofMeetingofShareHolders,TradingDate'</f>
        <v>亞泰金屬</v>
      </c>
      <c r="AF514" t="str">
        <v>2022/05/11</v>
      </c>
      <c r="AG514" t="str">
        <v>2022/06/21</v>
      </c>
      <c r="AH514" t="str">
        <v>2022/08/01</v>
      </c>
    </row>
    <row r="515" spans="1:34" x14ac:dyDescent="0.3">
      <c r="A515" t="str">
        <f t="array" ref="A515:J515">[1]!'6761.TW-ID,Name,MarketValue,Capital,NetIncomeGrowthRate,OperIncomeGrowthRate,FinancialStatementsTime,TFXRatio,MonthlyNetSalesYoY,RevenueMonth'</f>
        <v>6761</v>
      </c>
      <c r="B515" t="str">
        <v>穩得</v>
      </c>
      <c r="C515" t="str">
        <v>19.0</v>
      </c>
      <c r="D515" t="str">
        <v>2.39</v>
      </c>
      <c r="E515" t="str">
        <v>8.97</v>
      </c>
      <c r="F515" t="str">
        <v>-4.28</v>
      </c>
      <c r="G515" t="str">
        <v>2022/03</v>
      </c>
      <c r="H515" t="str">
        <v>-11.30</v>
      </c>
      <c r="I515" t="str">
        <v>-4.92</v>
      </c>
      <c r="J515" t="str">
        <v>2022/06</v>
      </c>
      <c r="K515" t="str">
        <f t="array" ref="K515:T515">[1]!'6761.TW-OperatingProfitRatio,Price,PriceChangeRatio,InOutRatioNumber,Value,YearReturn,MonthReturn,WeekReturn,FinanceBalanceDif,ChipsField2'</f>
        <v>11.23</v>
      </c>
      <c r="L515">
        <v>79.3</v>
      </c>
      <c r="M515">
        <v>-0.38</v>
      </c>
      <c r="N515" t="str">
        <v>25.00%</v>
      </c>
      <c r="O515" t="str">
        <v>95.2萬</v>
      </c>
      <c r="P515" t="str">
        <v>--</v>
      </c>
      <c r="Q515" t="str">
        <v>-0.31</v>
      </c>
      <c r="R515" t="str">
        <v>-2.46</v>
      </c>
      <c r="S515">
        <v>0</v>
      </c>
      <c r="T515">
        <v>0</v>
      </c>
      <c r="U515">
        <f t="array" ref="U515:AD515">[1]!'6761.TW-ChipsField3,ChipsField1,ChipsField25,CashAndStockDividend,CashDividendYieldRate,ProfitFourSeason,ProfitSingle,CName,ExchangeIndustry,CompanyPos'</f>
        <v>0</v>
      </c>
      <c r="V515">
        <v>-1</v>
      </c>
      <c r="W515" t="str">
        <v>2022/07/14</v>
      </c>
      <c r="X515" t="str">
        <v>5.80</v>
      </c>
      <c r="Y515">
        <v>7.31</v>
      </c>
      <c r="Z515" t="str">
        <v>8.65</v>
      </c>
      <c r="AA515" t="str">
        <v>2.03</v>
      </c>
      <c r="AB515" t="str">
        <v>穩得</v>
      </c>
      <c r="AC515" t="str">
        <v>上櫃電子零組件</v>
      </c>
      <c r="AD515" t="str">
        <v>為EMC電磁相容性測試整體解決方案商</v>
      </c>
      <c r="AE515" t="str">
        <f t="array" ref="AE515:AH515">[1]!'6761.TW-CName,InvestorConferenceDate,DateofMeetingofShareHolders,TradingDate'</f>
        <v>穩得</v>
      </c>
      <c r="AF515" t="str">
        <v>2021/04/28</v>
      </c>
      <c r="AG515" t="str">
        <v>2022/06/16</v>
      </c>
      <c r="AH515" t="str">
        <v>2022/08/01</v>
      </c>
    </row>
    <row r="516" spans="1:34" x14ac:dyDescent="0.3">
      <c r="A516" t="str">
        <f t="array" ref="A516:J516">[1]!'8038.TW-ID,Name,MarketValue,Capital,NetIncomeGrowthRate,OperIncomeGrowthRate,FinancialStatementsTime,TFXRatio,MonthlyNetSalesYoY,RevenueMonth'</f>
        <v>8038</v>
      </c>
      <c r="B516" t="str">
        <v>長園科</v>
      </c>
      <c r="C516" t="str">
        <v>23.6</v>
      </c>
      <c r="D516" t="str">
        <v>5.99</v>
      </c>
      <c r="E516" t="str">
        <v>71.29</v>
      </c>
      <c r="F516" t="str">
        <v>67.85</v>
      </c>
      <c r="G516" t="str">
        <v>2022/03</v>
      </c>
      <c r="H516" t="str">
        <v>-62.67</v>
      </c>
      <c r="I516" t="str">
        <v>131.43</v>
      </c>
      <c r="J516" t="str">
        <v>2022/06</v>
      </c>
      <c r="K516" t="str">
        <f t="array" ref="K516:T516">[1]!'8038.TW-OperatingProfitRatio,Price,PriceChangeRatio,InOutRatioNumber,Value,YearReturn,MonthReturn,WeekReturn,FinanceBalanceDif,ChipsField2'</f>
        <v>-58.27</v>
      </c>
      <c r="L516">
        <v>39.35</v>
      </c>
      <c r="M516">
        <v>1.68</v>
      </c>
      <c r="N516" t="str">
        <v>60.00%</v>
      </c>
      <c r="O516" t="str">
        <v>336萬</v>
      </c>
      <c r="P516" t="str">
        <v>+9.31</v>
      </c>
      <c r="Q516" t="str">
        <v>+6.21</v>
      </c>
      <c r="R516" t="str">
        <v>+0.64</v>
      </c>
      <c r="S516">
        <v>0</v>
      </c>
      <c r="T516">
        <v>0</v>
      </c>
      <c r="U516">
        <f t="array" ref="U516:AD516">[1]!'8038.TW-ChipsField3,ChipsField1,ChipsField25,CashAndStockDividend,CashDividendYieldRate,ProfitFourSeason,ProfitSingle,CName,ExchangeIndustry,CompanyPos'</f>
        <v>0</v>
      </c>
      <c r="V516">
        <v>34</v>
      </c>
      <c r="W516" t="str">
        <v>--</v>
      </c>
      <c r="X516" t="str">
        <v>0.00</v>
      </c>
      <c r="Y516">
        <v>0</v>
      </c>
      <c r="Z516" t="str">
        <v>-1.68</v>
      </c>
      <c r="AA516" t="str">
        <v>-0.13</v>
      </c>
      <c r="AB516" t="str">
        <v>長園科</v>
      </c>
      <c r="AC516" t="str">
        <v>上櫃電子零組件</v>
      </c>
      <c r="AD516" t="str">
        <v>氧化鋰鐵電池模組系統應用生產商</v>
      </c>
      <c r="AE516" t="str">
        <f t="array" ref="AE516:AH516">[1]!'8038.TW-CName,InvestorConferenceDate,DateofMeetingofShareHolders,TradingDate'</f>
        <v>長園科</v>
      </c>
      <c r="AF516" t="str">
        <v>2021/11/30</v>
      </c>
      <c r="AG516" t="str">
        <v>2022/06/09</v>
      </c>
      <c r="AH516" t="str">
        <v>2022/08/01</v>
      </c>
    </row>
    <row r="517" spans="1:34" x14ac:dyDescent="0.3">
      <c r="A517" t="str">
        <f t="array" ref="A517:J517">[1]!'8042.TW-ID,Name,MarketValue,Capital,NetIncomeGrowthRate,OperIncomeGrowthRate,FinancialStatementsTime,TFXRatio,MonthlyNetSalesYoY,RevenueMonth'</f>
        <v>8042</v>
      </c>
      <c r="B517" t="str">
        <v>金山電</v>
      </c>
      <c r="C517" t="str">
        <v>45.8</v>
      </c>
      <c r="D517" t="str">
        <v>12.95</v>
      </c>
      <c r="E517" t="str">
        <v>876.84</v>
      </c>
      <c r="F517" t="str">
        <v>87.26</v>
      </c>
      <c r="G517" t="str">
        <v>2022/03</v>
      </c>
      <c r="H517" t="str">
        <v>-12.14</v>
      </c>
      <c r="I517" t="str">
        <v>-25.39</v>
      </c>
      <c r="J517" t="str">
        <v>2022/06</v>
      </c>
      <c r="K517" t="str">
        <f t="array" ref="K517:T517">[1]!'8042.TW-OperatingProfitRatio,Price,PriceChangeRatio,InOutRatioNumber,Value,YearReturn,MonthReturn,WeekReturn,FinanceBalanceDif,ChipsField2'</f>
        <v>2.33</v>
      </c>
      <c r="L517">
        <v>35.4</v>
      </c>
      <c r="M517">
        <v>0.14000000000000001</v>
      </c>
      <c r="N517" t="str">
        <v>33.33%</v>
      </c>
      <c r="O517" t="str">
        <v>21.2萬</v>
      </c>
      <c r="P517" t="str">
        <v>-22.06</v>
      </c>
      <c r="Q517" t="str">
        <v>-1.32</v>
      </c>
      <c r="R517" t="str">
        <v>-0.14</v>
      </c>
      <c r="S517">
        <v>1</v>
      </c>
      <c r="T517">
        <v>0</v>
      </c>
      <c r="U517">
        <f t="array" ref="U517:AD517">[1]!'8042.TW-ChipsField3,ChipsField1,ChipsField25,CashAndStockDividend,CashDividendYieldRate,ProfitFourSeason,ProfitSingle,CName,ExchangeIndustry,CompanyPos'</f>
        <v>0</v>
      </c>
      <c r="V517">
        <v>1</v>
      </c>
      <c r="W517" t="str">
        <v>2022/07/07</v>
      </c>
      <c r="X517" t="str">
        <v>1.00</v>
      </c>
      <c r="Y517">
        <v>2.82</v>
      </c>
      <c r="Z517" t="str">
        <v>1.76</v>
      </c>
      <c r="AA517" t="str">
        <v>0.56</v>
      </c>
      <c r="AB517" t="str">
        <v>金山電</v>
      </c>
      <c r="AC517" t="str">
        <v>上櫃電子零組件</v>
      </c>
      <c r="AD517" t="str">
        <v>MB、SPS、CRT用之鋁質電解電容器大廠</v>
      </c>
      <c r="AE517" t="str">
        <f t="array" ref="AE517:AH517">[1]!'8042.TW-CName,InvestorConferenceDate,DateofMeetingofShareHolders,TradingDate'</f>
        <v>金山電</v>
      </c>
      <c r="AF517" t="str">
        <v>--</v>
      </c>
      <c r="AG517" t="str">
        <v>2022/06/08</v>
      </c>
      <c r="AH517" t="str">
        <v>2022/08/01</v>
      </c>
    </row>
    <row r="518" spans="1:34" x14ac:dyDescent="0.3">
      <c r="A518" t="str">
        <f t="array" ref="A518:J518">[1]!'8043.TW-ID,Name,MarketValue,Capital,NetIncomeGrowthRate,OperIncomeGrowthRate,FinancialStatementsTime,TFXRatio,MonthlyNetSalesYoY,RevenueMonth'</f>
        <v>8043</v>
      </c>
      <c r="B518" t="str">
        <v>蜜望實</v>
      </c>
      <c r="C518" t="str">
        <v>20.2</v>
      </c>
      <c r="D518" t="str">
        <v>7.99</v>
      </c>
      <c r="E518" t="str">
        <v>15.45</v>
      </c>
      <c r="F518" t="str">
        <v>78.41</v>
      </c>
      <c r="G518" t="str">
        <v>2022/03</v>
      </c>
      <c r="H518" t="str">
        <v>-7.77</v>
      </c>
      <c r="I518" t="str">
        <v>-0.93</v>
      </c>
      <c r="J518" t="str">
        <v>2022/06</v>
      </c>
      <c r="K518" t="str">
        <f t="array" ref="K518:T518">[1]!'8043.TW-OperatingProfitRatio,Price,PriceChangeRatio,InOutRatioNumber,Value,YearReturn,MonthReturn,WeekReturn,FinanceBalanceDif,ChipsField2'</f>
        <v>1.80</v>
      </c>
      <c r="L518">
        <v>25.3</v>
      </c>
      <c r="M518">
        <v>0</v>
      </c>
      <c r="N518" t="str">
        <v>50.00%</v>
      </c>
      <c r="O518" t="str">
        <v>149萬</v>
      </c>
      <c r="P518" t="str">
        <v>-17.76</v>
      </c>
      <c r="Q518" t="str">
        <v>+14.22</v>
      </c>
      <c r="R518" t="str">
        <v>-2.50</v>
      </c>
      <c r="S518">
        <v>-9</v>
      </c>
      <c r="T518">
        <v>0</v>
      </c>
      <c r="U518">
        <f t="array" ref="U518:AD518">[1]!'8043.TW-ChipsField3,ChipsField1,ChipsField25,CashAndStockDividend,CashDividendYieldRate,ProfitFourSeason,ProfitSingle,CName,ExchangeIndustry,CompanyPos'</f>
        <v>0</v>
      </c>
      <c r="V518">
        <v>-11</v>
      </c>
      <c r="W518" t="str">
        <v>2022/08/16</v>
      </c>
      <c r="X518" t="str">
        <v>1.00</v>
      </c>
      <c r="Y518">
        <v>3.95</v>
      </c>
      <c r="Z518" t="str">
        <v>1.86</v>
      </c>
      <c r="AA518" t="str">
        <v>0.70</v>
      </c>
      <c r="AB518" t="str">
        <v>蜜望實</v>
      </c>
      <c r="AC518" t="str">
        <v>上櫃電子零組件</v>
      </c>
      <c r="AD518" t="str">
        <v>太陽誘電在台MLCC代理商</v>
      </c>
      <c r="AE518" t="str">
        <f t="array" ref="AE518:AH518">[1]!'8043.TW-CName,InvestorConferenceDate,DateofMeetingofShareHolders,TradingDate'</f>
        <v>蜜望實</v>
      </c>
      <c r="AF518" t="str">
        <v>--</v>
      </c>
      <c r="AG518" t="str">
        <v>2022/06/27</v>
      </c>
      <c r="AH518" t="str">
        <v>2022/08/01</v>
      </c>
    </row>
    <row r="519" spans="1:34" x14ac:dyDescent="0.3">
      <c r="A519" t="str">
        <f t="array" ref="A519:J519">[1]!'8071.TW-ID,Name,MarketValue,Capital,NetIncomeGrowthRate,OperIncomeGrowthRate,FinancialStatementsTime,TFXRatio,MonthlyNetSalesYoY,RevenueMonth'</f>
        <v>8071</v>
      </c>
      <c r="B519" t="str">
        <v>能率網通</v>
      </c>
      <c r="C519" t="str">
        <v>9.2</v>
      </c>
      <c r="D519" t="str">
        <v>5.19</v>
      </c>
      <c r="E519" t="str">
        <v>-48.61</v>
      </c>
      <c r="F519" t="str">
        <v>21.53</v>
      </c>
      <c r="G519" t="str">
        <v>2022/03</v>
      </c>
      <c r="H519" t="str">
        <v>5.33</v>
      </c>
      <c r="I519" t="str">
        <v>145.95</v>
      </c>
      <c r="J519" t="str">
        <v>2022/06</v>
      </c>
      <c r="K519" t="str">
        <f t="array" ref="K519:T519">[1]!'8071.TW-OperatingProfitRatio,Price,PriceChangeRatio,InOutRatioNumber,Value,YearReturn,MonthReturn,WeekReturn,FinanceBalanceDif,ChipsField2'</f>
        <v>2.43</v>
      </c>
      <c r="L519">
        <v>17.8</v>
      </c>
      <c r="M519">
        <v>1.1399999999999999</v>
      </c>
      <c r="N519" t="str">
        <v>65.69%</v>
      </c>
      <c r="O519" t="str">
        <v>437萬</v>
      </c>
      <c r="P519" t="str">
        <v>+39.84</v>
      </c>
      <c r="Q519" t="str">
        <v>+11.95</v>
      </c>
      <c r="R519" t="str">
        <v>-0.84</v>
      </c>
      <c r="S519">
        <v>3</v>
      </c>
      <c r="T519">
        <v>0</v>
      </c>
      <c r="U519">
        <f t="array" ref="U519:AD519">[1]!'8071.TW-ChipsField3,ChipsField1,ChipsField25,CashAndStockDividend,CashDividendYieldRate,ProfitFourSeason,ProfitSingle,CName,ExchangeIndustry,CompanyPos'</f>
        <v>0</v>
      </c>
      <c r="V519">
        <v>-46</v>
      </c>
      <c r="W519" t="str">
        <v>--</v>
      </c>
      <c r="X519" t="str">
        <v>1.20</v>
      </c>
      <c r="Y519">
        <v>6.74</v>
      </c>
      <c r="Z519" t="str">
        <v>0.74</v>
      </c>
      <c r="AA519" t="str">
        <v>0.03</v>
      </c>
      <c r="AB519" t="str">
        <v>能率網通</v>
      </c>
      <c r="AC519" t="str">
        <v>上櫃電子零組件</v>
      </c>
      <c r="AD519" t="str">
        <v>轉型從事事務機零件製造業務</v>
      </c>
      <c r="AE519" t="str">
        <f t="array" ref="AE519:AH519">[1]!'8071.TW-CName,InvestorConferenceDate,DateofMeetingofShareHolders,TradingDate'</f>
        <v>能率網通</v>
      </c>
      <c r="AF519" t="str">
        <v>--</v>
      </c>
      <c r="AG519" t="str">
        <v>2022/06/27</v>
      </c>
      <c r="AH519" t="str">
        <v>2022/08/01</v>
      </c>
    </row>
    <row r="520" spans="1:34" x14ac:dyDescent="0.3">
      <c r="A520" t="str">
        <f t="array" ref="A520:J520">[1]!'8074.TW-ID,Name,MarketValue,Capital,NetIncomeGrowthRate,OperIncomeGrowthRate,FinancialStatementsTime,TFXRatio,MonthlyNetSalesYoY,RevenueMonth'</f>
        <v>8074</v>
      </c>
      <c r="B520" t="str">
        <v>鉅橡</v>
      </c>
      <c r="C520" t="str">
        <v>15.5</v>
      </c>
      <c r="D520" t="str">
        <v>8.46</v>
      </c>
      <c r="E520" t="str">
        <v>-23.68</v>
      </c>
      <c r="F520" t="str">
        <v>-66.99</v>
      </c>
      <c r="G520" t="str">
        <v>2022/03</v>
      </c>
      <c r="H520" t="str">
        <v>-2.81</v>
      </c>
      <c r="I520" t="str">
        <v>1.40</v>
      </c>
      <c r="J520" t="str">
        <v>2022/06</v>
      </c>
      <c r="K520" t="str">
        <f t="array" ref="K520:T520">[1]!'8074.TW-OperatingProfitRatio,Price,PriceChangeRatio,InOutRatioNumber,Value,YearReturn,MonthReturn,WeekReturn,FinanceBalanceDif,ChipsField2'</f>
        <v>3.37</v>
      </c>
      <c r="L520">
        <v>18.3</v>
      </c>
      <c r="M520">
        <v>0</v>
      </c>
      <c r="N520" t="str">
        <v>35.90%</v>
      </c>
      <c r="O520" t="str">
        <v>71.5萬</v>
      </c>
      <c r="P520" t="str">
        <v>-7.75</v>
      </c>
      <c r="Q520" t="str">
        <v>+3.39</v>
      </c>
      <c r="R520" t="str">
        <v>+0.27</v>
      </c>
      <c r="S520">
        <v>1</v>
      </c>
      <c r="T520">
        <v>0</v>
      </c>
      <c r="U520">
        <f t="array" ref="U520:AD520">[1]!'8074.TW-ChipsField3,ChipsField1,ChipsField25,CashAndStockDividend,CashDividendYieldRate,ProfitFourSeason,ProfitSingle,CName,ExchangeIndustry,CompanyPos'</f>
        <v>0</v>
      </c>
      <c r="V520">
        <v>8</v>
      </c>
      <c r="W520" t="str">
        <v>2022/05/25</v>
      </c>
      <c r="X520" t="str">
        <v>1.00</v>
      </c>
      <c r="Y520">
        <v>5.46</v>
      </c>
      <c r="Z520" t="str">
        <v>0.83</v>
      </c>
      <c r="AA520" t="str">
        <v>0.21</v>
      </c>
      <c r="AB520" t="str">
        <v>鉅橡</v>
      </c>
      <c r="AC520" t="str">
        <v>上櫃電子零組件</v>
      </c>
      <c r="AD520" t="str">
        <v>全球最大PCB墊板供應商</v>
      </c>
      <c r="AE520" t="str">
        <f t="array" ref="AE520:AH520">[1]!'8074.TW-CName,InvestorConferenceDate,DateofMeetingofShareHolders,TradingDate'</f>
        <v>鉅橡</v>
      </c>
      <c r="AF520" t="str">
        <v>--</v>
      </c>
      <c r="AG520" t="str">
        <v>2022/04/26</v>
      </c>
      <c r="AH520" t="str">
        <v>2022/08/01</v>
      </c>
    </row>
    <row r="521" spans="1:34" x14ac:dyDescent="0.3">
      <c r="A521" t="str">
        <f t="array" ref="A521:J521">[1]!'8091.TW-ID,Name,MarketValue,Capital,NetIncomeGrowthRate,OperIncomeGrowthRate,FinancialStatementsTime,TFXRatio,MonthlyNetSalesYoY,RevenueMonth'</f>
        <v>8091</v>
      </c>
      <c r="B521" t="str">
        <v>翔名</v>
      </c>
      <c r="C521" t="str">
        <v>33.3</v>
      </c>
      <c r="D521" t="str">
        <v>4.56</v>
      </c>
      <c r="E521" t="str">
        <v>224.73</v>
      </c>
      <c r="F521" t="str">
        <v>156.21</v>
      </c>
      <c r="G521" t="str">
        <v>2022/03</v>
      </c>
      <c r="H521" t="str">
        <v>18.88</v>
      </c>
      <c r="I521" t="str">
        <v>56.78</v>
      </c>
      <c r="J521" t="str">
        <v>2022/06</v>
      </c>
      <c r="K521" t="str">
        <f t="array" ref="K521:T521">[1]!'8091.TW-OperatingProfitRatio,Price,PriceChangeRatio,InOutRatioNumber,Value,YearReturn,MonthReturn,WeekReturn,FinanceBalanceDif,ChipsField2'</f>
        <v>24.47</v>
      </c>
      <c r="L521">
        <v>73.2</v>
      </c>
      <c r="M521">
        <v>2.38</v>
      </c>
      <c r="N521" t="str">
        <v>52.94%</v>
      </c>
      <c r="O521" t="str">
        <v>1615萬</v>
      </c>
      <c r="P521" t="str">
        <v>+36.00</v>
      </c>
      <c r="Q521" t="str">
        <v>+15.34</v>
      </c>
      <c r="R521" t="str">
        <v>+2.81</v>
      </c>
      <c r="S521">
        <v>6</v>
      </c>
      <c r="T521">
        <v>0</v>
      </c>
      <c r="U521">
        <f t="array" ref="U521:AD521">[1]!'8091.TW-ChipsField3,ChipsField1,ChipsField25,CashAndStockDividend,CashDividendYieldRate,ProfitFourSeason,ProfitSingle,CName,ExchangeIndustry,CompanyPos'</f>
        <v>38</v>
      </c>
      <c r="V521">
        <v>10</v>
      </c>
      <c r="W521" t="str">
        <v>2022/07/18</v>
      </c>
      <c r="X521" t="str">
        <v>3.91</v>
      </c>
      <c r="Y521">
        <v>5.34</v>
      </c>
      <c r="Z521" t="str">
        <v>7.41</v>
      </c>
      <c r="AA521" t="str">
        <v>2.16</v>
      </c>
      <c r="AB521" t="str">
        <v>翔名</v>
      </c>
      <c r="AC521" t="str">
        <v>上櫃電子零組件</v>
      </c>
      <c r="AD521" t="str">
        <v>台灣半導體離子植入機之關鍵零件最大供應商</v>
      </c>
      <c r="AE521" t="str">
        <f t="array" ref="AE521:AH521">[1]!'8091.TW-CName,InvestorConferenceDate,DateofMeetingofShareHolders,TradingDate'</f>
        <v>翔名</v>
      </c>
      <c r="AF521" t="str">
        <v>2022/03/23</v>
      </c>
      <c r="AG521" t="str">
        <v>2022/06/20</v>
      </c>
      <c r="AH521" t="str">
        <v>2022/08/01</v>
      </c>
    </row>
    <row r="522" spans="1:34" x14ac:dyDescent="0.3">
      <c r="A522" t="str">
        <f t="array" ref="A522:J522">[1]!'8093.TW-ID,Name,MarketValue,Capital,NetIncomeGrowthRate,OperIncomeGrowthRate,FinancialStatementsTime,TFXRatio,MonthlyNetSalesYoY,RevenueMonth'</f>
        <v>8093</v>
      </c>
      <c r="B522" t="str">
        <v>保銳</v>
      </c>
      <c r="C522" t="str">
        <v>4.6</v>
      </c>
      <c r="D522" t="str">
        <v>6.42</v>
      </c>
      <c r="E522" t="str">
        <v>-4.90</v>
      </c>
      <c r="F522" t="str">
        <v>-253.48</v>
      </c>
      <c r="G522" t="str">
        <v>2022/03</v>
      </c>
      <c r="H522" t="str">
        <v>-51.10</v>
      </c>
      <c r="I522" t="str">
        <v>-57.83</v>
      </c>
      <c r="J522" t="str">
        <v>2022/06</v>
      </c>
      <c r="K522" t="str">
        <f t="array" ref="K522:T522">[1]!'8093.TW-OperatingProfitRatio,Price,PriceChangeRatio,InOutRatioNumber,Value,YearReturn,MonthReturn,WeekReturn,FinanceBalanceDif,ChipsField2'</f>
        <v>-48.68</v>
      </c>
      <c r="L522">
        <v>7.11</v>
      </c>
      <c r="M522">
        <v>-1.39</v>
      </c>
      <c r="N522" t="str">
        <v>35.29%</v>
      </c>
      <c r="O522" t="str">
        <v>24.5萬</v>
      </c>
      <c r="P522" t="str">
        <v>-25.47</v>
      </c>
      <c r="Q522" t="str">
        <v>+3.49</v>
      </c>
      <c r="R522" t="str">
        <v>-3.66</v>
      </c>
      <c r="S522">
        <v>0</v>
      </c>
      <c r="T522">
        <v>0</v>
      </c>
      <c r="U522">
        <f t="array" ref="U522:AD522">[1]!'8093.TW-ChipsField3,ChipsField1,ChipsField25,CashAndStockDividend,CashDividendYieldRate,ProfitFourSeason,ProfitSingle,CName,ExchangeIndustry,CompanyPos'</f>
        <v>0</v>
      </c>
      <c r="V522">
        <v>-10</v>
      </c>
      <c r="W522" t="str">
        <v>--</v>
      </c>
      <c r="X522" t="str">
        <v>0.00</v>
      </c>
      <c r="Y522">
        <v>0</v>
      </c>
      <c r="Z522" t="str">
        <v>-0.83</v>
      </c>
      <c r="AA522" t="str">
        <v>-0.10</v>
      </c>
      <c r="AB522" t="str">
        <v>保銳</v>
      </c>
      <c r="AC522" t="str">
        <v>上櫃電子零組件</v>
      </c>
      <c r="AD522" t="str">
        <v>主攻高階DIY市場且經營自有品牌之電源與電腦週邊廠</v>
      </c>
      <c r="AE522" t="str">
        <f t="array" ref="AE522:AH522">[1]!'8093.TW-CName,InvestorConferenceDate,DateofMeetingofShareHolders,TradingDate'</f>
        <v>保銳</v>
      </c>
      <c r="AF522" t="str">
        <v>--</v>
      </c>
      <c r="AG522" t="str">
        <v>2022/05/27</v>
      </c>
      <c r="AH522" t="str">
        <v>2022/08/01</v>
      </c>
    </row>
    <row r="523" spans="1:34" x14ac:dyDescent="0.3">
      <c r="A523" t="str">
        <f t="array" ref="A523:J523">[1]!'8109.TW-ID,Name,MarketValue,Capital,NetIncomeGrowthRate,OperIncomeGrowthRate,FinancialStatementsTime,TFXRatio,MonthlyNetSalesYoY,RevenueMonth'</f>
        <v>8109</v>
      </c>
      <c r="B523" t="str">
        <v>博大</v>
      </c>
      <c r="C523" t="str">
        <v>58.1</v>
      </c>
      <c r="D523" t="str">
        <v>7.76</v>
      </c>
      <c r="E523" t="str">
        <v>87.22</v>
      </c>
      <c r="F523" t="str">
        <v>-4.32</v>
      </c>
      <c r="G523" t="str">
        <v>2022/03</v>
      </c>
      <c r="H523" t="str">
        <v>6.57</v>
      </c>
      <c r="I523" t="str">
        <v>16.97</v>
      </c>
      <c r="J523" t="str">
        <v>2022/06</v>
      </c>
      <c r="K523" t="str">
        <f t="array" ref="K523:T523">[1]!'8109.TW-OperatingProfitRatio,Price,PriceChangeRatio,InOutRatioNumber,Value,YearReturn,MonthReturn,WeekReturn,FinanceBalanceDif,ChipsField2'</f>
        <v>29.81</v>
      </c>
      <c r="L523">
        <v>74.900000000000006</v>
      </c>
      <c r="M523">
        <v>0.13</v>
      </c>
      <c r="N523" t="str">
        <v>63.33%</v>
      </c>
      <c r="O523" t="str">
        <v>225萬</v>
      </c>
      <c r="P523" t="str">
        <v>+3.95</v>
      </c>
      <c r="Q523" t="str">
        <v>+4.90</v>
      </c>
      <c r="R523" t="str">
        <v>+1.35</v>
      </c>
      <c r="S523">
        <v>0</v>
      </c>
      <c r="T523">
        <v>0</v>
      </c>
      <c r="U523">
        <f t="array" ref="U523:AD523">[1]!'8109.TW-ChipsField3,ChipsField1,ChipsField25,CashAndStockDividend,CashDividendYieldRate,ProfitFourSeason,ProfitSingle,CName,ExchangeIndustry,CompanyPos'</f>
        <v>0</v>
      </c>
      <c r="V523">
        <v>1</v>
      </c>
      <c r="W523" t="str">
        <v>2022/04/14</v>
      </c>
      <c r="X523" t="str">
        <v>4.00</v>
      </c>
      <c r="Y523">
        <v>5.34</v>
      </c>
      <c r="Z523" t="str">
        <v>6.24</v>
      </c>
      <c r="AA523" t="str">
        <v>2.07</v>
      </c>
      <c r="AB523" t="str">
        <v>博大</v>
      </c>
      <c r="AC523" t="str">
        <v>上櫃電子零組件</v>
      </c>
      <c r="AD523" t="str">
        <v>台灣專攻工業與通訊應用之利基型電源廠</v>
      </c>
      <c r="AE523" t="str">
        <f t="array" ref="AE523:AH523">[1]!'8109.TW-CName,InvestorConferenceDate,DateofMeetingofShareHolders,TradingDate'</f>
        <v>博大</v>
      </c>
      <c r="AF523" t="str">
        <v>--</v>
      </c>
      <c r="AG523" t="str">
        <v>2022/06/15</v>
      </c>
      <c r="AH523" t="str">
        <v>2022/08/01</v>
      </c>
    </row>
    <row r="524" spans="1:34" x14ac:dyDescent="0.3">
      <c r="A524" t="str">
        <f t="array" ref="A524:J524">[1]!'8121.TW-ID,Name,MarketValue,Capital,NetIncomeGrowthRate,OperIncomeGrowthRate,FinancialStatementsTime,TFXRatio,MonthlyNetSalesYoY,RevenueMonth'</f>
        <v>8121</v>
      </c>
      <c r="B524" t="str">
        <v>越峰</v>
      </c>
      <c r="C524" t="str">
        <v>60.2</v>
      </c>
      <c r="D524" t="str">
        <v>18.30</v>
      </c>
      <c r="E524" t="str">
        <v>93.99</v>
      </c>
      <c r="F524" t="str">
        <v>10.89</v>
      </c>
      <c r="G524" t="str">
        <v>2022/03</v>
      </c>
      <c r="H524" t="str">
        <v>-10.16</v>
      </c>
      <c r="I524" t="str">
        <v>4.99</v>
      </c>
      <c r="J524" t="str">
        <v>2022/06</v>
      </c>
      <c r="K524" t="str">
        <f t="array" ref="K524:T524">[1]!'8121.TW-OperatingProfitRatio,Price,PriceChangeRatio,InOutRatioNumber,Value,YearReturn,MonthReturn,WeekReturn,FinanceBalanceDif,ChipsField2'</f>
        <v>3.73</v>
      </c>
      <c r="L524">
        <v>32.9</v>
      </c>
      <c r="M524">
        <v>0.77</v>
      </c>
      <c r="N524" t="str">
        <v>42.06%</v>
      </c>
      <c r="O524" t="str">
        <v>2963萬</v>
      </c>
      <c r="P524" t="str">
        <v>+64.09</v>
      </c>
      <c r="Q524" t="str">
        <v>+15.85</v>
      </c>
      <c r="R524" t="str">
        <v>+0.92</v>
      </c>
      <c r="S524">
        <v>0</v>
      </c>
      <c r="T524">
        <v>0</v>
      </c>
      <c r="U524">
        <f t="array" ref="U524:AD524">[1]!'8121.TW-ChipsField3,ChipsField1,ChipsField25,CashAndStockDividend,CashDividendYieldRate,ProfitFourSeason,ProfitSingle,CName,ExchangeIndustry,CompanyPos'</f>
        <v>-10</v>
      </c>
      <c r="V524">
        <v>15</v>
      </c>
      <c r="W524" t="str">
        <v>--</v>
      </c>
      <c r="X524" t="str">
        <v>0.00</v>
      </c>
      <c r="Y524">
        <v>0</v>
      </c>
      <c r="Z524" t="str">
        <v>0.35</v>
      </c>
      <c r="AA524" t="str">
        <v>0.07</v>
      </c>
      <c r="AB524" t="str">
        <v>越峰</v>
      </c>
      <c r="AC524" t="str">
        <v>上櫃電子零組件</v>
      </c>
      <c r="AD524" t="str">
        <v>台聚旗下、台灣最大錳鋅系列鐵芯等電感類製造廠</v>
      </c>
      <c r="AE524" t="str">
        <f t="array" ref="AE524:AH524">[1]!'8121.TW-CName,InvestorConferenceDate,DateofMeetingofShareHolders,TradingDate'</f>
        <v>越峰</v>
      </c>
      <c r="AF524" t="str">
        <v>2022/03/30</v>
      </c>
      <c r="AG524" t="str">
        <v>2022/05/30</v>
      </c>
      <c r="AH524" t="str">
        <v>2022/08/01</v>
      </c>
    </row>
    <row r="525" spans="1:34" x14ac:dyDescent="0.3">
      <c r="A525" t="str">
        <f t="array" ref="A525:J525">[1]!'8147.TW-ID,Name,MarketValue,Capital,NetIncomeGrowthRate,OperIncomeGrowthRate,FinancialStatementsTime,TFXRatio,MonthlyNetSalesYoY,RevenueMonth'</f>
        <v>8147</v>
      </c>
      <c r="B525" t="str">
        <v>正淩</v>
      </c>
      <c r="C525" t="str">
        <v>17.4</v>
      </c>
      <c r="D525" t="str">
        <v>3.24</v>
      </c>
      <c r="E525" t="str">
        <v>5504.85</v>
      </c>
      <c r="F525" t="str">
        <v>1315.66</v>
      </c>
      <c r="G525" t="str">
        <v>2022/03</v>
      </c>
      <c r="H525" t="str">
        <v>-18.01</v>
      </c>
      <c r="I525" t="str">
        <v>-12.24</v>
      </c>
      <c r="J525" t="str">
        <v>2022/06</v>
      </c>
      <c r="K525" t="str">
        <f t="array" ref="K525:T525">[1]!'8147.TW-OperatingProfitRatio,Price,PriceChangeRatio,InOutRatioNumber,Value,YearReturn,MonthReturn,WeekReturn,FinanceBalanceDif,ChipsField2'</f>
        <v>11.08</v>
      </c>
      <c r="L525">
        <v>53.7</v>
      </c>
      <c r="M525">
        <v>1.32</v>
      </c>
      <c r="N525" t="str">
        <v>48.39%</v>
      </c>
      <c r="O525" t="str">
        <v>167萬</v>
      </c>
      <c r="P525" t="str">
        <v>-2.97</v>
      </c>
      <c r="Q525" t="str">
        <v>+2.09</v>
      </c>
      <c r="R525" t="str">
        <v>+4.07</v>
      </c>
      <c r="S525">
        <v>0</v>
      </c>
      <c r="T525">
        <v>0</v>
      </c>
      <c r="U525">
        <f t="array" ref="U525:AD525">[1]!'8147.TW-ChipsField3,ChipsField1,ChipsField25,CashAndStockDividend,CashDividendYieldRate,ProfitFourSeason,ProfitSingle,CName,ExchangeIndustry,CompanyPos'</f>
        <v>0</v>
      </c>
      <c r="V525">
        <v>1</v>
      </c>
      <c r="W525" t="str">
        <v>--</v>
      </c>
      <c r="X525" t="str">
        <v>1.10</v>
      </c>
      <c r="Y525">
        <v>2.0499999999999998</v>
      </c>
      <c r="Z525" t="str">
        <v>2.21</v>
      </c>
      <c r="AA525" t="str">
        <v>0.93</v>
      </c>
      <c r="AB525" t="str">
        <v>正淩</v>
      </c>
      <c r="AC525" t="str">
        <v>上櫃電子零組件</v>
      </c>
      <c r="AD525" t="str">
        <v>生產PC、工業及通信用的連接器廠商</v>
      </c>
      <c r="AE525" t="str">
        <f t="array" ref="AE525:AH525">[1]!'8147.TW-CName,InvestorConferenceDate,DateofMeetingofShareHolders,TradingDate'</f>
        <v>正淩</v>
      </c>
      <c r="AF525" t="str">
        <v>2021/01/14</v>
      </c>
      <c r="AG525" t="str">
        <v>2022/06/16</v>
      </c>
      <c r="AH525" t="str">
        <v>2022/08/01</v>
      </c>
    </row>
    <row r="526" spans="1:34" x14ac:dyDescent="0.3">
      <c r="A526" t="str">
        <f t="array" ref="A526:J526">[1]!'8155.TW-ID,Name,MarketValue,Capital,NetIncomeGrowthRate,OperIncomeGrowthRate,FinancialStatementsTime,TFXRatio,MonthlyNetSalesYoY,RevenueMonth'</f>
        <v>8155</v>
      </c>
      <c r="B526" t="str">
        <v>博智</v>
      </c>
      <c r="C526" t="str">
        <v>54.0</v>
      </c>
      <c r="D526" t="str">
        <v>4.98</v>
      </c>
      <c r="E526" t="str">
        <v>89.63</v>
      </c>
      <c r="F526" t="str">
        <v>86.03</v>
      </c>
      <c r="G526" t="str">
        <v>2022/03</v>
      </c>
      <c r="H526" t="str">
        <v>-7.59</v>
      </c>
      <c r="I526" t="str">
        <v>20.43</v>
      </c>
      <c r="J526" t="str">
        <v>2022/06</v>
      </c>
      <c r="K526" t="str">
        <f t="array" ref="K526:T526">[1]!'8155.TW-OperatingProfitRatio,Price,PriceChangeRatio,InOutRatioNumber,Value,YearReturn,MonthReturn,WeekReturn,FinanceBalanceDif,ChipsField2'</f>
        <v>22.39</v>
      </c>
      <c r="L526">
        <v>108.5</v>
      </c>
      <c r="M526">
        <v>0</v>
      </c>
      <c r="N526" t="str">
        <v>39.04%</v>
      </c>
      <c r="O526" t="str">
        <v>1.75億</v>
      </c>
      <c r="P526" t="str">
        <v>-6.20</v>
      </c>
      <c r="Q526" t="str">
        <v>+0.86</v>
      </c>
      <c r="R526" t="str">
        <v>-11.65</v>
      </c>
      <c r="S526">
        <v>47</v>
      </c>
      <c r="T526">
        <v>-769</v>
      </c>
      <c r="U526">
        <f t="array" ref="U526:AD526">[1]!'8155.TW-ChipsField3,ChipsField1,ChipsField25,CashAndStockDividend,CashDividendYieldRate,ProfitFourSeason,ProfitSingle,CName,ExchangeIndustry,CompanyPos'</f>
        <v>9</v>
      </c>
      <c r="V526">
        <v>309</v>
      </c>
      <c r="W526" t="str">
        <v>2022/07/28</v>
      </c>
      <c r="X526" t="str">
        <v>6.00</v>
      </c>
      <c r="Y526">
        <v>5.53</v>
      </c>
      <c r="Z526" t="str">
        <v>9.51</v>
      </c>
      <c r="AA526" t="str">
        <v>3.53</v>
      </c>
      <c r="AB526" t="str">
        <v>博智</v>
      </c>
      <c r="AC526" t="str">
        <v>上櫃電子零組件</v>
      </c>
      <c r="AD526" t="str">
        <v>仁寶集團旗下的印刷電路板廠商</v>
      </c>
      <c r="AE526" t="str">
        <f t="array" ref="AE526:AH526">[1]!'8155.TW-CName,InvestorConferenceDate,DateofMeetingofShareHolders,TradingDate'</f>
        <v>博智</v>
      </c>
      <c r="AF526" t="str">
        <v>--</v>
      </c>
      <c r="AG526" t="str">
        <v>2022/06/27</v>
      </c>
      <c r="AH526" t="str">
        <v>2022/08/01</v>
      </c>
    </row>
    <row r="527" spans="1:34" x14ac:dyDescent="0.3">
      <c r="A527" t="str">
        <f t="array" ref="A527:J527">[1]!'8182.TW-ID,Name,MarketValue,Capital,NetIncomeGrowthRate,OperIncomeGrowthRate,FinancialStatementsTime,TFXRatio,MonthlyNetSalesYoY,RevenueMonth'</f>
        <v>8182</v>
      </c>
      <c r="B527" t="str">
        <v>加高</v>
      </c>
      <c r="C527" t="str">
        <v>38.9</v>
      </c>
      <c r="D527" t="str">
        <v>10.70</v>
      </c>
      <c r="E527" t="str">
        <v>40.51</v>
      </c>
      <c r="F527" t="str">
        <v>3.48</v>
      </c>
      <c r="G527" t="str">
        <v>2022/03</v>
      </c>
      <c r="H527" t="str">
        <v>-13.05</v>
      </c>
      <c r="I527" t="str">
        <v>-24.36</v>
      </c>
      <c r="J527" t="str">
        <v>2022/06</v>
      </c>
      <c r="K527" t="str">
        <f t="array" ref="K527:T527">[1]!'8182.TW-OperatingProfitRatio,Price,PriceChangeRatio,InOutRatioNumber,Value,YearReturn,MonthReturn,WeekReturn,FinanceBalanceDif,ChipsField2'</f>
        <v>14.29</v>
      </c>
      <c r="L527">
        <v>36.35</v>
      </c>
      <c r="M527">
        <v>-0.55000000000000004</v>
      </c>
      <c r="N527" t="str">
        <v>40.54%</v>
      </c>
      <c r="O527" t="str">
        <v>138萬</v>
      </c>
      <c r="P527" t="str">
        <v>-17.12</v>
      </c>
      <c r="Q527" t="str">
        <v>+2.23</v>
      </c>
      <c r="R527" t="str">
        <v>-2.81</v>
      </c>
      <c r="S527">
        <v>0</v>
      </c>
      <c r="T527">
        <v>0</v>
      </c>
      <c r="U527">
        <f t="array" ref="U527:AD527">[1]!'8182.TW-ChipsField3,ChipsField1,ChipsField25,CashAndStockDividend,CashDividendYieldRate,ProfitFourSeason,ProfitSingle,CName,ExchangeIndustry,CompanyPos'</f>
        <v>0</v>
      </c>
      <c r="V527">
        <v>5</v>
      </c>
      <c r="W527" t="str">
        <v>2022/07/19</v>
      </c>
      <c r="X527" t="str">
        <v>3.00</v>
      </c>
      <c r="Y527">
        <v>8.25</v>
      </c>
      <c r="Z527" t="str">
        <v>5.07</v>
      </c>
      <c r="AA527" t="str">
        <v>1.07</v>
      </c>
      <c r="AB527" t="str">
        <v>加高</v>
      </c>
      <c r="AC527" t="str">
        <v>上櫃電子零組件</v>
      </c>
      <c r="AD527" t="str">
        <v>日本大真空轉投資，為台灣石英元件製造商</v>
      </c>
      <c r="AE527" t="str">
        <f t="array" ref="AE527:AH527">[1]!'8182.TW-CName,InvestorConferenceDate,DateofMeetingofShareHolders,TradingDate'</f>
        <v>加高</v>
      </c>
      <c r="AF527" t="str">
        <v>--</v>
      </c>
      <c r="AG527" t="str">
        <v>2022/06/17</v>
      </c>
      <c r="AH527" t="str">
        <v>2022/08/01</v>
      </c>
    </row>
    <row r="528" spans="1:34" x14ac:dyDescent="0.3">
      <c r="A528" t="str">
        <f t="array" ref="A528:J528">[1]!'8289.TW-ID,Name,MarketValue,Capital,NetIncomeGrowthRate,OperIncomeGrowthRate,FinancialStatementsTime,TFXRatio,MonthlyNetSalesYoY,RevenueMonth'</f>
        <v>8289</v>
      </c>
      <c r="B528" t="str">
        <v>泰藝</v>
      </c>
      <c r="C528" t="str">
        <v>22.9</v>
      </c>
      <c r="D528" t="str">
        <v>6.83</v>
      </c>
      <c r="E528" t="str">
        <v>323.07</v>
      </c>
      <c r="F528" t="str">
        <v>343.01</v>
      </c>
      <c r="G528" t="str">
        <v>2022/03</v>
      </c>
      <c r="H528" t="str">
        <v>-5.09</v>
      </c>
      <c r="I528" t="str">
        <v>11.77</v>
      </c>
      <c r="J528" t="str">
        <v>2022/06</v>
      </c>
      <c r="K528" t="str">
        <f t="array" ref="K528:T528">[1]!'8289.TW-OperatingProfitRatio,Price,PriceChangeRatio,InOutRatioNumber,Value,YearReturn,MonthReturn,WeekReturn,FinanceBalanceDif,ChipsField2'</f>
        <v>17.15</v>
      </c>
      <c r="L528">
        <v>33.549999999999997</v>
      </c>
      <c r="M528">
        <v>-1.03</v>
      </c>
      <c r="N528" t="str">
        <v>24.73%</v>
      </c>
      <c r="O528" t="str">
        <v>323萬</v>
      </c>
      <c r="P528" t="str">
        <v>+15.54</v>
      </c>
      <c r="Q528" t="str">
        <v>+8.05</v>
      </c>
      <c r="R528" t="str">
        <v>-1.76</v>
      </c>
      <c r="S528">
        <v>3</v>
      </c>
      <c r="T528">
        <v>0</v>
      </c>
      <c r="U528">
        <f t="array" ref="U528:AD528">[1]!'8289.TW-ChipsField3,ChipsField1,ChipsField25,CashAndStockDividend,CashDividendYieldRate,ProfitFourSeason,ProfitSingle,CName,ExchangeIndustry,CompanyPos'</f>
        <v>0</v>
      </c>
      <c r="V528">
        <v>48</v>
      </c>
      <c r="W528" t="str">
        <v>--</v>
      </c>
      <c r="X528" t="str">
        <v>2.10</v>
      </c>
      <c r="Y528">
        <v>6.26</v>
      </c>
      <c r="Z528" t="str">
        <v>4.09</v>
      </c>
      <c r="AA528" t="str">
        <v>1.27</v>
      </c>
      <c r="AB528" t="str">
        <v>泰藝</v>
      </c>
      <c r="AC528" t="str">
        <v>上櫃電子零組件</v>
      </c>
      <c r="AD528" t="str">
        <v>台灣專業石英振盪器製造商</v>
      </c>
      <c r="AE528" t="str">
        <f t="array" ref="AE528:AH528">[1]!'8289.TW-CName,InvestorConferenceDate,DateofMeetingofShareHolders,TradingDate'</f>
        <v>泰藝</v>
      </c>
      <c r="AF528" t="str">
        <v>--</v>
      </c>
      <c r="AG528" t="str">
        <v>2022/06/17</v>
      </c>
      <c r="AH528" t="str">
        <v>2022/08/01</v>
      </c>
    </row>
    <row r="529" spans="1:34" x14ac:dyDescent="0.3">
      <c r="A529" t="str">
        <f t="array" ref="A529:J529">[1]!'8291.TW-ID,Name,MarketValue,Capital,NetIncomeGrowthRate,OperIncomeGrowthRate,FinancialStatementsTime,TFXRatio,MonthlyNetSalesYoY,RevenueMonth'</f>
        <v>8291</v>
      </c>
      <c r="B529" t="str">
        <v>尚茂</v>
      </c>
      <c r="C529" t="str">
        <v>3.2</v>
      </c>
      <c r="D529" t="str">
        <v>4.73</v>
      </c>
      <c r="E529" t="str">
        <v>-21.96</v>
      </c>
      <c r="F529" t="str">
        <v>-27.45</v>
      </c>
      <c r="G529" t="str">
        <v>2022/03</v>
      </c>
      <c r="H529" t="str">
        <v>12.28</v>
      </c>
      <c r="I529" t="str">
        <v>-32.12</v>
      </c>
      <c r="J529" t="str">
        <v>2022/06</v>
      </c>
      <c r="K529" t="str">
        <f t="array" ref="K529:T529">[1]!'8291.TW-OperatingProfitRatio,Price,PriceChangeRatio,InOutRatioNumber,Value,YearReturn,MonthReturn,WeekReturn,FinanceBalanceDif,ChipsField2'</f>
        <v>-27.11</v>
      </c>
      <c r="L529" t="str">
        <v>--</v>
      </c>
      <c r="M529" t="str">
        <v>--</v>
      </c>
      <c r="N529" t="str">
        <v>--</v>
      </c>
      <c r="O529" t="str">
        <v>--</v>
      </c>
      <c r="P529" t="str">
        <v>+0.15</v>
      </c>
      <c r="Q529" t="str">
        <v>+6.85</v>
      </c>
      <c r="R529" t="str">
        <v>-0.15</v>
      </c>
      <c r="S529">
        <v>0</v>
      </c>
      <c r="T529">
        <v>0</v>
      </c>
      <c r="U529">
        <f t="array" ref="U529:AD529">[1]!'8291.TW-ChipsField3,ChipsField1,ChipsField25,CashAndStockDividend,CashDividendYieldRate,ProfitFourSeason,ProfitSingle,CName,ExchangeIndustry,CompanyPos'</f>
        <v>0</v>
      </c>
      <c r="V529">
        <v>0</v>
      </c>
      <c r="W529" t="str">
        <v>--</v>
      </c>
      <c r="X529" t="str">
        <v>0.00</v>
      </c>
      <c r="Y529">
        <v>0</v>
      </c>
      <c r="Z529" t="str">
        <v>-0.70</v>
      </c>
      <c r="AA529" t="str">
        <v>-0.23</v>
      </c>
      <c r="AB529" t="str">
        <v>尚茂</v>
      </c>
      <c r="AC529" t="str">
        <v>上櫃電子零組件</v>
      </c>
      <c r="AD529" t="str">
        <v>台灣利基型銅箔基板廠</v>
      </c>
      <c r="AE529" t="str">
        <f t="array" ref="AE529:AH529">[1]!'8291.TW-CName,InvestorConferenceDate,DateofMeetingofShareHolders,TradingDate'</f>
        <v>尚茂</v>
      </c>
      <c r="AF529" t="str">
        <v>--</v>
      </c>
      <c r="AG529" t="str">
        <v>2022/06/16</v>
      </c>
      <c r="AH529" t="str">
        <v>2022/08/01</v>
      </c>
    </row>
    <row r="530" spans="1:34" x14ac:dyDescent="0.3">
      <c r="A530" t="str">
        <f t="array" ref="A530:J530">[1]!'8358.TW-ID,Name,MarketValue,Capital,NetIncomeGrowthRate,OperIncomeGrowthRate,FinancialStatementsTime,TFXRatio,MonthlyNetSalesYoY,RevenueMonth'</f>
        <v>8358</v>
      </c>
      <c r="B530" t="str">
        <v>金居</v>
      </c>
      <c r="C530" t="str">
        <v>106.5</v>
      </c>
      <c r="D530" t="str">
        <v>25.26</v>
      </c>
      <c r="E530" t="str">
        <v>63.77</v>
      </c>
      <c r="F530" t="str">
        <v>59.28</v>
      </c>
      <c r="G530" t="str">
        <v>2022/03</v>
      </c>
      <c r="H530" t="str">
        <v>-12.97</v>
      </c>
      <c r="I530" t="str">
        <v>-24.57</v>
      </c>
      <c r="J530" t="str">
        <v>2022/06</v>
      </c>
      <c r="K530" t="str">
        <f t="array" ref="K530:T530">[1]!'8358.TW-OperatingProfitRatio,Price,PriceChangeRatio,InOutRatioNumber,Value,YearReturn,MonthReturn,WeekReturn,FinanceBalanceDif,ChipsField2'</f>
        <v>22.09</v>
      </c>
      <c r="L530">
        <v>42.15</v>
      </c>
      <c r="M530">
        <v>-0.47</v>
      </c>
      <c r="N530" t="str">
        <v>34.42%</v>
      </c>
      <c r="O530" t="str">
        <v>5333萬</v>
      </c>
      <c r="P530" t="str">
        <v>-39.67</v>
      </c>
      <c r="Q530" t="str">
        <v>+5.24</v>
      </c>
      <c r="R530" t="str">
        <v>-5.92</v>
      </c>
      <c r="S530">
        <v>-42</v>
      </c>
      <c r="T530">
        <v>0</v>
      </c>
      <c r="U530">
        <f t="array" ref="U530:AD530">[1]!'8358.TW-ChipsField3,ChipsField1,ChipsField25,CashAndStockDividend,CashDividendYieldRate,ProfitFourSeason,ProfitSingle,CName,ExchangeIndustry,CompanyPos'</f>
        <v>-32</v>
      </c>
      <c r="V530">
        <v>-5</v>
      </c>
      <c r="W530" t="str">
        <v>2022/07/18</v>
      </c>
      <c r="X530" t="str">
        <v>4.20</v>
      </c>
      <c r="Y530">
        <v>9.9600000000000009</v>
      </c>
      <c r="Z530" t="str">
        <v>6.62</v>
      </c>
      <c r="AA530" t="str">
        <v>1.51</v>
      </c>
      <c r="AB530" t="str">
        <v>金居</v>
      </c>
      <c r="AC530" t="str">
        <v>上櫃電子零組件</v>
      </c>
      <c r="AD530" t="str">
        <v>台灣前三大電解銅箔製造商</v>
      </c>
      <c r="AE530" t="str">
        <f t="array" ref="AE530:AH530">[1]!'8358.TW-CName,InvestorConferenceDate,DateofMeetingofShareHolders,TradingDate'</f>
        <v>金居</v>
      </c>
      <c r="AF530" t="str">
        <v>2021/11/22</v>
      </c>
      <c r="AG530" t="str">
        <v>2022/06/21</v>
      </c>
      <c r="AH530" t="str">
        <v>2022/08/01</v>
      </c>
    </row>
    <row r="531" spans="1:34" x14ac:dyDescent="0.3">
      <c r="A531" t="str">
        <f t="array" ref="A531:J531">[1]!'3224.TW-ID,Name,MarketValue,Capital,NetIncomeGrowthRate,OperIncomeGrowthRate,FinancialStatementsTime,TFXRatio,MonthlyNetSalesYoY,RevenueMonth'</f>
        <v>3224</v>
      </c>
      <c r="B531" t="str">
        <v>三顧</v>
      </c>
      <c r="C531" t="str">
        <v>28.7</v>
      </c>
      <c r="D531" t="str">
        <v>6.82</v>
      </c>
      <c r="E531" t="str">
        <v>188.18</v>
      </c>
      <c r="F531" t="str">
        <v>130.24</v>
      </c>
      <c r="G531" t="str">
        <v>2022/03</v>
      </c>
      <c r="H531" t="str">
        <v>25.99</v>
      </c>
      <c r="I531" t="str">
        <v>39.48</v>
      </c>
      <c r="J531" t="str">
        <v>2022/06</v>
      </c>
      <c r="K531" t="str">
        <f t="array" ref="K531:T531">[1]!'3224.TW-OperatingProfitRatio,Price,PriceChangeRatio,InOutRatioNumber,Value,YearReturn,MonthReturn,WeekReturn,FinanceBalanceDif,ChipsField2'</f>
        <v>0.40</v>
      </c>
      <c r="L531">
        <v>42.05</v>
      </c>
      <c r="M531">
        <v>0</v>
      </c>
      <c r="N531" t="str">
        <v>50.00%</v>
      </c>
      <c r="O531" t="str">
        <v>84.2萬</v>
      </c>
      <c r="P531" t="str">
        <v>-1.98</v>
      </c>
      <c r="Q531" t="str">
        <v>+1.33</v>
      </c>
      <c r="R531" t="str">
        <v>-2.21</v>
      </c>
      <c r="S531">
        <v>12</v>
      </c>
      <c r="T531">
        <v>0</v>
      </c>
      <c r="U531">
        <f t="array" ref="U531:AD531">[1]!'3224.TW-ChipsField3,ChipsField1,ChipsField25,CashAndStockDividend,CashDividendYieldRate,ProfitFourSeason,ProfitSingle,CName,ExchangeIndustry,CompanyPos'</f>
        <v>0</v>
      </c>
      <c r="V531">
        <v>8</v>
      </c>
      <c r="W531" t="str">
        <v>--</v>
      </c>
      <c r="X531" t="str">
        <v>0.00</v>
      </c>
      <c r="Y531">
        <v>0</v>
      </c>
      <c r="Z531" t="str">
        <v>0.04</v>
      </c>
      <c r="AA531" t="str">
        <v>0.25</v>
      </c>
      <c r="AB531" t="str">
        <v>三顧</v>
      </c>
      <c r="AC531" t="str">
        <v>上櫃電子通路</v>
      </c>
      <c r="AD531" t="str">
        <v>台灣電子材料批發銷售廠商並切入醫療美容產品服務</v>
      </c>
      <c r="AE531" t="str">
        <f t="array" ref="AE531:AH531">[1]!'3224.TW-CName,InvestorConferenceDate,DateofMeetingofShareHolders,TradingDate'</f>
        <v>三顧</v>
      </c>
      <c r="AF531" t="str">
        <v>--</v>
      </c>
      <c r="AG531" t="str">
        <v>2022/06/29</v>
      </c>
      <c r="AH531" t="str">
        <v>2022/08/01</v>
      </c>
    </row>
    <row r="532" spans="1:34" x14ac:dyDescent="0.3">
      <c r="A532" t="str">
        <f t="array" ref="A532:J532">[1]!'3232.TW-ID,Name,MarketValue,Capital,NetIncomeGrowthRate,OperIncomeGrowthRate,FinancialStatementsTime,TFXRatio,MonthlyNetSalesYoY,RevenueMonth'</f>
        <v>3232</v>
      </c>
      <c r="B532" t="str">
        <v>昱捷</v>
      </c>
      <c r="C532" t="str">
        <v>9.7</v>
      </c>
      <c r="D532" t="str">
        <v>3.66</v>
      </c>
      <c r="E532" t="str">
        <v>399.64</v>
      </c>
      <c r="F532" t="str">
        <v>216.07</v>
      </c>
      <c r="G532" t="str">
        <v>2022/03</v>
      </c>
      <c r="H532" t="str">
        <v>23.07</v>
      </c>
      <c r="I532" t="str">
        <v>29.41</v>
      </c>
      <c r="J532" t="str">
        <v>2022/06</v>
      </c>
      <c r="K532" t="str">
        <f t="array" ref="K532:T532">[1]!'3232.TW-OperatingProfitRatio,Price,PriceChangeRatio,InOutRatioNumber,Value,YearReturn,MonthReturn,WeekReturn,FinanceBalanceDif,ChipsField2'</f>
        <v>5.18</v>
      </c>
      <c r="L532">
        <v>26.5</v>
      </c>
      <c r="M532">
        <v>-0.38</v>
      </c>
      <c r="N532" t="str">
        <v>45.16%</v>
      </c>
      <c r="O532" t="str">
        <v>250萬</v>
      </c>
      <c r="P532" t="str">
        <v>+29.26</v>
      </c>
      <c r="Q532" t="str">
        <v>+3.52</v>
      </c>
      <c r="R532" t="str">
        <v>-2.39</v>
      </c>
      <c r="S532">
        <v>-2</v>
      </c>
      <c r="T532">
        <v>0</v>
      </c>
      <c r="U532">
        <f t="array" ref="U532:AD532">[1]!'3232.TW-ChipsField3,ChipsField1,ChipsField25,CashAndStockDividend,CashDividendYieldRate,ProfitFourSeason,ProfitSingle,CName,ExchangeIndustry,CompanyPos'</f>
        <v>0</v>
      </c>
      <c r="V532">
        <v>30</v>
      </c>
      <c r="W532" t="str">
        <v>2022/08/17</v>
      </c>
      <c r="X532" t="str">
        <v>0.50</v>
      </c>
      <c r="Y532">
        <v>1.89</v>
      </c>
      <c r="Z532" t="str">
        <v>1.20</v>
      </c>
      <c r="AA532" t="str">
        <v>0.45</v>
      </c>
      <c r="AB532" t="str">
        <v>昱捷</v>
      </c>
      <c r="AC532" t="str">
        <v>上櫃電子通路</v>
      </c>
      <c r="AD532" t="str">
        <v>台灣IC通路商，並佈局NMT射出加工技術</v>
      </c>
      <c r="AE532" t="str">
        <f t="array" ref="AE532:AH532">[1]!'3232.TW-CName,InvestorConferenceDate,DateofMeetingofShareHolders,TradingDate'</f>
        <v>昱捷</v>
      </c>
      <c r="AF532" t="str">
        <v>--</v>
      </c>
      <c r="AG532" t="str">
        <v>2022/06/21</v>
      </c>
      <c r="AH532" t="str">
        <v>2022/08/01</v>
      </c>
    </row>
    <row r="533" spans="1:34" x14ac:dyDescent="0.3">
      <c r="A533" t="str">
        <f t="array" ref="A533:J533">[1]!'3360.TW-ID,Name,MarketValue,Capital,NetIncomeGrowthRate,OperIncomeGrowthRate,FinancialStatementsTime,TFXRatio,MonthlyNetSalesYoY,RevenueMonth'</f>
        <v>3360</v>
      </c>
      <c r="B533" t="str">
        <v>尚立</v>
      </c>
      <c r="C533" t="str">
        <v>10.5</v>
      </c>
      <c r="D533" t="str">
        <v>7.64</v>
      </c>
      <c r="E533" t="str">
        <v>57.64</v>
      </c>
      <c r="F533" t="str">
        <v>45.52</v>
      </c>
      <c r="G533" t="str">
        <v>2022/03</v>
      </c>
      <c r="H533" t="str">
        <v>-21.85</v>
      </c>
      <c r="I533" t="str">
        <v>-10.30</v>
      </c>
      <c r="J533" t="str">
        <v>2022/06</v>
      </c>
      <c r="K533" t="str">
        <f t="array" ref="K533:T533">[1]!'3360.TW-OperatingProfitRatio,Price,PriceChangeRatio,InOutRatioNumber,Value,YearReturn,MonthReturn,WeekReturn,FinanceBalanceDif,ChipsField2'</f>
        <v>1.50</v>
      </c>
      <c r="L533">
        <v>13.8</v>
      </c>
      <c r="M533">
        <v>-0.36</v>
      </c>
      <c r="N533" t="str">
        <v>64.60%</v>
      </c>
      <c r="O533" t="str">
        <v>155萬</v>
      </c>
      <c r="P533" t="str">
        <v>+6.74</v>
      </c>
      <c r="Q533" t="str">
        <v>+3.90</v>
      </c>
      <c r="R533" t="str">
        <v>-1.08</v>
      </c>
      <c r="S533">
        <v>1</v>
      </c>
      <c r="T533">
        <v>0</v>
      </c>
      <c r="U533">
        <f t="array" ref="U533:AD533">[1]!'3360.TW-ChipsField3,ChipsField1,ChipsField25,CashAndStockDividend,CashDividendYieldRate,ProfitFourSeason,ProfitSingle,CName,ExchangeIndustry,CompanyPos'</f>
        <v>0</v>
      </c>
      <c r="V533">
        <v>2</v>
      </c>
      <c r="W533" t="str">
        <v>2022/07/12</v>
      </c>
      <c r="X533" t="str">
        <v>1.25</v>
      </c>
      <c r="Y533">
        <v>9.06</v>
      </c>
      <c r="Z533" t="str">
        <v>1.64</v>
      </c>
      <c r="AA533" t="str">
        <v>0.52</v>
      </c>
      <c r="AB533" t="str">
        <v>尚立</v>
      </c>
      <c r="AC533" t="str">
        <v>上櫃電子通路</v>
      </c>
      <c r="AD533" t="str">
        <v>主要代理SONY與SHARP的CMOS/CIS元件與面板為主</v>
      </c>
      <c r="AE533" t="str">
        <f t="array" ref="AE533:AH533">[1]!'3360.TW-CName,InvestorConferenceDate,DateofMeetingofShareHolders,TradingDate'</f>
        <v>尚立</v>
      </c>
      <c r="AF533" t="str">
        <v>--</v>
      </c>
      <c r="AG533" t="str">
        <v>2022/05/27</v>
      </c>
      <c r="AH533" t="str">
        <v>2022/08/01</v>
      </c>
    </row>
    <row r="534" spans="1:34" x14ac:dyDescent="0.3">
      <c r="A534" t="str">
        <f t="array" ref="A534:J534">[1]!'3444.TW-ID,Name,MarketValue,Capital,NetIncomeGrowthRate,OperIncomeGrowthRate,FinancialStatementsTime,TFXRatio,MonthlyNetSalesYoY,RevenueMonth'</f>
        <v>3444</v>
      </c>
      <c r="B534" t="str">
        <v>利機</v>
      </c>
      <c r="C534" t="str">
        <v>22.6</v>
      </c>
      <c r="D534" t="str">
        <v>3.91</v>
      </c>
      <c r="E534" t="str">
        <v>90.05</v>
      </c>
      <c r="F534" t="str">
        <v>4.41</v>
      </c>
      <c r="G534" t="str">
        <v>2022/03</v>
      </c>
      <c r="H534" t="str">
        <v>-4.32</v>
      </c>
      <c r="I534" t="str">
        <v>-23.63</v>
      </c>
      <c r="J534" t="str">
        <v>2022/06</v>
      </c>
      <c r="K534" t="str">
        <f t="array" ref="K534:T534">[1]!'3444.TW-OperatingProfitRatio,Price,PriceChangeRatio,InOutRatioNumber,Value,YearReturn,MonthReturn,WeekReturn,FinanceBalanceDif,ChipsField2'</f>
        <v>11.61</v>
      </c>
      <c r="L534">
        <v>57.7</v>
      </c>
      <c r="M534">
        <v>1.41</v>
      </c>
      <c r="N534" t="str">
        <v>40.15%</v>
      </c>
      <c r="O534" t="str">
        <v>792萬</v>
      </c>
      <c r="P534" t="str">
        <v>+57.59</v>
      </c>
      <c r="Q534" t="str">
        <v>+13.30</v>
      </c>
      <c r="R534" t="str">
        <v>-0.17</v>
      </c>
      <c r="S534">
        <v>-10</v>
      </c>
      <c r="T534">
        <v>0</v>
      </c>
      <c r="U534">
        <f t="array" ref="U534:AD534">[1]!'3444.TW-ChipsField3,ChipsField1,ChipsField25,CashAndStockDividend,CashDividendYieldRate,ProfitFourSeason,ProfitSingle,CName,ExchangeIndustry,CompanyPos'</f>
        <v>0</v>
      </c>
      <c r="V534">
        <v>63</v>
      </c>
      <c r="W534" t="str">
        <v>2022/07/18</v>
      </c>
      <c r="X534" t="str">
        <v>2.30</v>
      </c>
      <c r="Y534">
        <v>3.99</v>
      </c>
      <c r="Z534" t="str">
        <v>4.05</v>
      </c>
      <c r="AA534" t="str">
        <v>1.30</v>
      </c>
      <c r="AB534" t="str">
        <v>利機</v>
      </c>
      <c r="AC534" t="str">
        <v>上櫃電子通路</v>
      </c>
      <c r="AD534" t="str">
        <v>台灣電子材料通路商</v>
      </c>
      <c r="AE534" t="str">
        <f t="array" ref="AE534:AH534">[1]!'3444.TW-CName,InvestorConferenceDate,DateofMeetingofShareHolders,TradingDate'</f>
        <v>利機</v>
      </c>
      <c r="AF534" t="str">
        <v>2022/07/13</v>
      </c>
      <c r="AG534" t="str">
        <v>2022/06/15</v>
      </c>
      <c r="AH534" t="str">
        <v>2022/08/01</v>
      </c>
    </row>
    <row r="535" spans="1:34" x14ac:dyDescent="0.3">
      <c r="A535" t="str">
        <f t="array" ref="A535:J535">[1]!'6113.TW-ID,Name,MarketValue,Capital,NetIncomeGrowthRate,OperIncomeGrowthRate,FinancialStatementsTime,TFXRatio,MonthlyNetSalesYoY,RevenueMonth'</f>
        <v>6113</v>
      </c>
      <c r="B535" t="str">
        <v>亞矽</v>
      </c>
      <c r="C535" t="str">
        <v>12.6</v>
      </c>
      <c r="D535" t="str">
        <v>5.00</v>
      </c>
      <c r="E535" t="str">
        <v>284.06</v>
      </c>
      <c r="F535" t="str">
        <v>326.88</v>
      </c>
      <c r="G535" t="str">
        <v>2022/03</v>
      </c>
      <c r="H535" t="str">
        <v>-11.78</v>
      </c>
      <c r="I535" t="str">
        <v>1.39</v>
      </c>
      <c r="J535" t="str">
        <v>2022/06</v>
      </c>
      <c r="K535" t="str">
        <f t="array" ref="K535:T535">[1]!'6113.TW-OperatingProfitRatio,Price,PriceChangeRatio,InOutRatioNumber,Value,YearReturn,MonthReturn,WeekReturn,FinanceBalanceDif,ChipsField2'</f>
        <v>4.00</v>
      </c>
      <c r="L535">
        <v>25.15</v>
      </c>
      <c r="M535">
        <v>6.12</v>
      </c>
      <c r="N535" t="str">
        <v>51.67%</v>
      </c>
      <c r="O535" t="str">
        <v>5.40億</v>
      </c>
      <c r="P535" t="str">
        <v>+86.30</v>
      </c>
      <c r="Q535" t="str">
        <v>+25.75</v>
      </c>
      <c r="R535" t="str">
        <v>+20.33</v>
      </c>
      <c r="S535">
        <v>364</v>
      </c>
      <c r="T535">
        <v>0</v>
      </c>
      <c r="U535">
        <f t="array" ref="U535:AD535">[1]!'6113.TW-ChipsField3,ChipsField1,ChipsField25,CashAndStockDividend,CashDividendYieldRate,ProfitFourSeason,ProfitSingle,CName,ExchangeIndustry,CompanyPos'</f>
        <v>0</v>
      </c>
      <c r="V535">
        <v>508</v>
      </c>
      <c r="W535" t="str">
        <v>--</v>
      </c>
      <c r="X535" t="str">
        <v>0.00</v>
      </c>
      <c r="Y535">
        <v>0</v>
      </c>
      <c r="Z535" t="str">
        <v>1.37</v>
      </c>
      <c r="AA535" t="str">
        <v>0.70</v>
      </c>
      <c r="AB535" t="str">
        <v>亞矽</v>
      </c>
      <c r="AC535" t="str">
        <v>上櫃電子通路</v>
      </c>
      <c r="AD535" t="str">
        <v>歐美半導體零件的專業代理商</v>
      </c>
      <c r="AE535" t="str">
        <f t="array" ref="AE535:AH535">[1]!'6113.TW-CName,InvestorConferenceDate,DateofMeetingofShareHolders,TradingDate'</f>
        <v>亞矽</v>
      </c>
      <c r="AF535" t="str">
        <v>--</v>
      </c>
      <c r="AG535" t="str">
        <v>2022/06/23</v>
      </c>
      <c r="AH535" t="str">
        <v>2022/08/01</v>
      </c>
    </row>
    <row r="536" spans="1:34" x14ac:dyDescent="0.3">
      <c r="A536" t="str">
        <f t="array" ref="A536:J536">[1]!'6118.TW-ID,Name,MarketValue,Capital,NetIncomeGrowthRate,OperIncomeGrowthRate,FinancialStatementsTime,TFXRatio,MonthlyNetSalesYoY,RevenueMonth'</f>
        <v>6118</v>
      </c>
      <c r="B536" t="str">
        <v>建達</v>
      </c>
      <c r="C536" t="str">
        <v>41.8</v>
      </c>
      <c r="D536" t="str">
        <v>9.09</v>
      </c>
      <c r="E536" t="str">
        <v>-47.98</v>
      </c>
      <c r="F536" t="str">
        <v>-10.40</v>
      </c>
      <c r="G536" t="str">
        <v>2022/03</v>
      </c>
      <c r="H536" t="str">
        <v>4.59</v>
      </c>
      <c r="I536" t="str">
        <v>16.81</v>
      </c>
      <c r="J536" t="str">
        <v>2022/06</v>
      </c>
      <c r="K536" t="str">
        <f t="array" ref="K536:T536">[1]!'6118.TW-OperatingProfitRatio,Price,PriceChangeRatio,InOutRatioNumber,Value,YearReturn,MonthReturn,WeekReturn,FinanceBalanceDif,ChipsField2'</f>
        <v>0.36</v>
      </c>
      <c r="L536">
        <v>45.95</v>
      </c>
      <c r="M536">
        <v>5.15</v>
      </c>
      <c r="N536" t="str">
        <v>53.87%</v>
      </c>
      <c r="O536" t="str">
        <v>16.8億</v>
      </c>
      <c r="P536" t="str">
        <v>+222.46</v>
      </c>
      <c r="Q536" t="str">
        <v>+67.09</v>
      </c>
      <c r="R536" t="str">
        <v>+14.16</v>
      </c>
      <c r="S536">
        <v>827</v>
      </c>
      <c r="T536">
        <v>0</v>
      </c>
      <c r="U536">
        <f t="array" ref="U536:AD536">[1]!'6118.TW-ChipsField3,ChipsField1,ChipsField25,CashAndStockDividend,CashDividendYieldRate,ProfitFourSeason,ProfitSingle,CName,ExchangeIndustry,CompanyPos'</f>
        <v>72</v>
      </c>
      <c r="V536">
        <v>-68</v>
      </c>
      <c r="W536" t="str">
        <v>--</v>
      </c>
      <c r="X536" t="str">
        <v>0.30</v>
      </c>
      <c r="Y536">
        <v>0.65</v>
      </c>
      <c r="Z536" t="str">
        <v>0.53</v>
      </c>
      <c r="AA536" t="str">
        <v>0.07</v>
      </c>
      <c r="AB536" t="str">
        <v>建達</v>
      </c>
      <c r="AC536" t="str">
        <v>上櫃電子通路</v>
      </c>
      <c r="AD536" t="str">
        <v>代理IT相關產品及消費電子產品之通路商</v>
      </c>
      <c r="AE536" t="str">
        <f t="array" ref="AE536:AH536">[1]!'6118.TW-CName,InvestorConferenceDate,DateofMeetingofShareHolders,TradingDate'</f>
        <v>建達</v>
      </c>
      <c r="AF536" t="str">
        <v>--</v>
      </c>
      <c r="AG536" t="str">
        <v>2022/06/17</v>
      </c>
      <c r="AH536" t="str">
        <v>2022/08/01</v>
      </c>
    </row>
    <row r="537" spans="1:34" x14ac:dyDescent="0.3">
      <c r="A537" t="str">
        <f t="array" ref="A537:J537">[1]!'6154.TW-ID,Name,MarketValue,Capital,NetIncomeGrowthRate,OperIncomeGrowthRate,FinancialStatementsTime,TFXRatio,MonthlyNetSalesYoY,RevenueMonth'</f>
        <v>6154</v>
      </c>
      <c r="B537" t="str">
        <v>順發</v>
      </c>
      <c r="C537" t="str">
        <v>13.0</v>
      </c>
      <c r="D537" t="str">
        <v>8.01</v>
      </c>
      <c r="E537" t="str">
        <v>75.50</v>
      </c>
      <c r="F537" t="str">
        <v>64.77</v>
      </c>
      <c r="G537" t="str">
        <v>2022/03</v>
      </c>
      <c r="H537" t="str">
        <v>-15.80</v>
      </c>
      <c r="I537" t="str">
        <v>-28.52</v>
      </c>
      <c r="J537" t="str">
        <v>2022/06</v>
      </c>
      <c r="K537" t="str">
        <f t="array" ref="K537:T537">[1]!'6154.TW-OperatingProfitRatio,Price,PriceChangeRatio,InOutRatioNumber,Value,YearReturn,MonthReturn,WeekReturn,FinanceBalanceDif,ChipsField2'</f>
        <v>2.39</v>
      </c>
      <c r="L537">
        <v>16.2</v>
      </c>
      <c r="M537">
        <v>0.31</v>
      </c>
      <c r="N537" t="str">
        <v>47.83%</v>
      </c>
      <c r="O537" t="str">
        <v>37.3萬</v>
      </c>
      <c r="P537" t="str">
        <v>-14.04</v>
      </c>
      <c r="Q537" t="str">
        <v>+1.57</v>
      </c>
      <c r="R537" t="str">
        <v>+0.62</v>
      </c>
      <c r="S537">
        <v>0</v>
      </c>
      <c r="T537">
        <v>0</v>
      </c>
      <c r="U537">
        <f t="array" ref="U537:AD537">[1]!'6154.TW-ChipsField3,ChipsField1,ChipsField25,CashAndStockDividend,CashDividendYieldRate,ProfitFourSeason,ProfitSingle,CName,ExchangeIndustry,CompanyPos'</f>
        <v>0</v>
      </c>
      <c r="V537">
        <v>0</v>
      </c>
      <c r="W537" t="str">
        <v>--</v>
      </c>
      <c r="X537" t="str">
        <v>1.20</v>
      </c>
      <c r="Y537">
        <v>7.41</v>
      </c>
      <c r="Z537" t="str">
        <v>1.88</v>
      </c>
      <c r="AA537" t="str">
        <v>0.29</v>
      </c>
      <c r="AB537" t="str">
        <v>順發</v>
      </c>
      <c r="AC537" t="str">
        <v>上櫃電子通路</v>
      </c>
      <c r="AD537" t="str">
        <v>台灣知名3C通路零售商</v>
      </c>
      <c r="AE537" t="str">
        <f t="array" ref="AE537:AH537">[1]!'6154.TW-CName,InvestorConferenceDate,DateofMeetingofShareHolders,TradingDate'</f>
        <v>順發</v>
      </c>
      <c r="AF537" t="str">
        <v>--</v>
      </c>
      <c r="AG537" t="str">
        <v>2022/06/01</v>
      </c>
      <c r="AH537" t="str">
        <v>2022/08/01</v>
      </c>
    </row>
    <row r="538" spans="1:34" x14ac:dyDescent="0.3">
      <c r="A538" t="str">
        <f t="array" ref="A538:J538">[1]!'6227.TW-ID,Name,MarketValue,Capital,NetIncomeGrowthRate,OperIncomeGrowthRate,FinancialStatementsTime,TFXRatio,MonthlyNetSalesYoY,RevenueMonth'</f>
        <v>6227</v>
      </c>
      <c r="B538" t="str">
        <v>茂綸</v>
      </c>
      <c r="C538" t="str">
        <v>28.7</v>
      </c>
      <c r="D538" t="str">
        <v>7.61</v>
      </c>
      <c r="E538" t="str">
        <v>104.44</v>
      </c>
      <c r="F538" t="str">
        <v>87.03</v>
      </c>
      <c r="G538" t="str">
        <v>2022/03</v>
      </c>
      <c r="H538" t="str">
        <v>-19.40</v>
      </c>
      <c r="I538" t="str">
        <v>-3.38</v>
      </c>
      <c r="J538" t="str">
        <v>2022/06</v>
      </c>
      <c r="K538" t="str">
        <f t="array" ref="K538:T538">[1]!'6227.TW-OperatingProfitRatio,Price,PriceChangeRatio,InOutRatioNumber,Value,YearReturn,MonthReturn,WeekReturn,FinanceBalanceDif,ChipsField2'</f>
        <v>4.26</v>
      </c>
      <c r="L538">
        <v>37.700000000000003</v>
      </c>
      <c r="M538">
        <v>0</v>
      </c>
      <c r="N538" t="str">
        <v>58.68%</v>
      </c>
      <c r="O538" t="str">
        <v>467萬</v>
      </c>
      <c r="P538" t="str">
        <v>+28.45</v>
      </c>
      <c r="Q538" t="str">
        <v>+6.35</v>
      </c>
      <c r="R538" t="str">
        <v>+1.62</v>
      </c>
      <c r="S538">
        <v>5</v>
      </c>
      <c r="T538">
        <v>0</v>
      </c>
      <c r="U538">
        <f t="array" ref="U538:AD538">[1]!'6227.TW-ChipsField3,ChipsField1,ChipsField25,CashAndStockDividend,CashDividendYieldRate,ProfitFourSeason,ProfitSingle,CName,ExchangeIndustry,CompanyPos'</f>
        <v>0</v>
      </c>
      <c r="V538">
        <v>22</v>
      </c>
      <c r="W538" t="str">
        <v>--</v>
      </c>
      <c r="X538" t="str">
        <v>3.35</v>
      </c>
      <c r="Y538">
        <v>8.89</v>
      </c>
      <c r="Z538" t="str">
        <v>6.47</v>
      </c>
      <c r="AA538" t="str">
        <v>1.78</v>
      </c>
      <c r="AB538" t="str">
        <v>茂綸</v>
      </c>
      <c r="AC538" t="str">
        <v>上櫃電子通路</v>
      </c>
      <c r="AD538" t="str">
        <v>台灣唯一代理Altair產品線的IC通路商</v>
      </c>
      <c r="AE538" t="str">
        <f t="array" ref="AE538:AH538">[1]!'6227.TW-CName,InvestorConferenceDate,DateofMeetingofShareHolders,TradingDate'</f>
        <v>茂綸</v>
      </c>
      <c r="AF538" t="str">
        <v>--</v>
      </c>
      <c r="AG538" t="str">
        <v>2022/05/26</v>
      </c>
      <c r="AH538" t="str">
        <v>2022/08/01</v>
      </c>
    </row>
    <row r="539" spans="1:34" x14ac:dyDescent="0.3">
      <c r="A539" t="str">
        <f t="array" ref="A539:J539">[1]!'6265.TW-ID,Name,MarketValue,Capital,NetIncomeGrowthRate,OperIncomeGrowthRate,FinancialStatementsTime,TFXRatio,MonthlyNetSalesYoY,RevenueMonth'</f>
        <v>6265</v>
      </c>
      <c r="B539" t="str">
        <v>方土昶</v>
      </c>
      <c r="C539" t="str">
        <v>13.8</v>
      </c>
      <c r="D539" t="str">
        <v>11.82</v>
      </c>
      <c r="E539" t="str">
        <v>111.54</v>
      </c>
      <c r="F539" t="str">
        <v>-135.82</v>
      </c>
      <c r="G539" t="str">
        <v>2022/03</v>
      </c>
      <c r="H539" t="str">
        <v>25.71</v>
      </c>
      <c r="I539" t="str">
        <v>21.94</v>
      </c>
      <c r="J539" t="str">
        <v>2022/06</v>
      </c>
      <c r="K539" t="str">
        <f t="array" ref="K539:T539">[1]!'6265.TW-OperatingProfitRatio,Price,PriceChangeRatio,InOutRatioNumber,Value,YearReturn,MonthReturn,WeekReturn,FinanceBalanceDif,ChipsField2'</f>
        <v>-0.43</v>
      </c>
      <c r="L539">
        <v>11.65</v>
      </c>
      <c r="M539">
        <v>0</v>
      </c>
      <c r="N539" t="str">
        <v>55.59%</v>
      </c>
      <c r="O539" t="str">
        <v>741萬</v>
      </c>
      <c r="P539" t="str">
        <v>+12.02</v>
      </c>
      <c r="Q539" t="str">
        <v>+12.56</v>
      </c>
      <c r="R539" t="str">
        <v>-2.51</v>
      </c>
      <c r="S539">
        <v>13</v>
      </c>
      <c r="T539">
        <v>0</v>
      </c>
      <c r="U539">
        <f t="array" ref="U539:AD539">[1]!'6265.TW-ChipsField3,ChipsField1,ChipsField25,CashAndStockDividend,CashDividendYieldRate,ProfitFourSeason,ProfitSingle,CName,ExchangeIndustry,CompanyPos'</f>
        <v>0</v>
      </c>
      <c r="V539">
        <v>257</v>
      </c>
      <c r="W539" t="str">
        <v>--</v>
      </c>
      <c r="X539" t="str">
        <v>0.00</v>
      </c>
      <c r="Y539">
        <v>0</v>
      </c>
      <c r="Z539" t="str">
        <v>0.69</v>
      </c>
      <c r="AA539" t="str">
        <v>0.09</v>
      </c>
      <c r="AB539" t="str">
        <v>方土昶</v>
      </c>
      <c r="AC539" t="str">
        <v>上櫃電子通路</v>
      </c>
      <c r="AD539" t="str">
        <v>IC零組件通路商，並跨足保健食品</v>
      </c>
      <c r="AE539" t="str">
        <f t="array" ref="AE539:AH539">[1]!'6265.TW-CName,InvestorConferenceDate,DateofMeetingofShareHolders,TradingDate'</f>
        <v>方土昶</v>
      </c>
      <c r="AF539" t="str">
        <v>--</v>
      </c>
      <c r="AG539" t="str">
        <v>2022/06/16</v>
      </c>
      <c r="AH539" t="str">
        <v>2022/08/01</v>
      </c>
    </row>
    <row r="540" spans="1:34" x14ac:dyDescent="0.3">
      <c r="A540" t="str">
        <f t="array" ref="A540:J540">[1]!'6270.TW-ID,Name,MarketValue,Capital,NetIncomeGrowthRate,OperIncomeGrowthRate,FinancialStatementsTime,TFXRatio,MonthlyNetSalesYoY,RevenueMonth'</f>
        <v>6270</v>
      </c>
      <c r="B540" t="str">
        <v>倍微</v>
      </c>
      <c r="C540" t="str">
        <v>16.2</v>
      </c>
      <c r="D540" t="str">
        <v>7.21</v>
      </c>
      <c r="E540" t="str">
        <v>40.21</v>
      </c>
      <c r="F540" t="str">
        <v>41.01</v>
      </c>
      <c r="G540" t="str">
        <v>2022/03</v>
      </c>
      <c r="H540" t="str">
        <v>8.60</v>
      </c>
      <c r="I540" t="str">
        <v>11.69</v>
      </c>
      <c r="J540" t="str">
        <v>2022/06</v>
      </c>
      <c r="K540" t="str">
        <f t="array" ref="K540:T540">[1]!'6270.TW-OperatingProfitRatio,Price,PriceChangeRatio,InOutRatioNumber,Value,YearReturn,MonthReturn,WeekReturn,FinanceBalanceDif,ChipsField2'</f>
        <v>4.18</v>
      </c>
      <c r="L540">
        <v>22.4</v>
      </c>
      <c r="M540">
        <v>0.9</v>
      </c>
      <c r="N540" t="str">
        <v>78.95%</v>
      </c>
      <c r="O540" t="str">
        <v>89.4萬</v>
      </c>
      <c r="P540" t="str">
        <v>+23.30</v>
      </c>
      <c r="Q540" t="str">
        <v>+7.54</v>
      </c>
      <c r="R540" t="str">
        <v>+2.36</v>
      </c>
      <c r="S540">
        <v>-2</v>
      </c>
      <c r="T540">
        <v>0</v>
      </c>
      <c r="U540">
        <f t="array" ref="U540:AD540">[1]!'6270.TW-ChipsField3,ChipsField1,ChipsField25,CashAndStockDividend,CashDividendYieldRate,ProfitFourSeason,ProfitSingle,CName,ExchangeIndustry,CompanyPos'</f>
        <v>0</v>
      </c>
      <c r="V540">
        <v>-10</v>
      </c>
      <c r="W540" t="str">
        <v>2022/07/28</v>
      </c>
      <c r="X540" t="str">
        <v>2.00</v>
      </c>
      <c r="Y540">
        <v>8.93</v>
      </c>
      <c r="Z540" t="str">
        <v>2.53</v>
      </c>
      <c r="AA540" t="str">
        <v>0.59</v>
      </c>
      <c r="AB540" t="str">
        <v>倍微</v>
      </c>
      <c r="AC540" t="str">
        <v>上櫃電子通路</v>
      </c>
      <c r="AD540" t="str">
        <v>台灣最大編碼型快閃記憶體(Nor Flash)通路商</v>
      </c>
      <c r="AE540" t="str">
        <f t="array" ref="AE540:AH540">[1]!'6270.TW-CName,InvestorConferenceDate,DateofMeetingofShareHolders,TradingDate'</f>
        <v>倍微</v>
      </c>
      <c r="AF540" t="str">
        <v>--</v>
      </c>
      <c r="AG540" t="str">
        <v>2022/06/09</v>
      </c>
      <c r="AH540" t="str">
        <v>2022/08/01</v>
      </c>
    </row>
    <row r="541" spans="1:34" x14ac:dyDescent="0.3">
      <c r="A541" t="str">
        <f t="array" ref="A541:J541">[1]!'8032.TW-ID,Name,MarketValue,Capital,NetIncomeGrowthRate,OperIncomeGrowthRate,FinancialStatementsTime,TFXRatio,MonthlyNetSalesYoY,RevenueMonth'</f>
        <v>8032</v>
      </c>
      <c r="B541" t="str">
        <v>光菱</v>
      </c>
      <c r="C541" t="str">
        <v>18.2</v>
      </c>
      <c r="D541" t="str">
        <v>5.18</v>
      </c>
      <c r="E541" t="str">
        <v>136.14</v>
      </c>
      <c r="F541" t="str">
        <v>95.66</v>
      </c>
      <c r="G541" t="str">
        <v>2022/03</v>
      </c>
      <c r="H541" t="str">
        <v>3.87</v>
      </c>
      <c r="I541" t="str">
        <v>30.17</v>
      </c>
      <c r="J541" t="str">
        <v>2022/06</v>
      </c>
      <c r="K541" t="str">
        <f t="array" ref="K541:T541">[1]!'8032.TW-OperatingProfitRatio,Price,PriceChangeRatio,InOutRatioNumber,Value,YearReturn,MonthReturn,WeekReturn,FinanceBalanceDif,ChipsField2'</f>
        <v>6.05</v>
      </c>
      <c r="L541">
        <v>35.1</v>
      </c>
      <c r="M541">
        <v>0.28999999999999998</v>
      </c>
      <c r="N541" t="str">
        <v>38.50%</v>
      </c>
      <c r="O541" t="str">
        <v>7501萬</v>
      </c>
      <c r="P541" t="str">
        <v>+52.40</v>
      </c>
      <c r="Q541" t="str">
        <v>+25.81</v>
      </c>
      <c r="R541" t="str">
        <v>+12.50</v>
      </c>
      <c r="S541">
        <v>62</v>
      </c>
      <c r="T541">
        <v>0</v>
      </c>
      <c r="U541">
        <f t="array" ref="U541:AD541">[1]!'8032.TW-ChipsField3,ChipsField1,ChipsField25,CashAndStockDividend,CashDividendYieldRate,ProfitFourSeason,ProfitSingle,CName,ExchangeIndustry,CompanyPos'</f>
        <v>0</v>
      </c>
      <c r="V541">
        <v>191</v>
      </c>
      <c r="W541" t="str">
        <v>--</v>
      </c>
      <c r="X541" t="str">
        <v>1.80</v>
      </c>
      <c r="Y541">
        <v>5.13</v>
      </c>
      <c r="Z541" t="str">
        <v>3.51</v>
      </c>
      <c r="AA541" t="str">
        <v>1.04</v>
      </c>
      <c r="AB541" t="str">
        <v>光菱</v>
      </c>
      <c r="AC541" t="str">
        <v>上櫃電子通路</v>
      </c>
      <c r="AD541" t="str">
        <v>瑞薩、三菱等日系原廠產品在台代理商</v>
      </c>
      <c r="AE541" t="str">
        <f t="array" ref="AE541:AH541">[1]!'8032.TW-CName,InvestorConferenceDate,DateofMeetingofShareHolders,TradingDate'</f>
        <v>光菱</v>
      </c>
      <c r="AF541" t="str">
        <v>--</v>
      </c>
      <c r="AG541" t="str">
        <v>2022/06/15</v>
      </c>
      <c r="AH541" t="str">
        <v>2022/08/01</v>
      </c>
    </row>
    <row r="542" spans="1:34" x14ac:dyDescent="0.3">
      <c r="A542" t="str">
        <f t="array" ref="A542:J542">[1]!'8067.TW-ID,Name,MarketValue,Capital,NetIncomeGrowthRate,OperIncomeGrowthRate,FinancialStatementsTime,TFXRatio,MonthlyNetSalesYoY,RevenueMonth'</f>
        <v>8067</v>
      </c>
      <c r="B542" t="str">
        <v>志旭</v>
      </c>
      <c r="C542" t="str">
        <v>2.6</v>
      </c>
      <c r="D542" t="str">
        <v>3.00</v>
      </c>
      <c r="E542" t="str">
        <v>79.52</v>
      </c>
      <c r="F542" t="str">
        <v>67.95</v>
      </c>
      <c r="G542" t="str">
        <v>2022/03</v>
      </c>
      <c r="H542" t="str">
        <v>-10.57</v>
      </c>
      <c r="I542" t="str">
        <v>-9.98</v>
      </c>
      <c r="J542" t="str">
        <v>2022/06</v>
      </c>
      <c r="K542" t="str">
        <f t="array" ref="K542:T542">[1]!'8067.TW-OperatingProfitRatio,Price,PriceChangeRatio,InOutRatioNumber,Value,YearReturn,MonthReturn,WeekReturn,FinanceBalanceDif,ChipsField2'</f>
        <v>-3.48</v>
      </c>
      <c r="L542">
        <v>8.7899999999999991</v>
      </c>
      <c r="M542">
        <v>-0.68</v>
      </c>
      <c r="N542" t="str">
        <v>20.37%</v>
      </c>
      <c r="O542" t="str">
        <v>95.8萬</v>
      </c>
      <c r="P542" t="str">
        <v>-9.75</v>
      </c>
      <c r="Q542" t="str">
        <v>+6.67</v>
      </c>
      <c r="R542" t="str">
        <v>+1.62</v>
      </c>
      <c r="S542">
        <v>0</v>
      </c>
      <c r="T542">
        <v>0</v>
      </c>
      <c r="U542">
        <f t="array" ref="U542:AD542">[1]!'8067.TW-ChipsField3,ChipsField1,ChipsField25,CashAndStockDividend,CashDividendYieldRate,ProfitFourSeason,ProfitSingle,CName,ExchangeIndustry,CompanyPos'</f>
        <v>0</v>
      </c>
      <c r="V542">
        <v>-1</v>
      </c>
      <c r="W542" t="str">
        <v>--</v>
      </c>
      <c r="X542" t="str">
        <v>0.00</v>
      </c>
      <c r="Y542">
        <v>0</v>
      </c>
      <c r="Z542" t="str">
        <v>-0.75</v>
      </c>
      <c r="AA542" t="str">
        <v>-0.06</v>
      </c>
      <c r="AB542" t="str">
        <v>志旭</v>
      </c>
      <c r="AC542" t="str">
        <v>上櫃電子通路</v>
      </c>
      <c r="AD542" t="str">
        <v>主要代理及銷售儲存媒體、多媒體及電腦系統產品等</v>
      </c>
      <c r="AE542" t="str">
        <f t="array" ref="AE542:AH542">[1]!'8067.TW-CName,InvestorConferenceDate,DateofMeetingofShareHolders,TradingDate'</f>
        <v>志旭</v>
      </c>
      <c r="AF542" t="str">
        <v>--</v>
      </c>
      <c r="AG542" t="str">
        <v>2022/06/14</v>
      </c>
      <c r="AH542" t="str">
        <v>2022/08/01</v>
      </c>
    </row>
    <row r="543" spans="1:34" x14ac:dyDescent="0.3">
      <c r="A543" t="str">
        <f t="array" ref="A543:J543">[1]!'8068.TW-ID,Name,MarketValue,Capital,NetIncomeGrowthRate,OperIncomeGrowthRate,FinancialStatementsTime,TFXRatio,MonthlyNetSalesYoY,RevenueMonth'</f>
        <v>8068</v>
      </c>
      <c r="B543" t="str">
        <v>全達</v>
      </c>
      <c r="C543" t="str">
        <v>25.7</v>
      </c>
      <c r="D543" t="str">
        <v>7.67</v>
      </c>
      <c r="E543" t="str">
        <v>133.62</v>
      </c>
      <c r="F543" t="str">
        <v>76.83</v>
      </c>
      <c r="G543" t="str">
        <v>2022/03</v>
      </c>
      <c r="H543" t="str">
        <v>192.82</v>
      </c>
      <c r="I543" t="str">
        <v>1067.97</v>
      </c>
      <c r="J543" t="str">
        <v>2022/06</v>
      </c>
      <c r="K543" t="str">
        <f t="array" ref="K543:T543">[1]!'8068.TW-OperatingProfitRatio,Price,PriceChangeRatio,InOutRatioNumber,Value,YearReturn,MonthReturn,WeekReturn,FinanceBalanceDif,ChipsField2'</f>
        <v>-0.77</v>
      </c>
      <c r="L543">
        <v>33.549999999999997</v>
      </c>
      <c r="M543">
        <v>10</v>
      </c>
      <c r="N543" t="str">
        <v>80.10%</v>
      </c>
      <c r="O543" t="str">
        <v>1946萬</v>
      </c>
      <c r="P543" t="str">
        <v>+68.17</v>
      </c>
      <c r="Q543" t="str">
        <v>+28.30</v>
      </c>
      <c r="R543" t="str">
        <v>+14.51</v>
      </c>
      <c r="S543">
        <v>0</v>
      </c>
      <c r="T543">
        <v>0</v>
      </c>
      <c r="U543">
        <f t="array" ref="U543:AD543">[1]!'8068.TW-ChipsField3,ChipsField1,ChipsField25,CashAndStockDividend,CashDividendYieldRate,ProfitFourSeason,ProfitSingle,CName,ExchangeIndustry,CompanyPos'</f>
        <v>0</v>
      </c>
      <c r="V543">
        <v>38</v>
      </c>
      <c r="W543" t="str">
        <v>--</v>
      </c>
      <c r="X543" t="str">
        <v>0.00</v>
      </c>
      <c r="Y543">
        <v>0</v>
      </c>
      <c r="Z543" t="str">
        <v>-0.35</v>
      </c>
      <c r="AA543" t="str">
        <v>0.00</v>
      </c>
      <c r="AB543" t="str">
        <v>全達</v>
      </c>
      <c r="AC543" t="str">
        <v>上櫃電子通路</v>
      </c>
      <c r="AD543" t="str">
        <v>威盛旗下IC零組件通路商</v>
      </c>
      <c r="AE543" t="str">
        <f t="array" ref="AE543:AH543">[1]!'8068.TW-CName,InvestorConferenceDate,DateofMeetingofShareHolders,TradingDate'</f>
        <v>全達</v>
      </c>
      <c r="AF543" t="str">
        <v>--</v>
      </c>
      <c r="AG543" t="str">
        <v>2022/06/29</v>
      </c>
      <c r="AH543" t="str">
        <v>2022/08/01</v>
      </c>
    </row>
    <row r="544" spans="1:34" x14ac:dyDescent="0.3">
      <c r="A544" t="str">
        <f t="array" ref="A544:J544">[1]!'8084.TW-ID,Name,MarketValue,Capital,NetIncomeGrowthRate,OperIncomeGrowthRate,FinancialStatementsTime,TFXRatio,MonthlyNetSalesYoY,RevenueMonth'</f>
        <v>8084</v>
      </c>
      <c r="B544" t="str">
        <v>巨虹</v>
      </c>
      <c r="C544" t="str">
        <v>56.4</v>
      </c>
      <c r="D544" t="str">
        <v>6.95</v>
      </c>
      <c r="E544" t="str">
        <v>1629.04</v>
      </c>
      <c r="F544" t="str">
        <v>1071.55</v>
      </c>
      <c r="G544" t="str">
        <v>2022/03</v>
      </c>
      <c r="H544" t="str">
        <v>29.48</v>
      </c>
      <c r="I544" t="str">
        <v>19.37</v>
      </c>
      <c r="J544" t="str">
        <v>2022/06</v>
      </c>
      <c r="K544" t="str">
        <f t="array" ref="K544:T544">[1]!'8084.TW-OperatingProfitRatio,Price,PriceChangeRatio,InOutRatioNumber,Value,YearReturn,MonthReturn,WeekReturn,FinanceBalanceDif,ChipsField2'</f>
        <v>8.54</v>
      </c>
      <c r="L544">
        <v>81.099999999999994</v>
      </c>
      <c r="M544">
        <v>-2.64</v>
      </c>
      <c r="N544" t="str">
        <v>5.95%</v>
      </c>
      <c r="O544" t="str">
        <v>702萬</v>
      </c>
      <c r="P544" t="str">
        <v>+5.87</v>
      </c>
      <c r="Q544" t="str">
        <v>-3.68</v>
      </c>
      <c r="R544" t="str">
        <v>-1.34</v>
      </c>
      <c r="S544">
        <v>0</v>
      </c>
      <c r="T544">
        <v>0</v>
      </c>
      <c r="U544">
        <f t="array" ref="U544:AD544">[1]!'8084.TW-ChipsField3,ChipsField1,ChipsField25,CashAndStockDividend,CashDividendYieldRate,ProfitFourSeason,ProfitSingle,CName,ExchangeIndustry,CompanyPos'</f>
        <v>0</v>
      </c>
      <c r="V544">
        <v>-2</v>
      </c>
      <c r="W544" t="str">
        <v>--</v>
      </c>
      <c r="X544" t="str">
        <v>0.00</v>
      </c>
      <c r="Y544">
        <v>0</v>
      </c>
      <c r="Z544" t="str">
        <v>0.00</v>
      </c>
      <c r="AA544" t="str">
        <v>0.76</v>
      </c>
      <c r="AB544" t="str">
        <v>巨虹</v>
      </c>
      <c r="AC544" t="str">
        <v>上櫃電子通路</v>
      </c>
      <c r="AD544" t="str">
        <v>記憶卡為主營收項，並轉型為手機資安系統設計商</v>
      </c>
      <c r="AE544" t="str">
        <f t="array" ref="AE544:AH544">[1]!'8084.TW-CName,InvestorConferenceDate,DateofMeetingofShareHolders,TradingDate'</f>
        <v>巨虹</v>
      </c>
      <c r="AF544" t="str">
        <v>--</v>
      </c>
      <c r="AG544" t="str">
        <v>2022/09/13</v>
      </c>
      <c r="AH544" t="str">
        <v>2022/08/01</v>
      </c>
    </row>
    <row r="545" spans="1:34" x14ac:dyDescent="0.3">
      <c r="A545" t="str">
        <f t="array" ref="A545:J545">[1]!'8096.TW-ID,Name,MarketValue,Capital,NetIncomeGrowthRate,OperIncomeGrowthRate,FinancialStatementsTime,TFXRatio,MonthlyNetSalesYoY,RevenueMonth'</f>
        <v>8096</v>
      </c>
      <c r="B545" t="str">
        <v>擎亞</v>
      </c>
      <c r="C545" t="str">
        <v>19.5</v>
      </c>
      <c r="D545" t="str">
        <v>14.53</v>
      </c>
      <c r="E545" t="str">
        <v>150.36</v>
      </c>
      <c r="F545" t="str">
        <v>62.64</v>
      </c>
      <c r="G545" t="str">
        <v>2022/03</v>
      </c>
      <c r="H545" t="str">
        <v>-15.59</v>
      </c>
      <c r="I545" t="str">
        <v>-33.76</v>
      </c>
      <c r="J545" t="str">
        <v>2022/06</v>
      </c>
      <c r="K545" t="str">
        <f t="array" ref="K545:T545">[1]!'8096.TW-OperatingProfitRatio,Price,PriceChangeRatio,InOutRatioNumber,Value,YearReturn,MonthReturn,WeekReturn,FinanceBalanceDif,ChipsField2'</f>
        <v>1.26</v>
      </c>
      <c r="L545">
        <v>13.45</v>
      </c>
      <c r="M545">
        <v>3.07</v>
      </c>
      <c r="N545" t="str">
        <v>59.06%</v>
      </c>
      <c r="O545" t="str">
        <v>1538萬</v>
      </c>
      <c r="P545" t="str">
        <v>-6.83</v>
      </c>
      <c r="Q545" t="str">
        <v>+4.26</v>
      </c>
      <c r="R545" t="str">
        <v>+1.89</v>
      </c>
      <c r="S545">
        <v>-28</v>
      </c>
      <c r="T545">
        <v>0</v>
      </c>
      <c r="U545">
        <f t="array" ref="U545:AD545">[1]!'8096.TW-ChipsField3,ChipsField1,ChipsField25,CashAndStockDividend,CashDividendYieldRate,ProfitFourSeason,ProfitSingle,CName,ExchangeIndustry,CompanyPos'</f>
        <v>0</v>
      </c>
      <c r="V545">
        <v>244</v>
      </c>
      <c r="W545" t="str">
        <v>--</v>
      </c>
      <c r="X545" t="str">
        <v>0.50</v>
      </c>
      <c r="Y545">
        <v>3.72</v>
      </c>
      <c r="Z545" t="str">
        <v>1.58</v>
      </c>
      <c r="AA545" t="str">
        <v>0.73</v>
      </c>
      <c r="AB545" t="str">
        <v>擎亞</v>
      </c>
      <c r="AC545" t="str">
        <v>上櫃電子通路</v>
      </c>
      <c r="AD545" t="str">
        <v>為韓國三星在台灣IC設計服務之主要合作夥伴</v>
      </c>
      <c r="AE545" t="str">
        <f t="array" ref="AE545:AH545">[1]!'8096.TW-CName,InvestorConferenceDate,DateofMeetingofShareHolders,TradingDate'</f>
        <v>擎亞</v>
      </c>
      <c r="AF545" t="str">
        <v>--</v>
      </c>
      <c r="AG545" t="str">
        <v>2022/06/24</v>
      </c>
      <c r="AH545" t="str">
        <v>2022/08/01</v>
      </c>
    </row>
    <row r="546" spans="1:34" x14ac:dyDescent="0.3">
      <c r="A546" t="str">
        <f t="array" ref="A546:J546">[1]!'3147.TW-ID,Name,MarketValue,Capital,NetIncomeGrowthRate,OperIncomeGrowthRate,FinancialStatementsTime,TFXRatio,MonthlyNetSalesYoY,RevenueMonth'</f>
        <v>3147</v>
      </c>
      <c r="B546" t="str">
        <v>大綜</v>
      </c>
      <c r="C546" t="str">
        <v>18.7</v>
      </c>
      <c r="D546" t="str">
        <v>3.90</v>
      </c>
      <c r="E546" t="str">
        <v>24.50</v>
      </c>
      <c r="F546" t="str">
        <v>-10.63</v>
      </c>
      <c r="G546" t="str">
        <v>2022/03</v>
      </c>
      <c r="H546" t="str">
        <v>10.68</v>
      </c>
      <c r="I546" t="str">
        <v>4.98</v>
      </c>
      <c r="J546" t="str">
        <v>2022/06</v>
      </c>
      <c r="K546" t="str">
        <f t="array" ref="K546:T546">[1]!'3147.TW-OperatingProfitRatio,Price,PriceChangeRatio,InOutRatioNumber,Value,YearReturn,MonthReturn,WeekReturn,FinanceBalanceDif,ChipsField2'</f>
        <v>7.36</v>
      </c>
      <c r="L546">
        <v>47.95</v>
      </c>
      <c r="M546">
        <v>9.98</v>
      </c>
      <c r="N546" t="str">
        <v>79.39%</v>
      </c>
      <c r="O546" t="str">
        <v>6935萬</v>
      </c>
      <c r="P546" t="str">
        <v>-8.52</v>
      </c>
      <c r="Q546" t="str">
        <v>+17.52</v>
      </c>
      <c r="R546" t="str">
        <v>+7.51</v>
      </c>
      <c r="S546">
        <v>3</v>
      </c>
      <c r="T546">
        <v>0</v>
      </c>
      <c r="U546">
        <f t="array" ref="U546:AD546">[1]!'3147.TW-ChipsField3,ChipsField1,ChipsField25,CashAndStockDividend,CashDividendYieldRate,ProfitFourSeason,ProfitSingle,CName,ExchangeIndustry,CompanyPos'</f>
        <v>0</v>
      </c>
      <c r="V546">
        <v>1</v>
      </c>
      <c r="W546" t="str">
        <v>2022/07/19</v>
      </c>
      <c r="X546" t="str">
        <v>4.00</v>
      </c>
      <c r="Y546">
        <v>8.34</v>
      </c>
      <c r="Z546" t="str">
        <v>5.22</v>
      </c>
      <c r="AA546" t="str">
        <v>1.60</v>
      </c>
      <c r="AB546" t="str">
        <v>大綜電腦</v>
      </c>
      <c r="AC546" t="str">
        <v>上櫃資訊服務</v>
      </c>
      <c r="AD546" t="str">
        <v>電腦軟硬體設備代理銷售及系統整合商</v>
      </c>
      <c r="AE546" t="str">
        <f t="array" ref="AE546:AH546">[1]!'3147.TW-CName,InvestorConferenceDate,DateofMeetingofShareHolders,TradingDate'</f>
        <v>大綜電腦</v>
      </c>
      <c r="AF546" t="str">
        <v>2021/10/07</v>
      </c>
      <c r="AG546" t="str">
        <v>2022/06/14</v>
      </c>
      <c r="AH546" t="str">
        <v>2022/08/01</v>
      </c>
    </row>
    <row r="547" spans="1:34" x14ac:dyDescent="0.3">
      <c r="A547" t="str">
        <f t="array" ref="A547:J547">[1]!'3570.TW-ID,Name,MarketValue,Capital,NetIncomeGrowthRate,OperIncomeGrowthRate,FinancialStatementsTime,TFXRatio,MonthlyNetSalesYoY,RevenueMonth'</f>
        <v>3570</v>
      </c>
      <c r="B547" t="str">
        <v>大塚</v>
      </c>
      <c r="C547" t="str">
        <v>15.5</v>
      </c>
      <c r="D547" t="str">
        <v>1.71</v>
      </c>
      <c r="E547" t="str">
        <v>50.42</v>
      </c>
      <c r="F547" t="str">
        <v>69.87</v>
      </c>
      <c r="G547" t="str">
        <v>2022/03</v>
      </c>
      <c r="H547" t="str">
        <v>1.38</v>
      </c>
      <c r="I547" t="str">
        <v>31.84</v>
      </c>
      <c r="J547" t="str">
        <v>2022/06</v>
      </c>
      <c r="K547" t="str">
        <f t="array" ref="K547:T547">[1]!'3570.TW-OperatingProfitRatio,Price,PriceChangeRatio,InOutRatioNumber,Value,YearReturn,MonthReturn,WeekReturn,FinanceBalanceDif,ChipsField2'</f>
        <v>16.74</v>
      </c>
      <c r="L547">
        <v>90.4</v>
      </c>
      <c r="M547">
        <v>1.57</v>
      </c>
      <c r="N547" t="str">
        <v>89.74%</v>
      </c>
      <c r="O547" t="str">
        <v>352萬</v>
      </c>
      <c r="P547" t="str">
        <v>+38.71</v>
      </c>
      <c r="Q547" t="str">
        <v>+13.71</v>
      </c>
      <c r="R547" t="str">
        <v>+3.08</v>
      </c>
      <c r="S547">
        <v>0</v>
      </c>
      <c r="T547">
        <v>0</v>
      </c>
      <c r="U547">
        <f t="array" ref="U547:AD547">[1]!'3570.TW-ChipsField3,ChipsField1,ChipsField25,CashAndStockDividend,CashDividendYieldRate,ProfitFourSeason,ProfitSingle,CName,ExchangeIndustry,CompanyPos'</f>
        <v>0</v>
      </c>
      <c r="V547">
        <v>0</v>
      </c>
      <c r="W547" t="str">
        <v>2022/06/30</v>
      </c>
      <c r="X547" t="str">
        <v>6.00</v>
      </c>
      <c r="Y547">
        <v>6.64</v>
      </c>
      <c r="Z547" t="str">
        <v>9.29</v>
      </c>
      <c r="AA547" t="str">
        <v>2.34</v>
      </c>
      <c r="AB547" t="str">
        <v>大塚</v>
      </c>
      <c r="AC547" t="str">
        <v>上櫃資訊服務</v>
      </c>
      <c r="AD547" t="str">
        <v>工程繪圖CAD/CAM/CAE/CAID軟體代理商</v>
      </c>
      <c r="AE547" t="str">
        <f t="array" ref="AE547:AH547">[1]!'3570.TW-CName,InvestorConferenceDate,DateofMeetingofShareHolders,TradingDate'</f>
        <v>大塚</v>
      </c>
      <c r="AF547" t="str">
        <v>--</v>
      </c>
      <c r="AG547" t="str">
        <v>2022/06/21</v>
      </c>
      <c r="AH547" t="str">
        <v>2022/08/01</v>
      </c>
    </row>
    <row r="548" spans="1:34" x14ac:dyDescent="0.3">
      <c r="A548" t="str">
        <f t="array" ref="A548:J548">[1]!'4953.TW-ID,Name,MarketValue,Capital,NetIncomeGrowthRate,OperIncomeGrowthRate,FinancialStatementsTime,TFXRatio,MonthlyNetSalesYoY,RevenueMonth'</f>
        <v>4953</v>
      </c>
      <c r="B548" t="str">
        <v>緯軟</v>
      </c>
      <c r="C548" t="str">
        <v>52.5</v>
      </c>
      <c r="D548" t="str">
        <v>6.69</v>
      </c>
      <c r="E548" t="str">
        <v>1.69</v>
      </c>
      <c r="F548" t="str">
        <v>4.80</v>
      </c>
      <c r="G548" t="str">
        <v>2022/03</v>
      </c>
      <c r="H548" t="str">
        <v>2.66</v>
      </c>
      <c r="I548" t="str">
        <v>31.59</v>
      </c>
      <c r="J548" t="str">
        <v>2022/06</v>
      </c>
      <c r="K548" t="str">
        <f t="array" ref="K548:T548">[1]!'4953.TW-OperatingProfitRatio,Price,PriceChangeRatio,InOutRatioNumber,Value,YearReturn,MonthReturn,WeekReturn,FinanceBalanceDif,ChipsField2'</f>
        <v>6.73</v>
      </c>
      <c r="L548">
        <v>78.400000000000006</v>
      </c>
      <c r="M548">
        <v>0.38</v>
      </c>
      <c r="N548" t="str">
        <v>25.61%</v>
      </c>
      <c r="O548" t="str">
        <v>647萬</v>
      </c>
      <c r="P548" t="str">
        <v>-11.69</v>
      </c>
      <c r="Q548" t="str">
        <v>+15.22</v>
      </c>
      <c r="R548" t="str">
        <v>+1.82</v>
      </c>
      <c r="S548">
        <v>16</v>
      </c>
      <c r="T548">
        <v>0</v>
      </c>
      <c r="U548">
        <f t="array" ref="U548:AD548">[1]!'4953.TW-ChipsField3,ChipsField1,ChipsField25,CashAndStockDividend,CashDividendYieldRate,ProfitFourSeason,ProfitSingle,CName,ExchangeIndustry,CompanyPos'</f>
        <v>-11</v>
      </c>
      <c r="V548">
        <v>24</v>
      </c>
      <c r="W548" t="str">
        <v>2022/07/19</v>
      </c>
      <c r="X548" t="str">
        <v>4.59</v>
      </c>
      <c r="Y548">
        <v>5.85</v>
      </c>
      <c r="Z548" t="str">
        <v>6.93</v>
      </c>
      <c r="AA548" t="str">
        <v>1.66</v>
      </c>
      <c r="AB548" t="str">
        <v>緯軟</v>
      </c>
      <c r="AC548" t="str">
        <v>上櫃資訊服務</v>
      </c>
      <c r="AD548" t="str">
        <v>緯創集團旗下台灣最大資訊委外服務廠商</v>
      </c>
      <c r="AE548" t="str">
        <f t="array" ref="AE548:AH548">[1]!'4953.TW-CName,InvestorConferenceDate,DateofMeetingofShareHolders,TradingDate'</f>
        <v>緯軟</v>
      </c>
      <c r="AF548" t="str">
        <v>2022/02/14</v>
      </c>
      <c r="AG548" t="str">
        <v>2022/05/26</v>
      </c>
      <c r="AH548" t="str">
        <v>2022/08/01</v>
      </c>
    </row>
    <row r="549" spans="1:34" x14ac:dyDescent="0.3">
      <c r="A549" t="str">
        <f t="array" ref="A549:J549">[1]!'5201.TW-ID,Name,MarketValue,Capital,NetIncomeGrowthRate,OperIncomeGrowthRate,FinancialStatementsTime,TFXRatio,MonthlyNetSalesYoY,RevenueMonth'</f>
        <v>5201</v>
      </c>
      <c r="B549" t="str">
        <v>凱衛</v>
      </c>
      <c r="C549" t="str">
        <v>9.5</v>
      </c>
      <c r="D549" t="str">
        <v>3.07</v>
      </c>
      <c r="E549" t="str">
        <v>-93.96</v>
      </c>
      <c r="F549" t="str">
        <v>-242.61</v>
      </c>
      <c r="G549" t="str">
        <v>2022/03</v>
      </c>
      <c r="H549" t="str">
        <v>44.68</v>
      </c>
      <c r="I549" t="str">
        <v>23.96</v>
      </c>
      <c r="J549" t="str">
        <v>2022/06</v>
      </c>
      <c r="K549" t="str">
        <f t="array" ref="K549:T549">[1]!'5201.TW-OperatingProfitRatio,Price,PriceChangeRatio,InOutRatioNumber,Value,YearReturn,MonthReturn,WeekReturn,FinanceBalanceDif,ChipsField2'</f>
        <v>-9.51</v>
      </c>
      <c r="L549">
        <v>30.9</v>
      </c>
      <c r="M549">
        <v>-0.32</v>
      </c>
      <c r="N549" t="str">
        <v>16.67%</v>
      </c>
      <c r="O549" t="str">
        <v>37.1萬</v>
      </c>
      <c r="P549" t="str">
        <v>+12.95</v>
      </c>
      <c r="Q549" t="str">
        <v>+9.38</v>
      </c>
      <c r="R549" t="str">
        <v>-0.80</v>
      </c>
      <c r="S549">
        <v>-5</v>
      </c>
      <c r="T549">
        <v>0</v>
      </c>
      <c r="U549">
        <f t="array" ref="U549:AD549">[1]!'5201.TW-ChipsField3,ChipsField1,ChipsField25,CashAndStockDividend,CashDividendYieldRate,ProfitFourSeason,ProfitSingle,CName,ExchangeIndustry,CompanyPos'</f>
        <v>0</v>
      </c>
      <c r="V549">
        <v>-2</v>
      </c>
      <c r="W549" t="str">
        <v>2022/03/31</v>
      </c>
      <c r="X549" t="str">
        <v>1.50</v>
      </c>
      <c r="Y549">
        <v>4.8499999999999996</v>
      </c>
      <c r="Z549" t="str">
        <v>1.03</v>
      </c>
      <c r="AA549" t="str">
        <v>0.03</v>
      </c>
      <c r="AB549" t="str">
        <v>凱衛</v>
      </c>
      <c r="AC549" t="str">
        <v>上櫃資訊服務</v>
      </c>
      <c r="AD549" t="str">
        <v>以證券金融服務為主的系統整合商</v>
      </c>
      <c r="AE549" t="str">
        <f t="array" ref="AE549:AH549">[1]!'5201.TW-CName,InvestorConferenceDate,DateofMeetingofShareHolders,TradingDate'</f>
        <v>凱衛</v>
      </c>
      <c r="AF549" t="str">
        <v>--</v>
      </c>
      <c r="AG549" t="str">
        <v>2022/06/16</v>
      </c>
      <c r="AH549" t="str">
        <v>2022/08/01</v>
      </c>
    </row>
    <row r="550" spans="1:34" x14ac:dyDescent="0.3">
      <c r="A550" t="str">
        <f t="array" ref="A550:J550">[1]!'5202.TW-ID,Name,MarketValue,Capital,NetIncomeGrowthRate,OperIncomeGrowthRate,FinancialStatementsTime,TFXRatio,MonthlyNetSalesYoY,RevenueMonth'</f>
        <v>5202</v>
      </c>
      <c r="B550" t="str">
        <v>力新</v>
      </c>
      <c r="C550" t="str">
        <v>16.6</v>
      </c>
      <c r="D550" t="str">
        <v>8.91</v>
      </c>
      <c r="E550" t="str">
        <v>-688.84</v>
      </c>
      <c r="F550" t="str">
        <v>1.62</v>
      </c>
      <c r="G550" t="str">
        <v>2022/03</v>
      </c>
      <c r="H550" t="str">
        <v>1.36</v>
      </c>
      <c r="I550" t="str">
        <v>4.39</v>
      </c>
      <c r="J550" t="str">
        <v>2022/06</v>
      </c>
      <c r="K550" t="str">
        <f t="array" ref="K550:T550">[1]!'5202.TW-OperatingProfitRatio,Price,PriceChangeRatio,InOutRatioNumber,Value,YearReturn,MonthReturn,WeekReturn,FinanceBalanceDif,ChipsField2'</f>
        <v>-40.21</v>
      </c>
      <c r="L550">
        <v>18.600000000000001</v>
      </c>
      <c r="M550">
        <v>1.64</v>
      </c>
      <c r="N550" t="str">
        <v>44.12%</v>
      </c>
      <c r="O550" t="str">
        <v>62.6萬</v>
      </c>
      <c r="P550" t="str">
        <v>+2.76</v>
      </c>
      <c r="Q550" t="str">
        <v>+3.62</v>
      </c>
      <c r="R550" t="str">
        <v>+0.54</v>
      </c>
      <c r="S550">
        <v>8</v>
      </c>
      <c r="T550">
        <v>0</v>
      </c>
      <c r="U550">
        <f t="array" ref="U550:AD550">[1]!'5202.TW-ChipsField3,ChipsField1,ChipsField25,CashAndStockDividend,CashDividendYieldRate,ProfitFourSeason,ProfitSingle,CName,ExchangeIndustry,CompanyPos'</f>
        <v>0</v>
      </c>
      <c r="V550">
        <v>-1</v>
      </c>
      <c r="W550" t="str">
        <v>--</v>
      </c>
      <c r="X550" t="str">
        <v>0.68</v>
      </c>
      <c r="Y550">
        <v>3.66</v>
      </c>
      <c r="Z550" t="str">
        <v>-0.62</v>
      </c>
      <c r="AA550" t="str">
        <v>-0.24</v>
      </c>
      <c r="AB550" t="str">
        <v>力新</v>
      </c>
      <c r="AC550" t="str">
        <v>上櫃資訊服務</v>
      </c>
      <c r="AD550" t="str">
        <v>台灣影像處理軟體商</v>
      </c>
      <c r="AE550" t="str">
        <f t="array" ref="AE550:AH550">[1]!'5202.TW-CName,InvestorConferenceDate,DateofMeetingofShareHolders,TradingDate'</f>
        <v>力新</v>
      </c>
      <c r="AF550" t="str">
        <v>2021/12/30</v>
      </c>
      <c r="AG550" t="str">
        <v>2022/06/21</v>
      </c>
      <c r="AH550" t="str">
        <v>2022/08/01</v>
      </c>
    </row>
    <row r="551" spans="1:34" x14ac:dyDescent="0.3">
      <c r="A551" t="str">
        <f t="array" ref="A551:J551">[1]!'5210.TW-ID,Name,MarketValue,Capital,NetIncomeGrowthRate,OperIncomeGrowthRate,FinancialStatementsTime,TFXRatio,MonthlyNetSalesYoY,RevenueMonth'</f>
        <v>5210</v>
      </c>
      <c r="B551" t="str">
        <v>寶碩</v>
      </c>
      <c r="C551" t="str">
        <v>13.8</v>
      </c>
      <c r="D551" t="str">
        <v>6.22</v>
      </c>
      <c r="E551" t="str">
        <v>98.37</v>
      </c>
      <c r="F551" t="str">
        <v>102.55</v>
      </c>
      <c r="G551" t="str">
        <v>2022/03</v>
      </c>
      <c r="H551" t="str">
        <v>16.90</v>
      </c>
      <c r="I551" t="str">
        <v>62.78</v>
      </c>
      <c r="J551" t="str">
        <v>2022/06</v>
      </c>
      <c r="K551" t="str">
        <f t="array" ref="K551:T551">[1]!'5210.TW-OperatingProfitRatio,Price,PriceChangeRatio,InOutRatioNumber,Value,YearReturn,MonthReturn,WeekReturn,FinanceBalanceDif,ChipsField2'</f>
        <v>0.91</v>
      </c>
      <c r="L551">
        <v>22.25</v>
      </c>
      <c r="M551">
        <v>0.68</v>
      </c>
      <c r="N551" t="str">
        <v>47.14%</v>
      </c>
      <c r="O551" t="str">
        <v>983萬</v>
      </c>
      <c r="P551" t="str">
        <v>+103.20</v>
      </c>
      <c r="Q551" t="str">
        <v>+17.11</v>
      </c>
      <c r="R551" t="str">
        <v>+11.25</v>
      </c>
      <c r="S551">
        <v>0</v>
      </c>
      <c r="T551">
        <v>0</v>
      </c>
      <c r="U551">
        <f t="array" ref="U551:AD551">[1]!'5210.TW-ChipsField3,ChipsField1,ChipsField25,CashAndStockDividend,CashDividendYieldRate,ProfitFourSeason,ProfitSingle,CName,ExchangeIndustry,CompanyPos'</f>
        <v>0</v>
      </c>
      <c r="V551">
        <v>-68</v>
      </c>
      <c r="W551" t="str">
        <v>--</v>
      </c>
      <c r="X551" t="str">
        <v>0.00</v>
      </c>
      <c r="Y551">
        <v>0</v>
      </c>
      <c r="Z551" t="str">
        <v>0.00</v>
      </c>
      <c r="AA551" t="str">
        <v>-0.01</v>
      </c>
      <c r="AB551" t="str">
        <v>寶碩</v>
      </c>
      <c r="AC551" t="str">
        <v>上櫃資訊服務</v>
      </c>
      <c r="AD551" t="str">
        <v>證券金融相關解決方案系統整合廠商</v>
      </c>
      <c r="AE551" t="str">
        <f t="array" ref="AE551:AH551">[1]!'5210.TW-CName,InvestorConferenceDate,DateofMeetingofShareHolders,TradingDate'</f>
        <v>寶碩</v>
      </c>
      <c r="AF551" t="str">
        <v>--</v>
      </c>
      <c r="AG551" t="str">
        <v>2022/06/23</v>
      </c>
      <c r="AH551" t="str">
        <v>2022/08/01</v>
      </c>
    </row>
    <row r="552" spans="1:34" x14ac:dyDescent="0.3">
      <c r="A552" t="str">
        <f t="array" ref="A552:J552">[1]!'5211.TW-ID,Name,MarketValue,Capital,NetIncomeGrowthRate,OperIncomeGrowthRate,FinancialStatementsTime,TFXRatio,MonthlyNetSalesYoY,RevenueMonth'</f>
        <v>5211</v>
      </c>
      <c r="B552" t="str">
        <v>蒙恬</v>
      </c>
      <c r="C552" t="str">
        <v>5.4</v>
      </c>
      <c r="D552" t="str">
        <v>3.20</v>
      </c>
      <c r="E552" t="str">
        <v>131.51</v>
      </c>
      <c r="F552" t="str">
        <v>10.26</v>
      </c>
      <c r="G552" t="str">
        <v>2022/03</v>
      </c>
      <c r="H552" t="str">
        <v>-15.48</v>
      </c>
      <c r="I552" t="str">
        <v>23.05</v>
      </c>
      <c r="J552" t="str">
        <v>2022/06</v>
      </c>
      <c r="K552" t="str">
        <f t="array" ref="K552:T552">[1]!'5211.TW-OperatingProfitRatio,Price,PriceChangeRatio,InOutRatioNumber,Value,YearReturn,MonthReturn,WeekReturn,FinanceBalanceDif,ChipsField2'</f>
        <v>-27.61</v>
      </c>
      <c r="L552" t="str">
        <v>--</v>
      </c>
      <c r="M552" t="str">
        <v>--</v>
      </c>
      <c r="N552" t="str">
        <v>--</v>
      </c>
      <c r="O552" t="str">
        <v>--</v>
      </c>
      <c r="P552" t="str">
        <v>+10.33</v>
      </c>
      <c r="Q552" t="str">
        <v>+5.26</v>
      </c>
      <c r="R552" t="str">
        <v>-0.58</v>
      </c>
      <c r="S552">
        <v>1</v>
      </c>
      <c r="T552">
        <v>0</v>
      </c>
      <c r="U552">
        <f t="array" ref="U552:AD552">[1]!'5211.TW-ChipsField3,ChipsField1,ChipsField25,CashAndStockDividend,CashDividendYieldRate,ProfitFourSeason,ProfitSingle,CName,ExchangeIndustry,CompanyPos'</f>
        <v>0</v>
      </c>
      <c r="V552">
        <v>-10</v>
      </c>
      <c r="W552" t="str">
        <v>2022/06/28</v>
      </c>
      <c r="X552" t="str">
        <v>0.70</v>
      </c>
      <c r="Y552">
        <v>4.12</v>
      </c>
      <c r="Z552" t="str">
        <v>1.68</v>
      </c>
      <c r="AA552" t="str">
        <v>0.09</v>
      </c>
      <c r="AB552" t="str">
        <v>蒙恬</v>
      </c>
      <c r="AC552" t="str">
        <v>上櫃資訊服務</v>
      </c>
      <c r="AD552" t="str">
        <v>台灣手寫辨識軟、硬體廠商</v>
      </c>
      <c r="AE552" t="str">
        <f t="array" ref="AE552:AH552">[1]!'5211.TW-CName,InvestorConferenceDate,DateofMeetingofShareHolders,TradingDate'</f>
        <v>蒙恬</v>
      </c>
      <c r="AF552" t="str">
        <v>--</v>
      </c>
      <c r="AG552" t="str">
        <v>2022/06/09</v>
      </c>
      <c r="AH552" t="str">
        <v>2022/08/01</v>
      </c>
    </row>
    <row r="553" spans="1:34" x14ac:dyDescent="0.3">
      <c r="A553" t="str">
        <f t="array" ref="A553:J553">[1]!'5212.TW-ID,Name,MarketValue,Capital,NetIncomeGrowthRate,OperIncomeGrowthRate,FinancialStatementsTime,TFXRatio,MonthlyNetSalesYoY,RevenueMonth'</f>
        <v>5212</v>
      </c>
      <c r="B553" t="str">
        <v>凌網</v>
      </c>
      <c r="C553" t="str">
        <v>15.6</v>
      </c>
      <c r="D553" t="str">
        <v>3.46</v>
      </c>
      <c r="E553" t="str">
        <v>-93.35</v>
      </c>
      <c r="F553" t="str">
        <v>-72.34</v>
      </c>
      <c r="G553" t="str">
        <v>2022/03</v>
      </c>
      <c r="H553" t="str">
        <v>35.93</v>
      </c>
      <c r="I553" t="str">
        <v>-0.31</v>
      </c>
      <c r="J553" t="str">
        <v>2022/06</v>
      </c>
      <c r="K553" t="str">
        <f t="array" ref="K553:T553">[1]!'5212.TW-OperatingProfitRatio,Price,PriceChangeRatio,InOutRatioNumber,Value,YearReturn,MonthReturn,WeekReturn,FinanceBalanceDif,ChipsField2'</f>
        <v>3.03</v>
      </c>
      <c r="L553">
        <v>44.9</v>
      </c>
      <c r="M553">
        <v>-0.88</v>
      </c>
      <c r="N553" t="str">
        <v>47.37%</v>
      </c>
      <c r="O553" t="str">
        <v>251萬</v>
      </c>
      <c r="P553" t="str">
        <v>-15.39</v>
      </c>
      <c r="Q553" t="str">
        <v>-4.16</v>
      </c>
      <c r="R553" t="str">
        <v>-2.39</v>
      </c>
      <c r="S553">
        <v>0</v>
      </c>
      <c r="T553">
        <v>0</v>
      </c>
      <c r="U553">
        <f t="array" ref="U553:AD553">[1]!'5212.TW-ChipsField3,ChipsField1,ChipsField25,CashAndStockDividend,CashDividendYieldRate,ProfitFourSeason,ProfitSingle,CName,ExchangeIndustry,CompanyPos'</f>
        <v>0</v>
      </c>
      <c r="V553">
        <v>0</v>
      </c>
      <c r="W553" t="str">
        <v>2022/06/15</v>
      </c>
      <c r="X553" t="str">
        <v>2.50</v>
      </c>
      <c r="Y553">
        <v>5.57</v>
      </c>
      <c r="Z553" t="str">
        <v>2.34</v>
      </c>
      <c r="AA553" t="str">
        <v>0.04</v>
      </c>
      <c r="AB553" t="str">
        <v>凌網</v>
      </c>
      <c r="AC553" t="str">
        <v>上櫃資訊服務</v>
      </c>
      <c r="AD553" t="str">
        <v>以知識管理為主的系統整合廠</v>
      </c>
      <c r="AE553" t="str">
        <f t="array" ref="AE553:AH553">[1]!'5212.TW-CName,InvestorConferenceDate,DateofMeetingofShareHolders,TradingDate'</f>
        <v>凌網</v>
      </c>
      <c r="AF553" t="str">
        <v>--</v>
      </c>
      <c r="AG553" t="str">
        <v>2022/05/26</v>
      </c>
      <c r="AH553" t="str">
        <v>2022/08/01</v>
      </c>
    </row>
    <row r="554" spans="1:34" x14ac:dyDescent="0.3">
      <c r="A554" t="str">
        <f t="array" ref="A554:J554">[1]!'5310.TW-ID,Name,MarketValue,Capital,NetIncomeGrowthRate,OperIncomeGrowthRate,FinancialStatementsTime,TFXRatio,MonthlyNetSalesYoY,RevenueMonth'</f>
        <v>5310</v>
      </c>
      <c r="B554" t="str">
        <v>天剛</v>
      </c>
      <c r="C554" t="str">
        <v>7.7</v>
      </c>
      <c r="D554" t="str">
        <v>2.89</v>
      </c>
      <c r="E554" t="str">
        <v>-46.40</v>
      </c>
      <c r="F554" t="str">
        <v>-65.53</v>
      </c>
      <c r="G554" t="str">
        <v>2022/03</v>
      </c>
      <c r="H554" t="str">
        <v>-46.12</v>
      </c>
      <c r="I554" t="str">
        <v>-82.85</v>
      </c>
      <c r="J554" t="str">
        <v>2022/06</v>
      </c>
      <c r="K554" t="str">
        <f t="array" ref="K554:T554">[1]!'5310.TW-OperatingProfitRatio,Price,PriceChangeRatio,InOutRatioNumber,Value,YearReturn,MonthReturn,WeekReturn,FinanceBalanceDif,ChipsField2'</f>
        <v>-109.25</v>
      </c>
      <c r="L554">
        <v>26.75</v>
      </c>
      <c r="M554">
        <v>1.33</v>
      </c>
      <c r="N554" t="str">
        <v>50.00%</v>
      </c>
      <c r="O554" t="str">
        <v>42.1萬</v>
      </c>
      <c r="P554" t="str">
        <v>-9.16</v>
      </c>
      <c r="Q554" t="str">
        <v>+0.94</v>
      </c>
      <c r="R554" t="str">
        <v>+0.75</v>
      </c>
      <c r="S554">
        <v>0</v>
      </c>
      <c r="T554">
        <v>0</v>
      </c>
      <c r="U554">
        <f t="array" ref="U554:AD554">[1]!'5310.TW-ChipsField3,ChipsField1,ChipsField25,CashAndStockDividend,CashDividendYieldRate,ProfitFourSeason,ProfitSingle,CName,ExchangeIndustry,CompanyPos'</f>
        <v>0</v>
      </c>
      <c r="V554">
        <v>0</v>
      </c>
      <c r="W554" t="str">
        <v>--</v>
      </c>
      <c r="X554" t="str">
        <v>0.00</v>
      </c>
      <c r="Y554">
        <v>0</v>
      </c>
      <c r="Z554" t="str">
        <v>-0.78</v>
      </c>
      <c r="AA554" t="str">
        <v>-0.25</v>
      </c>
      <c r="AB554" t="str">
        <v>天剛</v>
      </c>
      <c r="AC554" t="str">
        <v>上櫃資訊服務</v>
      </c>
      <c r="AD554" t="str">
        <v>金融系統整合廠</v>
      </c>
      <c r="AE554" t="str">
        <f t="array" ref="AE554:AH554">[1]!'5310.TW-CName,InvestorConferenceDate,DateofMeetingofShareHolders,TradingDate'</f>
        <v>天剛</v>
      </c>
      <c r="AF554" t="str">
        <v>--</v>
      </c>
      <c r="AG554" t="str">
        <v>2022/06/27</v>
      </c>
      <c r="AH554" t="str">
        <v>2022/08/01</v>
      </c>
    </row>
    <row r="555" spans="1:34" x14ac:dyDescent="0.3">
      <c r="A555" t="str">
        <f t="array" ref="A555:J555">[1]!'5403.TW-ID,Name,MarketValue,Capital,NetIncomeGrowthRate,OperIncomeGrowthRate,FinancialStatementsTime,TFXRatio,MonthlyNetSalesYoY,RevenueMonth'</f>
        <v>5403</v>
      </c>
      <c r="B555" t="str">
        <v>中菲</v>
      </c>
      <c r="C555" t="str">
        <v>49.0</v>
      </c>
      <c r="D555" t="str">
        <v>7.09</v>
      </c>
      <c r="E555" t="str">
        <v>44.06</v>
      </c>
      <c r="F555" t="str">
        <v>38.18</v>
      </c>
      <c r="G555" t="str">
        <v>2022/03</v>
      </c>
      <c r="H555" t="str">
        <v>16.69</v>
      </c>
      <c r="I555" t="str">
        <v>-11.61</v>
      </c>
      <c r="J555" t="str">
        <v>2022/06</v>
      </c>
      <c r="K555" t="str">
        <f t="array" ref="K555:T555">[1]!'5403.TW-OperatingProfitRatio,Price,PriceChangeRatio,InOutRatioNumber,Value,YearReturn,MonthReturn,WeekReturn,FinanceBalanceDif,ChipsField2'</f>
        <v>11.84</v>
      </c>
      <c r="L555">
        <v>69.099999999999994</v>
      </c>
      <c r="M555">
        <v>-0.14000000000000001</v>
      </c>
      <c r="N555" t="str">
        <v>41.79%</v>
      </c>
      <c r="O555" t="str">
        <v>491萬</v>
      </c>
      <c r="P555" t="str">
        <v>+9.78</v>
      </c>
      <c r="Q555" t="str">
        <v>-0.72</v>
      </c>
      <c r="R555" t="str">
        <v>+0.58</v>
      </c>
      <c r="S555">
        <v>0</v>
      </c>
      <c r="T555">
        <v>0</v>
      </c>
      <c r="U555">
        <f t="array" ref="U555:AD555">[1]!'5403.TW-ChipsField3,ChipsField1,ChipsField25,CashAndStockDividend,CashDividendYieldRate,ProfitFourSeason,ProfitSingle,CName,ExchangeIndustry,CompanyPos'</f>
        <v>0</v>
      </c>
      <c r="V555">
        <v>17</v>
      </c>
      <c r="W555" t="str">
        <v>--</v>
      </c>
      <c r="X555" t="str">
        <v>4.50</v>
      </c>
      <c r="Y555">
        <v>6.51</v>
      </c>
      <c r="Z555" t="str">
        <v>6.48</v>
      </c>
      <c r="AA555" t="str">
        <v>1.40</v>
      </c>
      <c r="AB555" t="str">
        <v>中菲</v>
      </c>
      <c r="AC555" t="str">
        <v>上櫃資訊服務</v>
      </c>
      <c r="AD555" t="str">
        <v>金融與物流業系統整合、軟體服務之廠商</v>
      </c>
      <c r="AE555" t="str">
        <f t="array" ref="AE555:AH555">[1]!'5403.TW-CName,InvestorConferenceDate,DateofMeetingofShareHolders,TradingDate'</f>
        <v>中菲</v>
      </c>
      <c r="AF555" t="str">
        <v>--</v>
      </c>
      <c r="AG555" t="str">
        <v>2022/06/15</v>
      </c>
      <c r="AH555" t="str">
        <v>2022/08/01</v>
      </c>
    </row>
    <row r="556" spans="1:34" x14ac:dyDescent="0.3">
      <c r="A556" t="str">
        <f t="array" ref="A556:J556">[1]!'5410.TW-ID,Name,MarketValue,Capital,NetIncomeGrowthRate,OperIncomeGrowthRate,FinancialStatementsTime,TFXRatio,MonthlyNetSalesYoY,RevenueMonth'</f>
        <v>5410</v>
      </c>
      <c r="B556" t="str">
        <v>國眾</v>
      </c>
      <c r="C556" t="str">
        <v>22.5</v>
      </c>
      <c r="D556" t="str">
        <v>8.81</v>
      </c>
      <c r="E556" t="str">
        <v>-11.11</v>
      </c>
      <c r="F556" t="str">
        <v>-22.04</v>
      </c>
      <c r="G556" t="str">
        <v>2022/03</v>
      </c>
      <c r="H556" t="str">
        <v>17.48</v>
      </c>
      <c r="I556" t="str">
        <v>-30.51</v>
      </c>
      <c r="J556" t="str">
        <v>2022/06</v>
      </c>
      <c r="K556" t="str">
        <f t="array" ref="K556:T556">[1]!'5410.TW-OperatingProfitRatio,Price,PriceChangeRatio,InOutRatioNumber,Value,YearReturn,MonthReturn,WeekReturn,FinanceBalanceDif,ChipsField2'</f>
        <v>5.71</v>
      </c>
      <c r="L556">
        <v>25.5</v>
      </c>
      <c r="M556">
        <v>0.99</v>
      </c>
      <c r="N556" t="str">
        <v>57.68%</v>
      </c>
      <c r="O556" t="str">
        <v>678萬</v>
      </c>
      <c r="P556" t="str">
        <v>+13.57</v>
      </c>
      <c r="Q556" t="str">
        <v>+5.15</v>
      </c>
      <c r="R556" t="str">
        <v>+1.19</v>
      </c>
      <c r="S556">
        <v>2</v>
      </c>
      <c r="T556">
        <v>0</v>
      </c>
      <c r="U556">
        <f t="array" ref="U556:AD556">[1]!'5410.TW-ChipsField3,ChipsField1,ChipsField25,CashAndStockDividend,CashDividendYieldRate,ProfitFourSeason,ProfitSingle,CName,ExchangeIndustry,CompanyPos'</f>
        <v>0</v>
      </c>
      <c r="V556">
        <v>0</v>
      </c>
      <c r="W556" t="str">
        <v>2022/08/04</v>
      </c>
      <c r="X556" t="str">
        <v>1.85</v>
      </c>
      <c r="Y556">
        <v>7.25</v>
      </c>
      <c r="Z556" t="str">
        <v>2.08</v>
      </c>
      <c r="AA556" t="str">
        <v>0.45</v>
      </c>
      <c r="AB556" t="str">
        <v>國眾</v>
      </c>
      <c r="AC556" t="str">
        <v>上櫃資訊服務</v>
      </c>
      <c r="AD556" t="str">
        <v>大眾控轉投資系統整合廠</v>
      </c>
      <c r="AE556" t="str">
        <f t="array" ref="AE556:AH556">[1]!'5410.TW-CName,InvestorConferenceDate,DateofMeetingofShareHolders,TradingDate'</f>
        <v>國眾</v>
      </c>
      <c r="AF556" t="str">
        <v>--</v>
      </c>
      <c r="AG556" t="str">
        <v>2022/06/02</v>
      </c>
      <c r="AH556" t="str">
        <v>2022/08/01</v>
      </c>
    </row>
    <row r="557" spans="1:34" x14ac:dyDescent="0.3">
      <c r="A557" t="str">
        <f t="array" ref="A557:J557">[1]!'6140.TW-ID,Name,MarketValue,Capital,NetIncomeGrowthRate,OperIncomeGrowthRate,FinancialStatementsTime,TFXRatio,MonthlyNetSalesYoY,RevenueMonth'</f>
        <v>6140</v>
      </c>
      <c r="B557" t="str">
        <v>訊達</v>
      </c>
      <c r="C557" t="str">
        <v>6.2</v>
      </c>
      <c r="D557" t="str">
        <v>3.84</v>
      </c>
      <c r="E557" t="str">
        <v>87.58</v>
      </c>
      <c r="F557" t="str">
        <v>-523.51</v>
      </c>
      <c r="G557" t="str">
        <v>2022/03</v>
      </c>
      <c r="H557" t="str">
        <v>-11.62</v>
      </c>
      <c r="I557" t="str">
        <v>-12.04</v>
      </c>
      <c r="J557" t="str">
        <v>2022/06</v>
      </c>
      <c r="K557" t="str">
        <f t="array" ref="K557:T557">[1]!'6140.TW-OperatingProfitRatio,Price,PriceChangeRatio,InOutRatioNumber,Value,YearReturn,MonthReturn,WeekReturn,FinanceBalanceDif,ChipsField2'</f>
        <v>-1.67</v>
      </c>
      <c r="L557">
        <v>16.2</v>
      </c>
      <c r="M557">
        <v>0.93</v>
      </c>
      <c r="N557" t="str">
        <v>36.77%</v>
      </c>
      <c r="O557" t="str">
        <v>254萬</v>
      </c>
      <c r="P557" t="str">
        <v>+11.72</v>
      </c>
      <c r="Q557" t="str">
        <v>-16.71</v>
      </c>
      <c r="R557" t="str">
        <v>+0.31</v>
      </c>
      <c r="S557">
        <v>3</v>
      </c>
      <c r="T557">
        <v>0</v>
      </c>
      <c r="U557">
        <f t="array" ref="U557:AD557">[1]!'6140.TW-ChipsField3,ChipsField1,ChipsField25,CashAndStockDividend,CashDividendYieldRate,ProfitFourSeason,ProfitSingle,CName,ExchangeIndustry,CompanyPos'</f>
        <v>0</v>
      </c>
      <c r="V557">
        <v>-6</v>
      </c>
      <c r="W557" t="str">
        <v>--</v>
      </c>
      <c r="X557" t="str">
        <v>1.00</v>
      </c>
      <c r="Y557">
        <v>6.17</v>
      </c>
      <c r="Z557" t="str">
        <v>0.69</v>
      </c>
      <c r="AA557" t="str">
        <v>0.02</v>
      </c>
      <c r="AB557" t="str">
        <v>訊達</v>
      </c>
      <c r="AC557" t="str">
        <v>上櫃資訊服務</v>
      </c>
      <c r="AD557" t="str">
        <v>以金融、資訊、媒體、半導體產業為主的系統整合商</v>
      </c>
      <c r="AE557" t="str">
        <f t="array" ref="AE557:AH557">[1]!'6140.TW-CName,InvestorConferenceDate,DateofMeetingofShareHolders,TradingDate'</f>
        <v>訊達</v>
      </c>
      <c r="AF557" t="str">
        <v>--</v>
      </c>
      <c r="AG557" t="str">
        <v>2022/06/24</v>
      </c>
      <c r="AH557" t="str">
        <v>2022/08/01</v>
      </c>
    </row>
    <row r="558" spans="1:34" x14ac:dyDescent="0.3">
      <c r="A558" t="str">
        <f t="array" ref="A558:J558">[1]!'6148.TW-ID,Name,MarketValue,Capital,NetIncomeGrowthRate,OperIncomeGrowthRate,FinancialStatementsTime,TFXRatio,MonthlyNetSalesYoY,RevenueMonth'</f>
        <v>6148</v>
      </c>
      <c r="B558" t="str">
        <v>驊宏資</v>
      </c>
      <c r="C558" t="str">
        <v>5.8</v>
      </c>
      <c r="D558" t="str">
        <v>4.66</v>
      </c>
      <c r="E558" t="str">
        <v>652.13</v>
      </c>
      <c r="F558" t="str">
        <v>794.69</v>
      </c>
      <c r="G558" t="str">
        <v>2022/03</v>
      </c>
      <c r="H558" t="str">
        <v>171.21</v>
      </c>
      <c r="I558" t="str">
        <v>106.41</v>
      </c>
      <c r="J558" t="str">
        <v>2022/06</v>
      </c>
      <c r="K558" t="str">
        <f t="array" ref="K558:T558">[1]!'6148.TW-OperatingProfitRatio,Price,PriceChangeRatio,InOutRatioNumber,Value,YearReturn,MonthReturn,WeekReturn,FinanceBalanceDif,ChipsField2'</f>
        <v>5.04</v>
      </c>
      <c r="L558">
        <v>12.4</v>
      </c>
      <c r="M558">
        <v>0</v>
      </c>
      <c r="N558" t="str">
        <v>50.00%</v>
      </c>
      <c r="O558" t="str">
        <v>21.0萬</v>
      </c>
      <c r="P558" t="str">
        <v>-1.31</v>
      </c>
      <c r="Q558" t="str">
        <v>+10.22</v>
      </c>
      <c r="R558" t="str">
        <v>0.00</v>
      </c>
      <c r="S558">
        <v>-8</v>
      </c>
      <c r="T558">
        <v>0</v>
      </c>
      <c r="U558">
        <f t="array" ref="U558:AD558">[1]!'6148.TW-ChipsField3,ChipsField1,ChipsField25,CashAndStockDividend,CashDividendYieldRate,ProfitFourSeason,ProfitSingle,CName,ExchangeIndustry,CompanyPos'</f>
        <v>0</v>
      </c>
      <c r="V558">
        <v>-13</v>
      </c>
      <c r="W558" t="str">
        <v>2022/04/07</v>
      </c>
      <c r="X558" t="str">
        <v>1.00</v>
      </c>
      <c r="Y558">
        <v>8.06</v>
      </c>
      <c r="Z558" t="str">
        <v>1.09</v>
      </c>
      <c r="AA558" t="str">
        <v>0.12</v>
      </c>
      <c r="AB558" t="str">
        <v>驊宏資</v>
      </c>
      <c r="AC558" t="str">
        <v>上櫃資訊服務</v>
      </c>
      <c r="AD558" t="str">
        <v>金融及公共事業SI廠</v>
      </c>
      <c r="AE558" t="str">
        <f t="array" ref="AE558:AH558">[1]!'6148.TW-CName,InvestorConferenceDate,DateofMeetingofShareHolders,TradingDate'</f>
        <v>驊宏資</v>
      </c>
      <c r="AF558" t="str">
        <v>2022/04/29</v>
      </c>
      <c r="AG558" t="str">
        <v>2022/06/28</v>
      </c>
      <c r="AH558" t="str">
        <v>2022/08/01</v>
      </c>
    </row>
    <row r="559" spans="1:34" x14ac:dyDescent="0.3">
      <c r="A559" t="str">
        <f t="array" ref="A559:J559">[1]!'6221.TW-ID,Name,MarketValue,Capital,NetIncomeGrowthRate,OperIncomeGrowthRate,FinancialStatementsTime,TFXRatio,MonthlyNetSalesYoY,RevenueMonth'</f>
        <v>6221</v>
      </c>
      <c r="B559" t="str">
        <v>晉泰</v>
      </c>
      <c r="C559" t="str">
        <v>37.6</v>
      </c>
      <c r="D559" t="str">
        <v>7.17</v>
      </c>
      <c r="E559" t="str">
        <v>17.82</v>
      </c>
      <c r="F559" t="str">
        <v>14.85</v>
      </c>
      <c r="G559" t="str">
        <v>2022/03</v>
      </c>
      <c r="H559" t="str">
        <v>27.93</v>
      </c>
      <c r="I559" t="str">
        <v>75.17</v>
      </c>
      <c r="J559" t="str">
        <v>2022/06</v>
      </c>
      <c r="K559" t="str">
        <f t="array" ref="K559:T559">[1]!'6221.TW-OperatingProfitRatio,Price,PriceChangeRatio,InOutRatioNumber,Value,YearReturn,MonthReturn,WeekReturn,FinanceBalanceDif,ChipsField2'</f>
        <v>8.18</v>
      </c>
      <c r="L559">
        <v>52.5</v>
      </c>
      <c r="M559">
        <v>2.74</v>
      </c>
      <c r="N559" t="str">
        <v>79.12%</v>
      </c>
      <c r="O559" t="str">
        <v>480萬</v>
      </c>
      <c r="P559" t="str">
        <v>+15.75</v>
      </c>
      <c r="Q559" t="str">
        <v>+16.67</v>
      </c>
      <c r="R559" t="str">
        <v>+5.63</v>
      </c>
      <c r="S559">
        <v>21</v>
      </c>
      <c r="T559">
        <v>0</v>
      </c>
      <c r="U559">
        <f t="array" ref="U559:AD559">[1]!'6221.TW-ChipsField3,ChipsField1,ChipsField25,CashAndStockDividend,CashDividendYieldRate,ProfitFourSeason,ProfitSingle,CName,ExchangeIndustry,CompanyPos'</f>
        <v>0</v>
      </c>
      <c r="V559">
        <v>1</v>
      </c>
      <c r="W559" t="str">
        <v>--</v>
      </c>
      <c r="X559" t="str">
        <v>2.50</v>
      </c>
      <c r="Y559">
        <v>4.76</v>
      </c>
      <c r="Z559" t="str">
        <v>3.61</v>
      </c>
      <c r="AA559" t="str">
        <v>0.99</v>
      </c>
      <c r="AB559" t="str">
        <v>晉泰</v>
      </c>
      <c r="AC559" t="str">
        <v>上櫃資訊服務</v>
      </c>
      <c r="AD559" t="str">
        <v>電子商務系統整合廠商</v>
      </c>
      <c r="AE559" t="str">
        <f t="array" ref="AE559:AH559">[1]!'6221.TW-CName,InvestorConferenceDate,DateofMeetingofShareHolders,TradingDate'</f>
        <v>晉泰</v>
      </c>
      <c r="AF559" t="str">
        <v>--</v>
      </c>
      <c r="AG559" t="str">
        <v>2022/06/15</v>
      </c>
      <c r="AH559" t="str">
        <v>2022/08/01</v>
      </c>
    </row>
    <row r="560" spans="1:34" x14ac:dyDescent="0.3">
      <c r="A560" t="str">
        <f t="array" ref="A560:J560">[1]!'6231.TW-ID,Name,MarketValue,Capital,NetIncomeGrowthRate,OperIncomeGrowthRate,FinancialStatementsTime,TFXRatio,MonthlyNetSalesYoY,RevenueMonth'</f>
        <v>6231</v>
      </c>
      <c r="B560" t="str">
        <v>系微</v>
      </c>
      <c r="C560" t="str">
        <v>27.9</v>
      </c>
      <c r="D560" t="str">
        <v>3.80</v>
      </c>
      <c r="E560" t="str">
        <v>161.21</v>
      </c>
      <c r="F560" t="str">
        <v>143.32</v>
      </c>
      <c r="G560" t="str">
        <v>2022/03</v>
      </c>
      <c r="H560" t="str">
        <v>37.64</v>
      </c>
      <c r="I560" t="str">
        <v>17.54</v>
      </c>
      <c r="J560" t="str">
        <v>2022/06</v>
      </c>
      <c r="K560" t="str">
        <f t="array" ref="K560:T560">[1]!'6231.TW-OperatingProfitRatio,Price,PriceChangeRatio,InOutRatioNumber,Value,YearReturn,MonthReturn,WeekReturn,FinanceBalanceDif,ChipsField2'</f>
        <v>25.65</v>
      </c>
      <c r="L560">
        <v>73.400000000000006</v>
      </c>
      <c r="M560">
        <v>-0.81</v>
      </c>
      <c r="N560" t="str">
        <v>43.04%</v>
      </c>
      <c r="O560" t="str">
        <v>625萬</v>
      </c>
      <c r="P560" t="str">
        <v>-17.84</v>
      </c>
      <c r="Q560" t="str">
        <v>+12.65</v>
      </c>
      <c r="R560" t="str">
        <v>-3.42</v>
      </c>
      <c r="S560">
        <v>0</v>
      </c>
      <c r="T560">
        <v>0</v>
      </c>
      <c r="U560">
        <f t="array" ref="U560:AD560">[1]!'6231.TW-ChipsField3,ChipsField1,ChipsField25,CashAndStockDividend,CashDividendYieldRate,ProfitFourSeason,ProfitSingle,CName,ExchangeIndustry,CompanyPos'</f>
        <v>0</v>
      </c>
      <c r="V560">
        <v>15</v>
      </c>
      <c r="W560" t="str">
        <v>2022/07/12</v>
      </c>
      <c r="X560" t="str">
        <v>5.20</v>
      </c>
      <c r="Y560">
        <v>7.08</v>
      </c>
      <c r="Z560" t="str">
        <v>7.13</v>
      </c>
      <c r="AA560" t="str">
        <v>1.93</v>
      </c>
      <c r="AB560" t="str">
        <v>系微</v>
      </c>
      <c r="AC560" t="str">
        <v>上櫃資訊服務</v>
      </c>
      <c r="AD560" t="str">
        <v>NB及IA產品的BIOS廠商</v>
      </c>
      <c r="AE560" t="str">
        <f t="array" ref="AE560:AH560">[1]!'6231.TW-CName,InvestorConferenceDate,DateofMeetingofShareHolders,TradingDate'</f>
        <v>系微</v>
      </c>
      <c r="AF560" t="str">
        <v>2022/03/11</v>
      </c>
      <c r="AG560" t="str">
        <v>2022/06/14</v>
      </c>
      <c r="AH560" t="str">
        <v>2022/08/01</v>
      </c>
    </row>
    <row r="561" spans="1:34" x14ac:dyDescent="0.3">
      <c r="A561" t="str">
        <f t="array" ref="A561:J561">[1]!'6404.TW-ID,Name,MarketValue,Capital,NetIncomeGrowthRate,OperIncomeGrowthRate,FinancialStatementsTime,TFXRatio,MonthlyNetSalesYoY,RevenueMonth'</f>
        <v>6404</v>
      </c>
      <c r="B561" t="str">
        <v>通訊-KY</v>
      </c>
      <c r="C561" t="str">
        <v>2.9</v>
      </c>
      <c r="D561" t="str">
        <v>2.02</v>
      </c>
      <c r="E561" t="str">
        <v>74.38</v>
      </c>
      <c r="F561" t="str">
        <v>68.61</v>
      </c>
      <c r="G561" t="str">
        <v>2022/03</v>
      </c>
      <c r="H561" t="str">
        <v>7.89</v>
      </c>
      <c r="I561" t="str">
        <v>-71.41</v>
      </c>
      <c r="J561" t="str">
        <v>2022/06</v>
      </c>
      <c r="K561" t="str">
        <f t="array" ref="K561:T561">[1]!'6404.TW-OperatingProfitRatio,Price,PriceChangeRatio,InOutRatioNumber,Value,YearReturn,MonthReturn,WeekReturn,FinanceBalanceDif,ChipsField2'</f>
        <v>-395.74</v>
      </c>
      <c r="L561" t="str">
        <v>--</v>
      </c>
      <c r="M561" t="str">
        <v>--</v>
      </c>
      <c r="N561" t="str">
        <v>--</v>
      </c>
      <c r="O561" t="str">
        <v>--</v>
      </c>
      <c r="P561" t="str">
        <v>-2.78</v>
      </c>
      <c r="Q561" t="str">
        <v>+7.27</v>
      </c>
      <c r="R561" t="str">
        <v>+1.72</v>
      </c>
      <c r="S561">
        <v>0</v>
      </c>
      <c r="T561">
        <v>0</v>
      </c>
      <c r="U561">
        <f t="array" ref="U561:AD561">[1]!'6404.TW-ChipsField3,ChipsField1,ChipsField25,CashAndStockDividend,CashDividendYieldRate,ProfitFourSeason,ProfitSingle,CName,ExchangeIndustry,CompanyPos'</f>
        <v>0</v>
      </c>
      <c r="V561">
        <v>0</v>
      </c>
      <c r="W561" t="str">
        <v>--</v>
      </c>
      <c r="X561" t="str">
        <v>0.00</v>
      </c>
      <c r="Y561">
        <v>0</v>
      </c>
      <c r="Z561" t="str">
        <v>-1.04</v>
      </c>
      <c r="AA561" t="str">
        <v>-0.29</v>
      </c>
      <c r="AB561" t="str">
        <v>通訊-KY</v>
      </c>
      <c r="AC561" t="str">
        <v>上櫃資訊服務</v>
      </c>
      <c r="AD561" t="str">
        <v>大陸手機應用及遊戲軟體平台通路商</v>
      </c>
      <c r="AE561" t="str">
        <f t="array" ref="AE561:AH561">[1]!'6404.TW-CName,InvestorConferenceDate,DateofMeetingofShareHolders,TradingDate'</f>
        <v>通訊-KY</v>
      </c>
      <c r="AF561" t="str">
        <v>2021/10/26</v>
      </c>
      <c r="AG561" t="str">
        <v>2022/06/08</v>
      </c>
      <c r="AH561" t="str">
        <v>2022/08/01</v>
      </c>
    </row>
    <row r="562" spans="1:34" x14ac:dyDescent="0.3">
      <c r="A562" t="str">
        <f t="array" ref="A562:J562">[1]!'6516.TW-ID,Name,MarketValue,Capital,NetIncomeGrowthRate,OperIncomeGrowthRate,FinancialStatementsTime,TFXRatio,MonthlyNetSalesYoY,RevenueMonth'</f>
        <v>6516</v>
      </c>
      <c r="B562" t="str">
        <v>勤崴國際</v>
      </c>
      <c r="C562" t="str">
        <v>33.8</v>
      </c>
      <c r="D562" t="str">
        <v>4.66</v>
      </c>
      <c r="E562" t="str">
        <v>23.94</v>
      </c>
      <c r="F562" t="str">
        <v>3.18</v>
      </c>
      <c r="G562" t="str">
        <v>2022/06</v>
      </c>
      <c r="H562" t="str">
        <v>-4.15</v>
      </c>
      <c r="I562" t="str">
        <v>-32.22</v>
      </c>
      <c r="J562" t="str">
        <v>2022/06</v>
      </c>
      <c r="K562" t="str">
        <f t="array" ref="K562:T562">[1]!'6516.TW-OperatingProfitRatio,Price,PriceChangeRatio,InOutRatioNumber,Value,YearReturn,MonthReturn,WeekReturn,FinanceBalanceDif,ChipsField2'</f>
        <v>16.34</v>
      </c>
      <c r="L562">
        <v>72.599999999999994</v>
      </c>
      <c r="M562">
        <v>0.55000000000000004</v>
      </c>
      <c r="N562" t="str">
        <v>52.63%</v>
      </c>
      <c r="O562" t="str">
        <v>138萬</v>
      </c>
      <c r="P562" t="str">
        <v>-27.12</v>
      </c>
      <c r="Q562" t="str">
        <v>-0.06</v>
      </c>
      <c r="R562" t="str">
        <v>+0.83</v>
      </c>
      <c r="S562">
        <v>0</v>
      </c>
      <c r="T562">
        <v>0</v>
      </c>
      <c r="U562">
        <f t="array" ref="U562:AD562">[1]!'6516.TW-ChipsField3,ChipsField1,ChipsField25,CashAndStockDividend,CashDividendYieldRate,ProfitFourSeason,ProfitSingle,CName,ExchangeIndustry,CompanyPos'</f>
        <v>0</v>
      </c>
      <c r="V562">
        <v>1</v>
      </c>
      <c r="W562" t="str">
        <v>2022/07/05</v>
      </c>
      <c r="X562" t="str">
        <v>1.88</v>
      </c>
      <c r="Y562">
        <v>2.59</v>
      </c>
      <c r="Z562" t="str">
        <v>1.23</v>
      </c>
      <c r="AA562" t="str">
        <v>0.47</v>
      </c>
      <c r="AB562" t="str">
        <v>勤崴國際</v>
      </c>
      <c r="AC562" t="str">
        <v>上櫃資訊服務</v>
      </c>
      <c r="AD562" t="str">
        <v>中華電旗下台灣最大圖資公司</v>
      </c>
      <c r="AE562" t="str">
        <f t="array" ref="AE562:AH562">[1]!'6516.TW-CName,InvestorConferenceDate,DateofMeetingofShareHolders,TradingDate'</f>
        <v>勤崴國際</v>
      </c>
      <c r="AF562" t="str">
        <v>2021/08/13</v>
      </c>
      <c r="AG562" t="str">
        <v>2022/05/26</v>
      </c>
      <c r="AH562" t="str">
        <v>2022/08/01</v>
      </c>
    </row>
    <row r="563" spans="1:34" x14ac:dyDescent="0.3">
      <c r="A563" t="str">
        <f t="array" ref="A563:J563">[1]!'6590.TW-ID,Name,MarketValue,Capital,NetIncomeGrowthRate,OperIncomeGrowthRate,FinancialStatementsTime,TFXRatio,MonthlyNetSalesYoY,RevenueMonth'</f>
        <v>6590</v>
      </c>
      <c r="B563" t="str">
        <v>普鴻</v>
      </c>
      <c r="C563" t="str">
        <v>11.3</v>
      </c>
      <c r="D563" t="str">
        <v>2.13</v>
      </c>
      <c r="E563" t="str">
        <v>-7.64</v>
      </c>
      <c r="F563" t="str">
        <v>66.54</v>
      </c>
      <c r="G563" t="str">
        <v>2022/03</v>
      </c>
      <c r="H563" t="str">
        <v>-2.58</v>
      </c>
      <c r="I563" t="str">
        <v>16.84</v>
      </c>
      <c r="J563" t="str">
        <v>2022/06</v>
      </c>
      <c r="K563" t="str">
        <f t="array" ref="K563:T563">[1]!'6590.TW-OperatingProfitRatio,Price,PriceChangeRatio,InOutRatioNumber,Value,YearReturn,MonthReturn,WeekReturn,FinanceBalanceDif,ChipsField2'</f>
        <v>17.55</v>
      </c>
      <c r="L563">
        <v>53</v>
      </c>
      <c r="M563">
        <v>0</v>
      </c>
      <c r="N563" t="str">
        <v>26.67%</v>
      </c>
      <c r="O563" t="str">
        <v>79.7萬</v>
      </c>
      <c r="P563" t="str">
        <v>+0.50</v>
      </c>
      <c r="Q563" t="str">
        <v>-2.75</v>
      </c>
      <c r="R563" t="str">
        <v>+0.38</v>
      </c>
      <c r="S563">
        <v>0</v>
      </c>
      <c r="T563">
        <v>0</v>
      </c>
      <c r="U563">
        <f t="array" ref="U563:AD563">[1]!'6590.TW-ChipsField3,ChipsField1,ChipsField25,CashAndStockDividend,CashDividendYieldRate,ProfitFourSeason,ProfitSingle,CName,ExchangeIndustry,CompanyPos'</f>
        <v>0</v>
      </c>
      <c r="V563">
        <v>0</v>
      </c>
      <c r="W563" t="str">
        <v>2022/03/24</v>
      </c>
      <c r="X563" t="str">
        <v>3.80</v>
      </c>
      <c r="Y563">
        <v>7.17</v>
      </c>
      <c r="Z563" t="str">
        <v>4.53</v>
      </c>
      <c r="AA563" t="str">
        <v>1.03</v>
      </c>
      <c r="AB563" t="str">
        <v>普鴻</v>
      </c>
      <c r="AC563" t="str">
        <v>上櫃資訊服務</v>
      </c>
      <c r="AD563" t="str">
        <v>台灣金融支付加解密解決方案最大供應商</v>
      </c>
      <c r="AE563" t="str">
        <f t="array" ref="AE563:AH563">[1]!'6590.TW-CName,InvestorConferenceDate,DateofMeetingofShareHolders,TradingDate'</f>
        <v>普鴻</v>
      </c>
      <c r="AF563" t="str">
        <v>--</v>
      </c>
      <c r="AG563" t="str">
        <v>2022/05/26</v>
      </c>
      <c r="AH563" t="str">
        <v>2022/08/01</v>
      </c>
    </row>
    <row r="564" spans="1:34" x14ac:dyDescent="0.3">
      <c r="A564" t="str">
        <f t="array" ref="A564:J564">[1]!'6593.TW-ID,Name,MarketValue,Capital,NetIncomeGrowthRate,OperIncomeGrowthRate,FinancialStatementsTime,TFXRatio,MonthlyNetSalesYoY,RevenueMonth'</f>
        <v>6593</v>
      </c>
      <c r="B564" t="str">
        <v>台灣銘板</v>
      </c>
      <c r="C564" t="str">
        <v>6.5</v>
      </c>
      <c r="D564" t="str">
        <v>2.03</v>
      </c>
      <c r="E564" t="str">
        <v>-32.50</v>
      </c>
      <c r="F564" t="str">
        <v>-38.40</v>
      </c>
      <c r="G564" t="str">
        <v>2022/03</v>
      </c>
      <c r="H564" t="str">
        <v>-7.49</v>
      </c>
      <c r="I564" t="str">
        <v>11.70</v>
      </c>
      <c r="J564" t="str">
        <v>2022/06</v>
      </c>
      <c r="K564" t="str">
        <f t="array" ref="K564:T564">[1]!'6593.TW-OperatingProfitRatio,Price,PriceChangeRatio,InOutRatioNumber,Value,YearReturn,MonthReturn,WeekReturn,FinanceBalanceDif,ChipsField2'</f>
        <v>8.89</v>
      </c>
      <c r="L564">
        <v>31.95</v>
      </c>
      <c r="M564">
        <v>-1.39</v>
      </c>
      <c r="N564" t="str">
        <v>16.67%</v>
      </c>
      <c r="O564" t="str">
        <v>19.3萬</v>
      </c>
      <c r="P564" t="str">
        <v>+18.89</v>
      </c>
      <c r="Q564" t="str">
        <v>-0.53</v>
      </c>
      <c r="R564" t="str">
        <v>-3.18</v>
      </c>
      <c r="S564">
        <v>0</v>
      </c>
      <c r="T564">
        <v>0</v>
      </c>
      <c r="U564">
        <f t="array" ref="U564:AD564">[1]!'6593.TW-ChipsField3,ChipsField1,ChipsField25,CashAndStockDividend,CashDividendYieldRate,ProfitFourSeason,ProfitSingle,CName,ExchangeIndustry,CompanyPos'</f>
        <v>0</v>
      </c>
      <c r="V564">
        <v>0</v>
      </c>
      <c r="W564" t="str">
        <v>2022/07/26</v>
      </c>
      <c r="X564" t="str">
        <v>0.70</v>
      </c>
      <c r="Y564">
        <v>2.19</v>
      </c>
      <c r="Z564" t="str">
        <v>0.56</v>
      </c>
      <c r="AA564" t="str">
        <v>0.57</v>
      </c>
      <c r="AB564" t="str">
        <v>台灣銘板</v>
      </c>
      <c r="AC564" t="str">
        <v>上櫃資訊服務</v>
      </c>
      <c r="AD564" t="str">
        <v>專業信用卡製卡廠商</v>
      </c>
      <c r="AE564" t="str">
        <f t="array" ref="AE564:AH564">[1]!'6593.TW-CName,InvestorConferenceDate,DateofMeetingofShareHolders,TradingDate'</f>
        <v>台灣銘板</v>
      </c>
      <c r="AF564" t="str">
        <v>2022/07/20</v>
      </c>
      <c r="AG564" t="str">
        <v>2022/06/24</v>
      </c>
      <c r="AH564" t="str">
        <v>2022/08/01</v>
      </c>
    </row>
    <row r="565" spans="1:34" x14ac:dyDescent="0.3">
      <c r="A565" t="str">
        <f t="array" ref="A565:J565">[1]!'6690.TW-ID,Name,MarketValue,Capital,NetIncomeGrowthRate,OperIncomeGrowthRate,FinancialStatementsTime,TFXRatio,MonthlyNetSalesYoY,RevenueMonth'</f>
        <v>6690</v>
      </c>
      <c r="B565" t="str">
        <v>安碁資訊</v>
      </c>
      <c r="C565" t="str">
        <v>22.4</v>
      </c>
      <c r="D565" t="str">
        <v>2.22</v>
      </c>
      <c r="E565" t="str">
        <v>67.11</v>
      </c>
      <c r="F565" t="str">
        <v>67.80</v>
      </c>
      <c r="G565" t="str">
        <v>2022/06</v>
      </c>
      <c r="H565" t="str">
        <v>14.80</v>
      </c>
      <c r="I565" t="str">
        <v>59.20</v>
      </c>
      <c r="J565" t="str">
        <v>2022/06</v>
      </c>
      <c r="K565" t="str">
        <f t="array" ref="K565:T565">[1]!'6690.TW-OperatingProfitRatio,Price,PriceChangeRatio,InOutRatioNumber,Value,YearReturn,MonthReturn,WeekReturn,FinanceBalanceDif,ChipsField2'</f>
        <v>10.21</v>
      </c>
      <c r="L565">
        <v>100.5</v>
      </c>
      <c r="M565">
        <v>-1.47</v>
      </c>
      <c r="N565" t="str">
        <v>36.00%</v>
      </c>
      <c r="O565" t="str">
        <v>281萬</v>
      </c>
      <c r="P565" t="str">
        <v>-0.92</v>
      </c>
      <c r="Q565" t="str">
        <v>+5.79</v>
      </c>
      <c r="R565" t="str">
        <v>+3.82</v>
      </c>
      <c r="S565">
        <v>0</v>
      </c>
      <c r="T565">
        <v>0</v>
      </c>
      <c r="U565">
        <f t="array" ref="U565:AD565">[1]!'6690.TW-ChipsField3,ChipsField1,ChipsField25,CashAndStockDividend,CashDividendYieldRate,ProfitFourSeason,ProfitSingle,CName,ExchangeIndustry,CompanyPos'</f>
        <v>0</v>
      </c>
      <c r="V565">
        <v>1</v>
      </c>
      <c r="W565" t="str">
        <v>2022/05/27</v>
      </c>
      <c r="X565" t="str">
        <v>3.70</v>
      </c>
      <c r="Y565">
        <v>3.68</v>
      </c>
      <c r="Z565" t="str">
        <v>6.54</v>
      </c>
      <c r="AA565" t="str">
        <v>1.94</v>
      </c>
      <c r="AB565" t="str">
        <v>安碁資訊</v>
      </c>
      <c r="AC565" t="str">
        <v>上櫃資訊服務</v>
      </c>
      <c r="AD565" t="str">
        <v>宏碁旗下資訊安全管理服務廠</v>
      </c>
      <c r="AE565" t="str">
        <f t="array" ref="AE565:AH565">[1]!'6690.TW-CName,InvestorConferenceDate,DateofMeetingofShareHolders,TradingDate'</f>
        <v>安碁資訊</v>
      </c>
      <c r="AF565" t="str">
        <v>2022/04/15</v>
      </c>
      <c r="AG565" t="str">
        <v>2022/05/27</v>
      </c>
      <c r="AH565" t="str">
        <v>2022/08/01</v>
      </c>
    </row>
    <row r="566" spans="1:34" x14ac:dyDescent="0.3">
      <c r="A566" t="str">
        <f t="array" ref="A566:J566">[1]!'6697.TW-ID,Name,MarketValue,Capital,NetIncomeGrowthRate,OperIncomeGrowthRate,FinancialStatementsTime,TFXRatio,MonthlyNetSalesYoY,RevenueMonth'</f>
        <v>6697</v>
      </c>
      <c r="B566" t="str">
        <v>東捷資訊</v>
      </c>
      <c r="C566" t="str">
        <v>10.2</v>
      </c>
      <c r="D566" t="str">
        <v>2.73</v>
      </c>
      <c r="E566" t="str">
        <v>-19.37</v>
      </c>
      <c r="F566" t="str">
        <v>-26.29</v>
      </c>
      <c r="G566" t="str">
        <v>2022/03</v>
      </c>
      <c r="H566" t="str">
        <v>43.21</v>
      </c>
      <c r="I566" t="str">
        <v>18.07</v>
      </c>
      <c r="J566" t="str">
        <v>2022/06</v>
      </c>
      <c r="K566" t="str">
        <f t="array" ref="K566:T566">[1]!'6697.TW-OperatingProfitRatio,Price,PriceChangeRatio,InOutRatioNumber,Value,YearReturn,MonthReturn,WeekReturn,FinanceBalanceDif,ChipsField2'</f>
        <v>5.08</v>
      </c>
      <c r="L566">
        <v>37.450000000000003</v>
      </c>
      <c r="M566">
        <v>0.94</v>
      </c>
      <c r="N566" t="str">
        <v>80.00%</v>
      </c>
      <c r="O566" t="str">
        <v>56.0萬</v>
      </c>
      <c r="P566" t="str">
        <v>+2.24</v>
      </c>
      <c r="Q566" t="str">
        <v>+11.80</v>
      </c>
      <c r="R566" t="str">
        <v>-0.66</v>
      </c>
      <c r="S566">
        <v>0</v>
      </c>
      <c r="T566">
        <v>0</v>
      </c>
      <c r="U566">
        <f t="array" ref="U566:AD566">[1]!'6697.TW-ChipsField3,ChipsField1,ChipsField25,CashAndStockDividend,CashDividendYieldRate,ProfitFourSeason,ProfitSingle,CName,ExchangeIndustry,CompanyPos'</f>
        <v>0</v>
      </c>
      <c r="V566">
        <v>0</v>
      </c>
      <c r="W566" t="str">
        <v>2022/07/14</v>
      </c>
      <c r="X566" t="str">
        <v>2.00</v>
      </c>
      <c r="Y566">
        <v>5.34</v>
      </c>
      <c r="Z566" t="str">
        <v>2.48</v>
      </c>
      <c r="AA566" t="str">
        <v>0.72</v>
      </c>
      <c r="AB566" t="str">
        <v>東捷資訊</v>
      </c>
      <c r="AC566" t="str">
        <v>上櫃資訊服務</v>
      </c>
      <c r="AD566" t="str">
        <v>東元旗下ERP整合規劃廠</v>
      </c>
      <c r="AE566" t="str">
        <f t="array" ref="AE566:AH566">[1]!'6697.TW-CName,InvestorConferenceDate,DateofMeetingofShareHolders,TradingDate'</f>
        <v>東捷資訊</v>
      </c>
      <c r="AF566" t="str">
        <v>--</v>
      </c>
      <c r="AG566" t="str">
        <v>2022/06/27</v>
      </c>
      <c r="AH566" t="str">
        <v>2022/08/01</v>
      </c>
    </row>
    <row r="567" spans="1:34" x14ac:dyDescent="0.3">
      <c r="A567" t="str">
        <f t="array" ref="A567:J567">[1]!'6751.TW-ID,Name,MarketValue,Capital,NetIncomeGrowthRate,OperIncomeGrowthRate,FinancialStatementsTime,TFXRatio,MonthlyNetSalesYoY,RevenueMonth'</f>
        <v>6751</v>
      </c>
      <c r="B567" t="str">
        <v>智聯服務</v>
      </c>
      <c r="C567" t="str">
        <v>8.2</v>
      </c>
      <c r="D567" t="str">
        <v>2.00</v>
      </c>
      <c r="E567" t="str">
        <v>31.37</v>
      </c>
      <c r="F567" t="str">
        <v>28.00</v>
      </c>
      <c r="G567" t="str">
        <v>2022/03</v>
      </c>
      <c r="H567" t="str">
        <v>13.21</v>
      </c>
      <c r="I567" t="str">
        <v>18.79</v>
      </c>
      <c r="J567" t="str">
        <v>2022/06</v>
      </c>
      <c r="K567" t="str">
        <f t="array" ref="K567:T567">[1]!'6751.TW-OperatingProfitRatio,Price,PriceChangeRatio,InOutRatioNumber,Value,YearReturn,MonthReturn,WeekReturn,FinanceBalanceDif,ChipsField2'</f>
        <v>3.33</v>
      </c>
      <c r="L567">
        <v>40.9</v>
      </c>
      <c r="M567">
        <v>4.5999999999999996</v>
      </c>
      <c r="N567" t="str">
        <v>90.62%</v>
      </c>
      <c r="O567" t="str">
        <v>129萬</v>
      </c>
      <c r="P567" t="str">
        <v>-32.98</v>
      </c>
      <c r="Q567" t="str">
        <v>+4.87</v>
      </c>
      <c r="R567" t="str">
        <v>+7.35</v>
      </c>
      <c r="S567">
        <v>0</v>
      </c>
      <c r="T567">
        <v>0</v>
      </c>
      <c r="U567">
        <f t="array" ref="U567:AD567">[1]!'6751.TW-ChipsField3,ChipsField1,ChipsField25,CashAndStockDividend,CashDividendYieldRate,ProfitFourSeason,ProfitSingle,CName,ExchangeIndustry,CompanyPos'</f>
        <v>0</v>
      </c>
      <c r="V567">
        <v>0</v>
      </c>
      <c r="W567" t="str">
        <v>2022/06/28</v>
      </c>
      <c r="X567" t="str">
        <v>2.10</v>
      </c>
      <c r="Y567">
        <v>5.13</v>
      </c>
      <c r="Z567" t="str">
        <v>2.51</v>
      </c>
      <c r="AA567" t="str">
        <v>0.57</v>
      </c>
      <c r="AB567" t="str">
        <v>智聯服務</v>
      </c>
      <c r="AC567" t="str">
        <v>上櫃資訊服務</v>
      </c>
      <c r="AD567" t="str">
        <v>宏碁旗下IT規劃整合及服務廠</v>
      </c>
      <c r="AE567" t="str">
        <f t="array" ref="AE567:AH567">[1]!'6751.TW-CName,InvestorConferenceDate,DateofMeetingofShareHolders,TradingDate'</f>
        <v>智聯服務</v>
      </c>
      <c r="AF567" t="str">
        <v>2022/04/15</v>
      </c>
      <c r="AG567" t="str">
        <v>2022/06/08</v>
      </c>
      <c r="AH567" t="str">
        <v>2022/08/01</v>
      </c>
    </row>
    <row r="568" spans="1:34" x14ac:dyDescent="0.3">
      <c r="A568" t="str">
        <f t="array" ref="A568:J568">[1]!'6752.TW-ID,Name,MarketValue,Capital,NetIncomeGrowthRate,OperIncomeGrowthRate,FinancialStatementsTime,TFXRatio,MonthlyNetSalesYoY,RevenueMonth'</f>
        <v>6752</v>
      </c>
      <c r="B568" t="str">
        <v>叡揚</v>
      </c>
      <c r="C568" t="str">
        <v>17.7</v>
      </c>
      <c r="D568" t="str">
        <v>2.83</v>
      </c>
      <c r="E568" t="str">
        <v>406.30</v>
      </c>
      <c r="F568" t="str">
        <v>682.25</v>
      </c>
      <c r="G568" t="str">
        <v>2022/03</v>
      </c>
      <c r="H568" t="str">
        <v>6.82</v>
      </c>
      <c r="I568" t="str">
        <v>17.22</v>
      </c>
      <c r="J568" t="str">
        <v>2022/06</v>
      </c>
      <c r="K568" t="str">
        <f t="array" ref="K568:T568">[1]!'6752.TW-OperatingProfitRatio,Price,PriceChangeRatio,InOutRatioNumber,Value,YearReturn,MonthReturn,WeekReturn,FinanceBalanceDif,ChipsField2'</f>
        <v>8.78</v>
      </c>
      <c r="L568">
        <v>62.6</v>
      </c>
      <c r="M568">
        <v>-0.63</v>
      </c>
      <c r="N568" t="str">
        <v>75.00%</v>
      </c>
      <c r="O568" t="str">
        <v>50.0萬</v>
      </c>
      <c r="P568" t="str">
        <v>+12.03</v>
      </c>
      <c r="Q568" t="str">
        <v>+13.00</v>
      </c>
      <c r="R568" t="str">
        <v>+0.81</v>
      </c>
      <c r="S568">
        <v>0</v>
      </c>
      <c r="T568">
        <v>0</v>
      </c>
      <c r="U568">
        <f t="array" ref="U568:AD568">[1]!'6752.TW-ChipsField3,ChipsField1,ChipsField25,CashAndStockDividend,CashDividendYieldRate,ProfitFourSeason,ProfitSingle,CName,ExchangeIndustry,CompanyPos'</f>
        <v>0</v>
      </c>
      <c r="V568">
        <v>0</v>
      </c>
      <c r="W568" t="str">
        <v>2022/06/15</v>
      </c>
      <c r="X568" t="str">
        <v>2.80</v>
      </c>
      <c r="Y568">
        <v>4.47</v>
      </c>
      <c r="Z568" t="str">
        <v>5.48</v>
      </c>
      <c r="AA568" t="str">
        <v>0.86</v>
      </c>
      <c r="AB568" t="str">
        <v>叡揚資訊</v>
      </c>
      <c r="AC568" t="str">
        <v>上櫃資訊服務</v>
      </c>
      <c r="AD568" t="str">
        <v>企業e化應用軟體開發與服務廠</v>
      </c>
      <c r="AE568" t="str">
        <f t="array" ref="AE568:AH568">[1]!'6752.TW-CName,InvestorConferenceDate,DateofMeetingofShareHolders,TradingDate'</f>
        <v>叡揚資訊</v>
      </c>
      <c r="AF568" t="str">
        <v>2022/03/08</v>
      </c>
      <c r="AG568" t="str">
        <v>2022/05/27</v>
      </c>
      <c r="AH568" t="str">
        <v>2022/08/01</v>
      </c>
    </row>
    <row r="569" spans="1:34" x14ac:dyDescent="0.3">
      <c r="A569" t="str">
        <f t="array" ref="A569:J569">[1]!'8099.TW-ID,Name,MarketValue,Capital,NetIncomeGrowthRate,OperIncomeGrowthRate,FinancialStatementsTime,TFXRatio,MonthlyNetSalesYoY,RevenueMonth'</f>
        <v>8099</v>
      </c>
      <c r="B569" t="str">
        <v>大世科</v>
      </c>
      <c r="C569" t="str">
        <v>34.7</v>
      </c>
      <c r="D569" t="str">
        <v>8.86</v>
      </c>
      <c r="E569" t="str">
        <v>11.29</v>
      </c>
      <c r="F569" t="str">
        <v>-16.52</v>
      </c>
      <c r="G569" t="str">
        <v>2022/03</v>
      </c>
      <c r="H569" t="str">
        <v>69.72</v>
      </c>
      <c r="I569" t="str">
        <v>70.61</v>
      </c>
      <c r="J569" t="str">
        <v>2022/06</v>
      </c>
      <c r="K569" t="str">
        <f t="array" ref="K569:T569">[1]!'8099.TW-OperatingProfitRatio,Price,PriceChangeRatio,InOutRatioNumber,Value,YearReturn,MonthReturn,WeekReturn,FinanceBalanceDif,ChipsField2'</f>
        <v>3.22</v>
      </c>
      <c r="L569">
        <v>39.15</v>
      </c>
      <c r="M569">
        <v>0.13</v>
      </c>
      <c r="N569" t="str">
        <v>12.50%</v>
      </c>
      <c r="O569" t="str">
        <v>62.5萬</v>
      </c>
      <c r="P569" t="str">
        <v>+6.50</v>
      </c>
      <c r="Q569" t="str">
        <v>+5.53</v>
      </c>
      <c r="R569" t="str">
        <v>-0.38</v>
      </c>
      <c r="S569">
        <v>0</v>
      </c>
      <c r="T569">
        <v>0</v>
      </c>
      <c r="U569">
        <f t="array" ref="U569:AD569">[1]!'8099.TW-ChipsField3,ChipsField1,ChipsField25,CashAndStockDividend,CashDividendYieldRate,ProfitFourSeason,ProfitSingle,CName,ExchangeIndustry,CompanyPos'</f>
        <v>0</v>
      </c>
      <c r="V569">
        <v>0</v>
      </c>
      <c r="W569" t="str">
        <v>2022/08/09</v>
      </c>
      <c r="X569" t="str">
        <v>1.80</v>
      </c>
      <c r="Y569">
        <v>4.5999999999999996</v>
      </c>
      <c r="Z569" t="str">
        <v>2.06</v>
      </c>
      <c r="AA569" t="str">
        <v>0.45</v>
      </c>
      <c r="AB569" t="str">
        <v>大世科</v>
      </c>
      <c r="AC569" t="str">
        <v>上櫃資訊服務</v>
      </c>
      <c r="AD569" t="str">
        <v>大同旗下資訊通信系統整合廠商</v>
      </c>
      <c r="AE569" t="str">
        <f t="array" ref="AE569:AH569">[1]!'8099.TW-CName,InvestorConferenceDate,DateofMeetingofShareHolders,TradingDate'</f>
        <v>大世科</v>
      </c>
      <c r="AF569" t="str">
        <v>--</v>
      </c>
      <c r="AG569" t="str">
        <v>2022/06/15</v>
      </c>
      <c r="AH569" t="str">
        <v>2022/08/01</v>
      </c>
    </row>
    <row r="570" spans="1:34" x14ac:dyDescent="0.3">
      <c r="A570" t="str">
        <f t="array" ref="A570:J570">[1]!'8284.TW-ID,Name,MarketValue,Capital,NetIncomeGrowthRate,OperIncomeGrowthRate,FinancialStatementsTime,TFXRatio,MonthlyNetSalesYoY,RevenueMonth'</f>
        <v>8284</v>
      </c>
      <c r="B570" t="str">
        <v>三竹</v>
      </c>
      <c r="C570" t="str">
        <v>23.1</v>
      </c>
      <c r="D570" t="str">
        <v>4.63</v>
      </c>
      <c r="E570" t="str">
        <v>83.28</v>
      </c>
      <c r="F570" t="str">
        <v>80.12</v>
      </c>
      <c r="G570" t="str">
        <v>2022/03</v>
      </c>
      <c r="H570" t="str">
        <v>0.59</v>
      </c>
      <c r="I570" t="str">
        <v>7.40</v>
      </c>
      <c r="J570" t="str">
        <v>2022/06</v>
      </c>
      <c r="K570" t="str">
        <f t="array" ref="K570:T570">[1]!'8284.TW-OperatingProfitRatio,Price,PriceChangeRatio,InOutRatioNumber,Value,YearReturn,MonthReturn,WeekReturn,FinanceBalanceDif,ChipsField2'</f>
        <v>11.82</v>
      </c>
      <c r="L570">
        <v>49.85</v>
      </c>
      <c r="M570">
        <v>0.2</v>
      </c>
      <c r="N570" t="str">
        <v>11.76%</v>
      </c>
      <c r="O570" t="str">
        <v>84.3萬</v>
      </c>
      <c r="P570" t="str">
        <v>+18.64</v>
      </c>
      <c r="Q570" t="str">
        <v>+5.73</v>
      </c>
      <c r="R570" t="str">
        <v>+0.40</v>
      </c>
      <c r="S570">
        <v>-1</v>
      </c>
      <c r="T570">
        <v>0</v>
      </c>
      <c r="U570">
        <f t="array" ref="U570:AD570">[1]!'8284.TW-ChipsField3,ChipsField1,ChipsField25,CashAndStockDividend,CashDividendYieldRate,ProfitFourSeason,ProfitSingle,CName,ExchangeIndustry,CompanyPos'</f>
        <v>0</v>
      </c>
      <c r="V570">
        <v>-7</v>
      </c>
      <c r="W570" t="str">
        <v>2022/06/30</v>
      </c>
      <c r="X570" t="str">
        <v>3.00</v>
      </c>
      <c r="Y570">
        <v>6.02</v>
      </c>
      <c r="Z570" t="str">
        <v>4.69</v>
      </c>
      <c r="AA570" t="str">
        <v>1.37</v>
      </c>
      <c r="AB570" t="str">
        <v>三竹</v>
      </c>
      <c r="AC570" t="str">
        <v>上櫃資訊服務</v>
      </c>
      <c r="AD570" t="str">
        <v>金融服務軟體供應商</v>
      </c>
      <c r="AE570" t="str">
        <f t="array" ref="AE570:AH570">[1]!'8284.TW-CName,InvestorConferenceDate,DateofMeetingofShareHolders,TradingDate'</f>
        <v>三竹</v>
      </c>
      <c r="AF570" t="str">
        <v>--</v>
      </c>
      <c r="AG570" t="str">
        <v>2022/06/14</v>
      </c>
      <c r="AH570" t="str">
        <v>2022/08/01</v>
      </c>
    </row>
    <row r="571" spans="1:34" x14ac:dyDescent="0.3">
      <c r="A571" t="str">
        <f t="array" ref="A571:J571">[1]!'8416.TW-ID,Name,MarketValue,Capital,NetIncomeGrowthRate,OperIncomeGrowthRate,FinancialStatementsTime,TFXRatio,MonthlyNetSalesYoY,RevenueMonth'</f>
        <v>8416</v>
      </c>
      <c r="B571" t="str">
        <v>實威</v>
      </c>
      <c r="C571" t="str">
        <v>34.8</v>
      </c>
      <c r="D571" t="str">
        <v>2.82</v>
      </c>
      <c r="E571" t="str">
        <v>43.31</v>
      </c>
      <c r="F571" t="str">
        <v>55.93</v>
      </c>
      <c r="G571" t="str">
        <v>2022/03</v>
      </c>
      <c r="H571" t="str">
        <v>49.02</v>
      </c>
      <c r="I571" t="str">
        <v>7.49</v>
      </c>
      <c r="J571" t="str">
        <v>2022/06</v>
      </c>
      <c r="K571" t="str">
        <f t="array" ref="K571:T571">[1]!'8416.TW-OperatingProfitRatio,Price,PriceChangeRatio,InOutRatioNumber,Value,YearReturn,MonthReturn,WeekReturn,FinanceBalanceDif,ChipsField2'</f>
        <v>26.91</v>
      </c>
      <c r="L571">
        <v>123.5</v>
      </c>
      <c r="M571">
        <v>0</v>
      </c>
      <c r="N571" t="str">
        <v>0.00%</v>
      </c>
      <c r="O571" t="str">
        <v>49.4萬</v>
      </c>
      <c r="P571" t="str">
        <v>+10.07</v>
      </c>
      <c r="Q571" t="str">
        <v>+4.66</v>
      </c>
      <c r="R571" t="str">
        <v>-1.20</v>
      </c>
      <c r="S571">
        <v>0</v>
      </c>
      <c r="T571">
        <v>0</v>
      </c>
      <c r="U571">
        <f t="array" ref="U571:AD571">[1]!'8416.TW-ChipsField3,ChipsField1,ChipsField25,CashAndStockDividend,CashDividendYieldRate,ProfitFourSeason,ProfitSingle,CName,ExchangeIndustry,CompanyPos'</f>
        <v>0</v>
      </c>
      <c r="V571">
        <v>-1</v>
      </c>
      <c r="W571" t="str">
        <v>2022/06/16</v>
      </c>
      <c r="X571" t="str">
        <v>8.00</v>
      </c>
      <c r="Y571">
        <v>6.48</v>
      </c>
      <c r="Z571" t="str">
        <v>12.10</v>
      </c>
      <c r="AA571" t="str">
        <v>2.47</v>
      </c>
      <c r="AB571" t="str">
        <v>實威</v>
      </c>
      <c r="AC571" t="str">
        <v>上櫃資訊服務</v>
      </c>
      <c r="AD571" t="str">
        <v>3D CAD/CAM/CAE/PDM軟硬體代理商</v>
      </c>
      <c r="AE571" t="str">
        <f t="array" ref="AE571:AH571">[1]!'8416.TW-CName,InvestorConferenceDate,DateofMeetingofShareHolders,TradingDate'</f>
        <v>實威</v>
      </c>
      <c r="AF571" t="str">
        <v>--</v>
      </c>
      <c r="AG571" t="str">
        <v>2022/05/30</v>
      </c>
      <c r="AH571" t="str">
        <v>2022/08/01</v>
      </c>
    </row>
    <row r="572" spans="1:34" x14ac:dyDescent="0.3">
      <c r="A572" t="str">
        <f t="array" ref="A572:J572">[1]!'1785.TW-ID,Name,MarketValue,Capital,NetIncomeGrowthRate,OperIncomeGrowthRate,FinancialStatementsTime,TFXRatio,MonthlyNetSalesYoY,RevenueMonth'</f>
        <v>1785</v>
      </c>
      <c r="B572" t="str">
        <v>光洋科</v>
      </c>
      <c r="C572" t="str">
        <v>224.6</v>
      </c>
      <c r="D572" t="str">
        <v>59.74</v>
      </c>
      <c r="E572" t="str">
        <v>42.58</v>
      </c>
      <c r="F572" t="str">
        <v>49.57</v>
      </c>
      <c r="G572" t="str">
        <v>2022/03</v>
      </c>
      <c r="H572" t="str">
        <v>1.15</v>
      </c>
      <c r="I572" t="str">
        <v>-5.57</v>
      </c>
      <c r="J572" t="str">
        <v>2022/06</v>
      </c>
      <c r="K572" t="str">
        <f t="array" ref="K572:T572">[1]!'1785.TW-OperatingProfitRatio,Price,PriceChangeRatio,InOutRatioNumber,Value,YearReturn,MonthReturn,WeekReturn,FinanceBalanceDif,ChipsField2'</f>
        <v>7.11</v>
      </c>
      <c r="L572">
        <v>37.6</v>
      </c>
      <c r="M572">
        <v>1.35</v>
      </c>
      <c r="N572" t="str">
        <v>57.85%</v>
      </c>
      <c r="O572" t="str">
        <v>3937萬</v>
      </c>
      <c r="P572" t="str">
        <v>-14.69</v>
      </c>
      <c r="Q572" t="str">
        <v>+1.54</v>
      </c>
      <c r="R572" t="str">
        <v>-0.65</v>
      </c>
      <c r="S572">
        <v>-17</v>
      </c>
      <c r="T572">
        <v>0</v>
      </c>
      <c r="U572">
        <f t="array" ref="U572:AD572">[1]!'1785.TW-ChipsField3,ChipsField1,ChipsField25,CashAndStockDividend,CashDividendYieldRate,ProfitFourSeason,ProfitSingle,CName,ExchangeIndustry,CompanyPos'</f>
        <v>-1</v>
      </c>
      <c r="V572">
        <v>269</v>
      </c>
      <c r="W572" t="str">
        <v>2022/07/27</v>
      </c>
      <c r="X572" t="str">
        <v>1.49</v>
      </c>
      <c r="Y572">
        <v>3.96</v>
      </c>
      <c r="Z572" t="str">
        <v>2.31</v>
      </c>
      <c r="AA572" t="str">
        <v>0.63</v>
      </c>
      <c r="AB572" t="str">
        <v>光洋科</v>
      </c>
      <c r="AC572" t="str">
        <v>上櫃其他電子</v>
      </c>
      <c r="AD572" t="str">
        <v>全球最大硬碟靶材供應商</v>
      </c>
      <c r="AE572" t="str">
        <f t="array" ref="AE572:AH572">[1]!'1785.TW-CName,InvestorConferenceDate,DateofMeetingofShareHolders,TradingDate'</f>
        <v>光洋科</v>
      </c>
      <c r="AF572" t="str">
        <v>2022/04/27</v>
      </c>
      <c r="AG572" t="str">
        <v>2022/05/31</v>
      </c>
      <c r="AH572" t="str">
        <v>2022/08/01</v>
      </c>
    </row>
    <row r="573" spans="1:34" x14ac:dyDescent="0.3">
      <c r="A573" t="str">
        <f t="array" ref="A573:J573">[1]!'3067.TW-ID,Name,MarketValue,Capital,NetIncomeGrowthRate,OperIncomeGrowthRate,FinancialStatementsTime,TFXRatio,MonthlyNetSalesYoY,RevenueMonth'</f>
        <v>3067</v>
      </c>
      <c r="B573" t="str">
        <v>全域</v>
      </c>
      <c r="C573" t="str">
        <v>8.0</v>
      </c>
      <c r="D573" t="str">
        <v>2.00</v>
      </c>
      <c r="E573" t="str">
        <v>84.92</v>
      </c>
      <c r="F573" t="str">
        <v>65.33</v>
      </c>
      <c r="G573" t="str">
        <v>2022/03</v>
      </c>
      <c r="H573" t="str">
        <v>-68.57</v>
      </c>
      <c r="I573" t="str">
        <v>-64.07</v>
      </c>
      <c r="J573" t="str">
        <v>2022/06</v>
      </c>
      <c r="K573" t="str">
        <f t="array" ref="K573:T573">[1]!'3067.TW-OperatingProfitRatio,Price,PriceChangeRatio,InOutRatioNumber,Value,YearReturn,MonthReturn,WeekReturn,FinanceBalanceDif,ChipsField2'</f>
        <v>-17.01</v>
      </c>
      <c r="L573" t="str">
        <v>--</v>
      </c>
      <c r="M573" t="str">
        <v>--</v>
      </c>
      <c r="N573" t="str">
        <v>--</v>
      </c>
      <c r="O573" t="str">
        <v>--</v>
      </c>
      <c r="P573" t="str">
        <v>-1.56</v>
      </c>
      <c r="Q573" t="str">
        <v>-1.23</v>
      </c>
      <c r="R573" t="str">
        <v>+0.13</v>
      </c>
      <c r="S573">
        <v>0</v>
      </c>
      <c r="T573">
        <v>0</v>
      </c>
      <c r="U573">
        <f t="array" ref="U573:AD573">[1]!'3067.TW-ChipsField3,ChipsField1,ChipsField25,CashAndStockDividend,CashDividendYieldRate,ProfitFourSeason,ProfitSingle,CName,ExchangeIndustry,CompanyPos'</f>
        <v>0</v>
      </c>
      <c r="V573">
        <v>0</v>
      </c>
      <c r="W573" t="str">
        <v>--</v>
      </c>
      <c r="X573" t="str">
        <v>0.00</v>
      </c>
      <c r="Y573">
        <v>0</v>
      </c>
      <c r="Z573" t="str">
        <v>4.00</v>
      </c>
      <c r="AA573" t="str">
        <v>-0.04</v>
      </c>
      <c r="AB573" t="str">
        <v>全域</v>
      </c>
      <c r="AC573" t="str">
        <v>上櫃其他電子</v>
      </c>
      <c r="AD573" t="str">
        <v>以Phonic為品牌行銷全球之專業音響廠商</v>
      </c>
      <c r="AE573" t="str">
        <f t="array" ref="AE573:AH573">[1]!'3067.TW-CName,InvestorConferenceDate,DateofMeetingofShareHolders,TradingDate'</f>
        <v>全域</v>
      </c>
      <c r="AF573" t="str">
        <v>--</v>
      </c>
      <c r="AG573" t="str">
        <v>2022/06/17</v>
      </c>
      <c r="AH573" t="str">
        <v>2022/08/01</v>
      </c>
    </row>
    <row r="574" spans="1:34" x14ac:dyDescent="0.3">
      <c r="A574" t="str">
        <f t="array" ref="A574:J574">[1]!'3093.TW-ID,Name,MarketValue,Capital,NetIncomeGrowthRate,OperIncomeGrowthRate,FinancialStatementsTime,TFXRatio,MonthlyNetSalesYoY,RevenueMonth'</f>
        <v>3093</v>
      </c>
      <c r="B574" t="str">
        <v>港建</v>
      </c>
      <c r="C574" t="str">
        <v>46.8</v>
      </c>
      <c r="D574" t="str">
        <v>3.63</v>
      </c>
      <c r="E574" t="str">
        <v>184.05</v>
      </c>
      <c r="F574" t="str">
        <v>140.36</v>
      </c>
      <c r="G574" t="str">
        <v>2022/03</v>
      </c>
      <c r="H574" t="str">
        <v>19.15</v>
      </c>
      <c r="I574" t="str">
        <v>98.79</v>
      </c>
      <c r="J574" t="str">
        <v>2022/06</v>
      </c>
      <c r="K574" t="str">
        <f t="array" ref="K574:T574">[1]!'3093.TW-OperatingProfitRatio,Price,PriceChangeRatio,InOutRatioNumber,Value,YearReturn,MonthReturn,WeekReturn,FinanceBalanceDif,ChipsField2'</f>
        <v>26.10</v>
      </c>
      <c r="L574">
        <v>129</v>
      </c>
      <c r="M574">
        <v>0.78</v>
      </c>
      <c r="N574" t="str">
        <v>49.50%</v>
      </c>
      <c r="O574" t="str">
        <v>5459萬</v>
      </c>
      <c r="P574" t="str">
        <v>+105.91</v>
      </c>
      <c r="Q574" t="str">
        <v>+15.18</v>
      </c>
      <c r="R574" t="str">
        <v>-0.39</v>
      </c>
      <c r="S574">
        <v>11</v>
      </c>
      <c r="T574">
        <v>0</v>
      </c>
      <c r="U574">
        <f t="array" ref="U574:AD574">[1]!'3093.TW-ChipsField3,ChipsField1,ChipsField25,CashAndStockDividend,CashDividendYieldRate,ProfitFourSeason,ProfitSingle,CName,ExchangeIndustry,CompanyPos'</f>
        <v>1</v>
      </c>
      <c r="V574">
        <v>-3</v>
      </c>
      <c r="W574" t="str">
        <v>2022/06/30</v>
      </c>
      <c r="X574" t="str">
        <v>6.30</v>
      </c>
      <c r="Y574">
        <v>4.88</v>
      </c>
      <c r="Z574" t="str">
        <v>9.67</v>
      </c>
      <c r="AA574" t="str">
        <v>3.44</v>
      </c>
      <c r="AB574" t="str">
        <v>港建</v>
      </c>
      <c r="AC574" t="str">
        <v>上櫃其他電子</v>
      </c>
      <c r="AD574" t="str">
        <v>PCB、IC封裝及CD-R/DVD製程設備廠</v>
      </c>
      <c r="AE574" t="str">
        <f t="array" ref="AE574:AH574">[1]!'3093.TW-CName,InvestorConferenceDate,DateofMeetingofShareHolders,TradingDate'</f>
        <v>港建</v>
      </c>
      <c r="AF574" t="str">
        <v>--</v>
      </c>
      <c r="AG574" t="str">
        <v>2022/06/14</v>
      </c>
      <c r="AH574" t="str">
        <v>2022/08/01</v>
      </c>
    </row>
    <row r="575" spans="1:34" x14ac:dyDescent="0.3">
      <c r="A575" t="str">
        <f t="array" ref="A575:J575">[1]!'3131.TW-ID,Name,MarketValue,Capital,NetIncomeGrowthRate,OperIncomeGrowthRate,FinancialStatementsTime,TFXRatio,MonthlyNetSalesYoY,RevenueMonth'</f>
        <v>3131</v>
      </c>
      <c r="B575" t="str">
        <v>弘塑</v>
      </c>
      <c r="C575" t="str">
        <v>66.9</v>
      </c>
      <c r="D575" t="str">
        <v>2.92</v>
      </c>
      <c r="E575" t="str">
        <v>23.34</v>
      </c>
      <c r="F575" t="str">
        <v>-2.69</v>
      </c>
      <c r="G575" t="str">
        <v>2022/03</v>
      </c>
      <c r="H575" t="str">
        <v>14.16</v>
      </c>
      <c r="I575" t="str">
        <v>23.12</v>
      </c>
      <c r="J575" t="str">
        <v>2022/06</v>
      </c>
      <c r="K575" t="str">
        <f t="array" ref="K575:T575">[1]!'3131.TW-OperatingProfitRatio,Price,PriceChangeRatio,InOutRatioNumber,Value,YearReturn,MonthReturn,WeekReturn,FinanceBalanceDif,ChipsField2'</f>
        <v>18.82</v>
      </c>
      <c r="L575">
        <v>229</v>
      </c>
      <c r="M575">
        <v>-0.43</v>
      </c>
      <c r="N575" t="str">
        <v>45.59%</v>
      </c>
      <c r="O575" t="str">
        <v>1555萬</v>
      </c>
      <c r="P575" t="str">
        <v>-39.38</v>
      </c>
      <c r="Q575" t="str">
        <v>+13.42</v>
      </c>
      <c r="R575" t="str">
        <v>+2.76</v>
      </c>
      <c r="S575">
        <v>0</v>
      </c>
      <c r="T575">
        <v>0</v>
      </c>
      <c r="U575">
        <f t="array" ref="U575:AD575">[1]!'3131.TW-ChipsField3,ChipsField1,ChipsField25,CashAndStockDividend,CashDividendYieldRate,ProfitFourSeason,ProfitSingle,CName,ExchangeIndustry,CompanyPos'</f>
        <v>0</v>
      </c>
      <c r="V575">
        <v>3</v>
      </c>
      <c r="W575" t="str">
        <v>2022/07/28</v>
      </c>
      <c r="X575" t="str">
        <v>17.00</v>
      </c>
      <c r="Y575">
        <v>7.42</v>
      </c>
      <c r="Z575" t="str">
        <v>24.53</v>
      </c>
      <c r="AA575" t="str">
        <v>5.90</v>
      </c>
      <c r="AB575" t="str">
        <v>弘塑</v>
      </c>
      <c r="AC575" t="str">
        <v>上櫃其他電子</v>
      </c>
      <c r="AD575" t="str">
        <v>酸槽設備在台市占率第一名</v>
      </c>
      <c r="AE575" t="str">
        <f t="array" ref="AE575:AH575">[1]!'3131.TW-CName,InvestorConferenceDate,DateofMeetingofShareHolders,TradingDate'</f>
        <v>弘塑</v>
      </c>
      <c r="AF575" t="str">
        <v>--</v>
      </c>
      <c r="AG575" t="str">
        <v>2022/06/23</v>
      </c>
      <c r="AH575" t="str">
        <v>2022/08/01</v>
      </c>
    </row>
    <row r="576" spans="1:34" x14ac:dyDescent="0.3">
      <c r="A576" t="str">
        <f t="array" ref="A576:J576">[1]!'3219.TW-ID,Name,MarketValue,Capital,NetIncomeGrowthRate,OperIncomeGrowthRate,FinancialStatementsTime,TFXRatio,MonthlyNetSalesYoY,RevenueMonth'</f>
        <v>3219</v>
      </c>
      <c r="B576" t="str">
        <v>倚強科</v>
      </c>
      <c r="C576" t="str">
        <v>56.5</v>
      </c>
      <c r="D576" t="str">
        <v>7.03</v>
      </c>
      <c r="E576" t="str">
        <v>162.60</v>
      </c>
      <c r="F576" t="str">
        <v>-5279.25</v>
      </c>
      <c r="G576" t="str">
        <v>2022/03</v>
      </c>
      <c r="H576" t="str">
        <v>75.36</v>
      </c>
      <c r="I576" t="str">
        <v>-48.35</v>
      </c>
      <c r="J576" t="str">
        <v>2022/06</v>
      </c>
      <c r="K576" t="str">
        <f t="array" ref="K576:T576">[1]!'3219.TW-OperatingProfitRatio,Price,PriceChangeRatio,InOutRatioNumber,Value,YearReturn,MonthReturn,WeekReturn,FinanceBalanceDif,ChipsField2'</f>
        <v>-12.50</v>
      </c>
      <c r="L576">
        <v>80.400000000000006</v>
      </c>
      <c r="M576">
        <v>0.25</v>
      </c>
      <c r="N576" t="str">
        <v>37.50%</v>
      </c>
      <c r="O576" t="str">
        <v>64.8萬</v>
      </c>
      <c r="P576" t="str">
        <v>-47.86</v>
      </c>
      <c r="Q576" t="str">
        <v>+12.33</v>
      </c>
      <c r="R576" t="str">
        <v>-0.72</v>
      </c>
      <c r="S576">
        <v>-5</v>
      </c>
      <c r="T576">
        <v>0</v>
      </c>
      <c r="U576">
        <f t="array" ref="U576:AD576">[1]!'3219.TW-ChipsField3,ChipsField1,ChipsField25,CashAndStockDividend,CashDividendYieldRate,ProfitFourSeason,ProfitSingle,CName,ExchangeIndustry,CompanyPos'</f>
        <v>0</v>
      </c>
      <c r="V576">
        <v>5</v>
      </c>
      <c r="W576" t="str">
        <v>2022/07/28</v>
      </c>
      <c r="X576" t="str">
        <v>2.50</v>
      </c>
      <c r="Y576">
        <v>3.11</v>
      </c>
      <c r="Z576" t="str">
        <v>6.73</v>
      </c>
      <c r="AA576" t="str">
        <v>0.41</v>
      </c>
      <c r="AB576" t="str">
        <v>倚強科</v>
      </c>
      <c r="AC576" t="str">
        <v>上櫃其他電子</v>
      </c>
      <c r="AD576" t="str">
        <v>轉型為自動化設備相關產品開發設計</v>
      </c>
      <c r="AE576" t="str">
        <f t="array" ref="AE576:AH576">[1]!'3219.TW-CName,InvestorConferenceDate,DateofMeetingofShareHolders,TradingDate'</f>
        <v>倚強科</v>
      </c>
      <c r="AF576" t="str">
        <v>--</v>
      </c>
      <c r="AG576" t="str">
        <v>2022/06/22</v>
      </c>
      <c r="AH576" t="str">
        <v>2022/08/01</v>
      </c>
    </row>
    <row r="577" spans="1:34" x14ac:dyDescent="0.3">
      <c r="A577" t="str">
        <f t="array" ref="A577:J577">[1]!'3285.TW-ID,Name,MarketValue,Capital,NetIncomeGrowthRate,OperIncomeGrowthRate,FinancialStatementsTime,TFXRatio,MonthlyNetSalesYoY,RevenueMonth'</f>
        <v>3285</v>
      </c>
      <c r="B577" t="str">
        <v>微端</v>
      </c>
      <c r="C577" t="str">
        <v>8.3</v>
      </c>
      <c r="D577" t="str">
        <v>4.27</v>
      </c>
      <c r="E577" t="str">
        <v>-22.21</v>
      </c>
      <c r="F577" t="str">
        <v>-303.68</v>
      </c>
      <c r="G577" t="str">
        <v>2022/03</v>
      </c>
      <c r="H577" t="str">
        <v>-11.60</v>
      </c>
      <c r="I577" t="str">
        <v>-38.85</v>
      </c>
      <c r="J577" t="str">
        <v>2022/06</v>
      </c>
      <c r="K577" t="str">
        <f t="array" ref="K577:T577">[1]!'3285.TW-OperatingProfitRatio,Price,PriceChangeRatio,InOutRatioNumber,Value,YearReturn,MonthReturn,WeekReturn,FinanceBalanceDif,ChipsField2'</f>
        <v>-8.84</v>
      </c>
      <c r="L577">
        <v>19.399999999999999</v>
      </c>
      <c r="M577">
        <v>0</v>
      </c>
      <c r="N577" t="str">
        <v>25.00%</v>
      </c>
      <c r="O577" t="str">
        <v>61.6萬</v>
      </c>
      <c r="P577" t="str">
        <v>-14.22</v>
      </c>
      <c r="Q577" t="str">
        <v>-0.26</v>
      </c>
      <c r="R577" t="str">
        <v>-0.77</v>
      </c>
      <c r="S577">
        <v>0</v>
      </c>
      <c r="T577">
        <v>0</v>
      </c>
      <c r="U577">
        <f t="array" ref="U577:AD577">[1]!'3285.TW-ChipsField3,ChipsField1,ChipsField25,CashAndStockDividend,CashDividendYieldRate,ProfitFourSeason,ProfitSingle,CName,ExchangeIndustry,CompanyPos'</f>
        <v>0</v>
      </c>
      <c r="V577">
        <v>1</v>
      </c>
      <c r="W577" t="str">
        <v>--</v>
      </c>
      <c r="X577" t="str">
        <v>0.00</v>
      </c>
      <c r="Y577">
        <v>0</v>
      </c>
      <c r="Z577" t="str">
        <v>-0.14</v>
      </c>
      <c r="AA577" t="str">
        <v>-0.21</v>
      </c>
      <c r="AB577" t="str">
        <v>微端</v>
      </c>
      <c r="AC577" t="str">
        <v>上櫃其他電子</v>
      </c>
      <c r="AD577" t="str">
        <v>數位影音產品與LCD模組製造商</v>
      </c>
      <c r="AE577" t="str">
        <f t="array" ref="AE577:AH577">[1]!'3285.TW-CName,InvestorConferenceDate,DateofMeetingofShareHolders,TradingDate'</f>
        <v>微端</v>
      </c>
      <c r="AF577" t="str">
        <v>--</v>
      </c>
      <c r="AG577" t="str">
        <v>2022/06/16</v>
      </c>
      <c r="AH577" t="str">
        <v>2022/08/01</v>
      </c>
    </row>
    <row r="578" spans="1:34" x14ac:dyDescent="0.3">
      <c r="A578" t="str">
        <f t="array" ref="A578:J578">[1]!'3289.TW-ID,Name,MarketValue,Capital,NetIncomeGrowthRate,OperIncomeGrowthRate,FinancialStatementsTime,TFXRatio,MonthlyNetSalesYoY,RevenueMonth'</f>
        <v>3289</v>
      </c>
      <c r="B578" t="str">
        <v>宜特</v>
      </c>
      <c r="C578" t="str">
        <v>40.5</v>
      </c>
      <c r="D578" t="str">
        <v>7.48</v>
      </c>
      <c r="E578" t="str">
        <v>112.40</v>
      </c>
      <c r="F578" t="str">
        <v>37.29</v>
      </c>
      <c r="G578" t="str">
        <v>2022/03</v>
      </c>
      <c r="H578" t="str">
        <v>2.67</v>
      </c>
      <c r="I578" t="str">
        <v>32.56</v>
      </c>
      <c r="J578" t="str">
        <v>2022/06</v>
      </c>
      <c r="K578" t="str">
        <f t="array" ref="K578:T578">[1]!'3289.TW-OperatingProfitRatio,Price,PriceChangeRatio,InOutRatioNumber,Value,YearReturn,MonthReturn,WeekReturn,FinanceBalanceDif,ChipsField2'</f>
        <v>9.69</v>
      </c>
      <c r="L578">
        <v>54.1</v>
      </c>
      <c r="M578">
        <v>-0.37</v>
      </c>
      <c r="N578" t="str">
        <v>48.64%</v>
      </c>
      <c r="O578" t="str">
        <v>1238萬</v>
      </c>
      <c r="P578" t="str">
        <v>+11.42</v>
      </c>
      <c r="Q578" t="str">
        <v>+14.98</v>
      </c>
      <c r="R578" t="str">
        <v>+0.19</v>
      </c>
      <c r="S578">
        <v>-3</v>
      </c>
      <c r="T578">
        <v>0</v>
      </c>
      <c r="U578">
        <f t="array" ref="U578:AD578">[1]!'3289.TW-ChipsField3,ChipsField1,ChipsField25,CashAndStockDividend,CashDividendYieldRate,ProfitFourSeason,ProfitSingle,CName,ExchangeIndustry,CompanyPos'</f>
        <v>0</v>
      </c>
      <c r="V578">
        <v>112</v>
      </c>
      <c r="W578" t="str">
        <v>2022/01/25</v>
      </c>
      <c r="X578" t="str">
        <v>0.44</v>
      </c>
      <c r="Y578">
        <v>5.79</v>
      </c>
      <c r="Z578" t="str">
        <v>2.35</v>
      </c>
      <c r="AA578" t="str">
        <v>1.03</v>
      </c>
      <c r="AB578" t="str">
        <v>宜特</v>
      </c>
      <c r="AC578" t="str">
        <v>上櫃其他電子</v>
      </c>
      <c r="AD578" t="str">
        <v>台灣IC設計驗証服務市場龍頭</v>
      </c>
      <c r="AE578" t="str">
        <f t="array" ref="AE578:AH578">[1]!'3289.TW-CName,InvestorConferenceDate,DateofMeetingofShareHolders,TradingDate'</f>
        <v>宜特</v>
      </c>
      <c r="AF578" t="str">
        <v>--</v>
      </c>
      <c r="AG578" t="str">
        <v>2022/06/14</v>
      </c>
      <c r="AH578" t="str">
        <v>2022/08/01</v>
      </c>
    </row>
    <row r="579" spans="1:34" x14ac:dyDescent="0.3">
      <c r="A579" t="str">
        <f t="array" ref="A579:J579">[1]!'3303.TW-ID,Name,MarketValue,Capital,NetIncomeGrowthRate,OperIncomeGrowthRate,FinancialStatementsTime,TFXRatio,MonthlyNetSalesYoY,RevenueMonth'</f>
        <v>3303</v>
      </c>
      <c r="B579" t="str">
        <v>岱稜</v>
      </c>
      <c r="C579" t="str">
        <v>28.1</v>
      </c>
      <c r="D579" t="str">
        <v>9.41</v>
      </c>
      <c r="E579" t="str">
        <v>64.76</v>
      </c>
      <c r="F579" t="str">
        <v>23.89</v>
      </c>
      <c r="G579" t="str">
        <v>2022/03</v>
      </c>
      <c r="H579" t="str">
        <v>-4.48</v>
      </c>
      <c r="I579" t="str">
        <v>3.79</v>
      </c>
      <c r="J579" t="str">
        <v>2022/06</v>
      </c>
      <c r="K579" t="str">
        <f t="array" ref="K579:T579">[1]!'3303.TW-OperatingProfitRatio,Price,PriceChangeRatio,InOutRatioNumber,Value,YearReturn,MonthReturn,WeekReturn,FinanceBalanceDif,ChipsField2'</f>
        <v>11.74</v>
      </c>
      <c r="L579">
        <v>29.85</v>
      </c>
      <c r="M579">
        <v>-0.83</v>
      </c>
      <c r="N579" t="str">
        <v>27.47%</v>
      </c>
      <c r="O579" t="str">
        <v>272萬</v>
      </c>
      <c r="P579" t="str">
        <v>+47.90</v>
      </c>
      <c r="Q579" t="str">
        <v>+14.35</v>
      </c>
      <c r="R579" t="str">
        <v>+4.92</v>
      </c>
      <c r="S579">
        <v>44</v>
      </c>
      <c r="T579">
        <v>0</v>
      </c>
      <c r="U579">
        <f t="array" ref="U579:AD579">[1]!'3303.TW-ChipsField3,ChipsField1,ChipsField25,CashAndStockDividend,CashDividendYieldRate,ProfitFourSeason,ProfitSingle,CName,ExchangeIndustry,CompanyPos'</f>
        <v>0</v>
      </c>
      <c r="V579">
        <v>58</v>
      </c>
      <c r="W579" t="str">
        <v>2022/07/07</v>
      </c>
      <c r="X579" t="str">
        <v>1.45</v>
      </c>
      <c r="Y579">
        <v>4.8600000000000003</v>
      </c>
      <c r="Z579" t="str">
        <v>1.96</v>
      </c>
      <c r="AA579" t="str">
        <v>0.87</v>
      </c>
      <c r="AB579" t="str">
        <v>岱稜</v>
      </c>
      <c r="AC579" t="str">
        <v>上櫃其他電子</v>
      </c>
      <c r="AD579" t="str">
        <v>全球前三大的燙金箔領導商</v>
      </c>
      <c r="AE579" t="str">
        <f t="array" ref="AE579:AH579">[1]!'3303.TW-CName,InvestorConferenceDate,DateofMeetingofShareHolders,TradingDate'</f>
        <v>岱稜</v>
      </c>
      <c r="AF579" t="str">
        <v>2021/11/23</v>
      </c>
      <c r="AG579" t="str">
        <v>2022/05/26</v>
      </c>
      <c r="AH579" t="str">
        <v>2022/08/01</v>
      </c>
    </row>
    <row r="580" spans="1:34" x14ac:dyDescent="0.3">
      <c r="A580" t="str">
        <f t="array" ref="A580:J580">[1]!'3324.TW-ID,Name,MarketValue,Capital,NetIncomeGrowthRate,OperIncomeGrowthRate,FinancialStatementsTime,TFXRatio,MonthlyNetSalesYoY,RevenueMonth'</f>
        <v>3324</v>
      </c>
      <c r="B580" t="str">
        <v>雙鴻</v>
      </c>
      <c r="C580" t="str">
        <v>154.7</v>
      </c>
      <c r="D580" t="str">
        <v>8.84</v>
      </c>
      <c r="E580" t="str">
        <v>-3.64</v>
      </c>
      <c r="F580" t="str">
        <v>-14.27</v>
      </c>
      <c r="G580" t="str">
        <v>2022/03</v>
      </c>
      <c r="H580" t="str">
        <v>15.48</v>
      </c>
      <c r="I580" t="str">
        <v>26.04</v>
      </c>
      <c r="J580" t="str">
        <v>2022/06</v>
      </c>
      <c r="K580" t="str">
        <f t="array" ref="K580:T580">[1]!'3324.TW-OperatingProfitRatio,Price,PriceChangeRatio,InOutRatioNumber,Value,YearReturn,MonthReturn,WeekReturn,FinanceBalanceDif,ChipsField2'</f>
        <v>7.75</v>
      </c>
      <c r="L580">
        <v>175</v>
      </c>
      <c r="M580">
        <v>-0.85</v>
      </c>
      <c r="N580" t="str">
        <v>50.73%</v>
      </c>
      <c r="O580" t="str">
        <v>2.91億</v>
      </c>
      <c r="P580" t="str">
        <v>+5.55</v>
      </c>
      <c r="Q580" t="str">
        <v>+16.28</v>
      </c>
      <c r="R580" t="str">
        <v>-0.57</v>
      </c>
      <c r="S580">
        <v>-88</v>
      </c>
      <c r="T580">
        <v>0</v>
      </c>
      <c r="U580">
        <f t="array" ref="U580:AD580">[1]!'3324.TW-ChipsField3,ChipsField1,ChipsField25,CashAndStockDividend,CashDividendYieldRate,ProfitFourSeason,ProfitSingle,CName,ExchangeIndustry,CompanyPos'</f>
        <v>74</v>
      </c>
      <c r="V580">
        <v>632</v>
      </c>
      <c r="W580" t="str">
        <v>2022/06/30</v>
      </c>
      <c r="X580" t="str">
        <v>6.00</v>
      </c>
      <c r="Y580">
        <v>3.43</v>
      </c>
      <c r="Z580" t="str">
        <v>13.14</v>
      </c>
      <c r="AA580" t="str">
        <v>3.42</v>
      </c>
      <c r="AB580" t="str">
        <v>雙鴻</v>
      </c>
      <c r="AC580" t="str">
        <v>上櫃其他電子</v>
      </c>
      <c r="AD580" t="str">
        <v>台灣前二大散熱模組廠商</v>
      </c>
      <c r="AE580" t="str">
        <f t="array" ref="AE580:AH580">[1]!'3324.TW-CName,InvestorConferenceDate,DateofMeetingofShareHolders,TradingDate'</f>
        <v>雙鴻</v>
      </c>
      <c r="AF580" t="str">
        <v>2021/08/31</v>
      </c>
      <c r="AG580" t="str">
        <v>2022/06/02</v>
      </c>
      <c r="AH580" t="str">
        <v>2022/08/01</v>
      </c>
    </row>
    <row r="581" spans="1:34" x14ac:dyDescent="0.3">
      <c r="A581" t="str">
        <f t="array" ref="A581:J581">[1]!'3373.TW-ID,Name,MarketValue,Capital,NetIncomeGrowthRate,OperIncomeGrowthRate,FinancialStatementsTime,TFXRatio,MonthlyNetSalesYoY,RevenueMonth'</f>
        <v>3373</v>
      </c>
      <c r="B581" t="str">
        <v>熱映</v>
      </c>
      <c r="C581" t="str">
        <v>8.9</v>
      </c>
      <c r="D581" t="str">
        <v>4.33</v>
      </c>
      <c r="E581" t="str">
        <v>-95.22</v>
      </c>
      <c r="F581" t="str">
        <v>-107.06</v>
      </c>
      <c r="G581" t="str">
        <v>2022/03</v>
      </c>
      <c r="H581" t="str">
        <v>-17.11</v>
      </c>
      <c r="I581" t="str">
        <v>-20.95</v>
      </c>
      <c r="J581" t="str">
        <v>2022/06</v>
      </c>
      <c r="K581" t="str">
        <f t="array" ref="K581:T581">[1]!'3373.TW-OperatingProfitRatio,Price,PriceChangeRatio,InOutRatioNumber,Value,YearReturn,MonthReturn,WeekReturn,FinanceBalanceDif,ChipsField2'</f>
        <v>-3.81</v>
      </c>
      <c r="L581">
        <v>20.6</v>
      </c>
      <c r="M581">
        <v>0.73</v>
      </c>
      <c r="N581" t="str">
        <v>51.52%</v>
      </c>
      <c r="O581" t="str">
        <v>67.2萬</v>
      </c>
      <c r="P581" t="str">
        <v>-59.47</v>
      </c>
      <c r="Q581" t="str">
        <v>+6.19</v>
      </c>
      <c r="R581" t="str">
        <v>-1.44</v>
      </c>
      <c r="S581">
        <v>4</v>
      </c>
      <c r="T581">
        <v>0</v>
      </c>
      <c r="U581">
        <f t="array" ref="U581:AD581">[1]!'3373.TW-ChipsField3,ChipsField1,ChipsField25,CashAndStockDividend,CashDividendYieldRate,ProfitFourSeason,ProfitSingle,CName,ExchangeIndustry,CompanyPos'</f>
        <v>0</v>
      </c>
      <c r="V581">
        <v>-2</v>
      </c>
      <c r="W581" t="str">
        <v>2022/07/01</v>
      </c>
      <c r="X581" t="str">
        <v>1.50</v>
      </c>
      <c r="Y581">
        <v>7.28</v>
      </c>
      <c r="Z581" t="str">
        <v>1.17</v>
      </c>
      <c r="AA581" t="str">
        <v>0.07</v>
      </c>
      <c r="AB581" t="str">
        <v>熱映</v>
      </c>
      <c r="AC581" t="str">
        <v>上櫃其他電子</v>
      </c>
      <c r="AD581" t="str">
        <v>主營紅外線精密量測技術產品</v>
      </c>
      <c r="AE581" t="str">
        <f t="array" ref="AE581:AH581">[1]!'3373.TW-CName,InvestorConferenceDate,DateofMeetingofShareHolders,TradingDate'</f>
        <v>熱映</v>
      </c>
      <c r="AF581" t="str">
        <v>--</v>
      </c>
      <c r="AG581" t="str">
        <v>2022/06/14</v>
      </c>
      <c r="AH581" t="str">
        <v>2022/08/01</v>
      </c>
    </row>
    <row r="582" spans="1:34" x14ac:dyDescent="0.3">
      <c r="A582" t="str">
        <f t="array" ref="A582:J582">[1]!'3402.TW-ID,Name,MarketValue,Capital,NetIncomeGrowthRate,OperIncomeGrowthRate,FinancialStatementsTime,TFXRatio,MonthlyNetSalesYoY,RevenueMonth'</f>
        <v>3402</v>
      </c>
      <c r="B582" t="str">
        <v>漢科</v>
      </c>
      <c r="C582" t="str">
        <v>34.8</v>
      </c>
      <c r="D582" t="str">
        <v>7.30</v>
      </c>
      <c r="E582" t="str">
        <v>63.03</v>
      </c>
      <c r="F582" t="str">
        <v>53.78</v>
      </c>
      <c r="G582" t="str">
        <v>2022/03</v>
      </c>
      <c r="H582" t="str">
        <v>17.03</v>
      </c>
      <c r="I582" t="str">
        <v>63.16</v>
      </c>
      <c r="J582" t="str">
        <v>2022/06</v>
      </c>
      <c r="K582" t="str">
        <f t="array" ref="K582:T582">[1]!'3402.TW-OperatingProfitRatio,Price,PriceChangeRatio,InOutRatioNumber,Value,YearReturn,MonthReturn,WeekReturn,FinanceBalanceDif,ChipsField2'</f>
        <v>10.71</v>
      </c>
      <c r="L582">
        <v>47.7</v>
      </c>
      <c r="M582">
        <v>0.42</v>
      </c>
      <c r="N582" t="str">
        <v>55.07%</v>
      </c>
      <c r="O582" t="str">
        <v>669萬</v>
      </c>
      <c r="P582" t="str">
        <v>+25.16</v>
      </c>
      <c r="Q582" t="str">
        <v>+18.66</v>
      </c>
      <c r="R582" t="str">
        <v>+1.92</v>
      </c>
      <c r="S582">
        <v>3</v>
      </c>
      <c r="T582">
        <v>0</v>
      </c>
      <c r="U582">
        <f t="array" ref="U582:AD582">[1]!'3402.TW-ChipsField3,ChipsField1,ChipsField25,CashAndStockDividend,CashDividendYieldRate,ProfitFourSeason,ProfitSingle,CName,ExchangeIndustry,CompanyPos'</f>
        <v>0</v>
      </c>
      <c r="V582">
        <v>110</v>
      </c>
      <c r="W582" t="str">
        <v>2022/06/23</v>
      </c>
      <c r="X582" t="str">
        <v>3.00</v>
      </c>
      <c r="Y582">
        <v>6.29</v>
      </c>
      <c r="Z582" t="str">
        <v>4.38</v>
      </c>
      <c r="AA582" t="str">
        <v>1.19</v>
      </c>
      <c r="AB582" t="str">
        <v>漢科</v>
      </c>
      <c r="AC582" t="str">
        <v>上櫃其他電子</v>
      </c>
      <c r="AD582" t="str">
        <v>專注於特殊氣體輸配工程設備廠商</v>
      </c>
      <c r="AE582" t="str">
        <f t="array" ref="AE582:AH582">[1]!'3402.TW-CName,InvestorConferenceDate,DateofMeetingofShareHolders,TradingDate'</f>
        <v>漢科</v>
      </c>
      <c r="AF582" t="str">
        <v>--</v>
      </c>
      <c r="AG582" t="str">
        <v>2022/06/16</v>
      </c>
      <c r="AH582" t="str">
        <v>2022/08/01</v>
      </c>
    </row>
    <row r="583" spans="1:34" x14ac:dyDescent="0.3">
      <c r="A583" t="str">
        <f t="array" ref="A583:J583">[1]!'3498.TW-ID,Name,MarketValue,Capital,NetIncomeGrowthRate,OperIncomeGrowthRate,FinancialStatementsTime,TFXRatio,MonthlyNetSalesYoY,RevenueMonth'</f>
        <v>3498</v>
      </c>
      <c r="B583" t="str">
        <v>陽程</v>
      </c>
      <c r="C583" t="str">
        <v>16.4</v>
      </c>
      <c r="D583" t="str">
        <v>6.29</v>
      </c>
      <c r="E583" t="str">
        <v>-105.33</v>
      </c>
      <c r="F583" t="str">
        <v>-251.84</v>
      </c>
      <c r="G583" t="str">
        <v>2022/03</v>
      </c>
      <c r="H583" t="str">
        <v>12.23</v>
      </c>
      <c r="I583" t="str">
        <v>-50.69</v>
      </c>
      <c r="J583" t="str">
        <v>2022/06</v>
      </c>
      <c r="K583" t="str">
        <f t="array" ref="K583:T583">[1]!'3498.TW-OperatingProfitRatio,Price,PriceChangeRatio,InOutRatioNumber,Value,YearReturn,MonthReturn,WeekReturn,FinanceBalanceDif,ChipsField2'</f>
        <v>-10.65</v>
      </c>
      <c r="L583">
        <v>26.15</v>
      </c>
      <c r="M583">
        <v>-2.61</v>
      </c>
      <c r="N583" t="str">
        <v>18.75%</v>
      </c>
      <c r="O583" t="str">
        <v>963萬</v>
      </c>
      <c r="P583" t="str">
        <v>-29.99</v>
      </c>
      <c r="Q583" t="str">
        <v>+15.45</v>
      </c>
      <c r="R583" t="str">
        <v>+6.09</v>
      </c>
      <c r="S583">
        <v>78</v>
      </c>
      <c r="T583">
        <v>0</v>
      </c>
      <c r="U583">
        <f t="array" ref="U583:AD583">[1]!'3498.TW-ChipsField3,ChipsField1,ChipsField25,CashAndStockDividend,CashDividendYieldRate,ProfitFourSeason,ProfitSingle,CName,ExchangeIndustry,CompanyPos'</f>
        <v>0</v>
      </c>
      <c r="V583">
        <v>18</v>
      </c>
      <c r="W583" t="str">
        <v>--</v>
      </c>
      <c r="X583" t="str">
        <v>0.00</v>
      </c>
      <c r="Y583">
        <v>0</v>
      </c>
      <c r="Z583" t="str">
        <v>-0.25</v>
      </c>
      <c r="AA583" t="str">
        <v>-0.02</v>
      </c>
      <c r="AB583" t="str">
        <v>陽程</v>
      </c>
      <c r="AC583" t="str">
        <v>上櫃其他電子</v>
      </c>
      <c r="AD583" t="str">
        <v>台灣PCB暨CCL、環境工程及物流等自動化設備廠</v>
      </c>
      <c r="AE583" t="str">
        <f t="array" ref="AE583:AH583">[1]!'3498.TW-CName,InvestorConferenceDate,DateofMeetingofShareHolders,TradingDate'</f>
        <v>陽程</v>
      </c>
      <c r="AF583" t="str">
        <v>--</v>
      </c>
      <c r="AG583" t="str">
        <v>2022/06/22</v>
      </c>
      <c r="AH583" t="str">
        <v>2022/08/01</v>
      </c>
    </row>
    <row r="584" spans="1:34" x14ac:dyDescent="0.3">
      <c r="A584" t="str">
        <f t="array" ref="A584:J584">[1]!'3508.TW-ID,Name,MarketValue,Capital,NetIncomeGrowthRate,OperIncomeGrowthRate,FinancialStatementsTime,TFXRatio,MonthlyNetSalesYoY,RevenueMonth'</f>
        <v>3508</v>
      </c>
      <c r="B584" t="str">
        <v>位速</v>
      </c>
      <c r="C584" t="str">
        <v>46.0</v>
      </c>
      <c r="D584" t="str">
        <v>10.21</v>
      </c>
      <c r="E584" t="str">
        <v>-119.25</v>
      </c>
      <c r="F584" t="str">
        <v>32.51</v>
      </c>
      <c r="G584" t="str">
        <v>2022/03</v>
      </c>
      <c r="H584" t="str">
        <v>76.40</v>
      </c>
      <c r="I584" t="str">
        <v>59.24</v>
      </c>
      <c r="J584" t="str">
        <v>2022/06</v>
      </c>
      <c r="K584" t="str">
        <f t="array" ref="K584:T584">[1]!'3508.TW-OperatingProfitRatio,Price,PriceChangeRatio,InOutRatioNumber,Value,YearReturn,MonthReturn,WeekReturn,FinanceBalanceDif,ChipsField2'</f>
        <v>-15.60</v>
      </c>
      <c r="L584">
        <v>45.05</v>
      </c>
      <c r="M584">
        <v>-0.11</v>
      </c>
      <c r="N584" t="str">
        <v>54.72%</v>
      </c>
      <c r="O584" t="str">
        <v>5.79億</v>
      </c>
      <c r="P584" t="str">
        <v>+105.71</v>
      </c>
      <c r="Q584" t="str">
        <v>+19.34</v>
      </c>
      <c r="R584" t="str">
        <v>-1.53</v>
      </c>
      <c r="S584">
        <v>-163</v>
      </c>
      <c r="T584">
        <v>0</v>
      </c>
      <c r="U584">
        <f t="array" ref="U584:AD584">[1]!'3508.TW-ChipsField3,ChipsField1,ChipsField25,CashAndStockDividend,CashDividendYieldRate,ProfitFourSeason,ProfitSingle,CName,ExchangeIndustry,CompanyPos'</f>
        <v>0</v>
      </c>
      <c r="V584">
        <v>-673</v>
      </c>
      <c r="W584" t="str">
        <v>--</v>
      </c>
      <c r="X584" t="str">
        <v>0.00</v>
      </c>
      <c r="Y584">
        <v>0</v>
      </c>
      <c r="Z584" t="str">
        <v>-1.15</v>
      </c>
      <c r="AA584" t="str">
        <v>-0.41</v>
      </c>
      <c r="AB584" t="str">
        <v>位速</v>
      </c>
      <c r="AC584" t="str">
        <v>上櫃其他電子</v>
      </c>
      <c r="AD584" t="str">
        <v>手機外殼電鍍、濺鍍與塗裝之表面處理專業廠</v>
      </c>
      <c r="AE584" t="str">
        <f t="array" ref="AE584:AH584">[1]!'3508.TW-CName,InvestorConferenceDate,DateofMeetingofShareHolders,TradingDate'</f>
        <v>位速</v>
      </c>
      <c r="AF584" t="str">
        <v>--</v>
      </c>
      <c r="AG584" t="str">
        <v>2022/06/17</v>
      </c>
      <c r="AH584" t="str">
        <v>2022/08/01</v>
      </c>
    </row>
    <row r="585" spans="1:34" x14ac:dyDescent="0.3">
      <c r="A585" t="str">
        <f t="array" ref="A585:J585">[1]!'3541.TW-ID,Name,MarketValue,Capital,NetIncomeGrowthRate,OperIncomeGrowthRate,FinancialStatementsTime,TFXRatio,MonthlyNetSalesYoY,RevenueMonth'</f>
        <v>3541</v>
      </c>
      <c r="B585" t="str">
        <v>西柏</v>
      </c>
      <c r="C585" t="str">
        <v>34.8</v>
      </c>
      <c r="D585" t="str">
        <v>5.68</v>
      </c>
      <c r="E585" t="str">
        <v>231.75</v>
      </c>
      <c r="F585" t="str">
        <v>143.52</v>
      </c>
      <c r="G585" t="str">
        <v>2022/03</v>
      </c>
      <c r="H585" t="str">
        <v>1.30</v>
      </c>
      <c r="I585" t="str">
        <v>36.58</v>
      </c>
      <c r="J585" t="str">
        <v>2022/06</v>
      </c>
      <c r="K585" t="str">
        <f t="array" ref="K585:T585">[1]!'3541.TW-OperatingProfitRatio,Price,PriceChangeRatio,InOutRatioNumber,Value,YearReturn,MonthReturn,WeekReturn,FinanceBalanceDif,ChipsField2'</f>
        <v>21.63</v>
      </c>
      <c r="L585">
        <v>61.3</v>
      </c>
      <c r="M585">
        <v>0</v>
      </c>
      <c r="N585" t="str">
        <v>60.00%</v>
      </c>
      <c r="O585" t="str">
        <v>339萬</v>
      </c>
      <c r="P585" t="str">
        <v>+32.90</v>
      </c>
      <c r="Q585" t="str">
        <v>+10.85</v>
      </c>
      <c r="R585" t="str">
        <v>-1.61</v>
      </c>
      <c r="S585">
        <v>2</v>
      </c>
      <c r="T585">
        <v>0</v>
      </c>
      <c r="U585">
        <f t="array" ref="U585:AD585">[1]!'3541.TW-ChipsField3,ChipsField1,ChipsField25,CashAndStockDividend,CashDividendYieldRate,ProfitFourSeason,ProfitSingle,CName,ExchangeIndustry,CompanyPos'</f>
        <v>0</v>
      </c>
      <c r="V585">
        <v>5</v>
      </c>
      <c r="W585" t="str">
        <v>2022/06/29</v>
      </c>
      <c r="X585" t="str">
        <v>3.03</v>
      </c>
      <c r="Y585">
        <v>4.9400000000000004</v>
      </c>
      <c r="Z585" t="str">
        <v>4.62</v>
      </c>
      <c r="AA585" t="str">
        <v>1.77</v>
      </c>
      <c r="AB585" t="str">
        <v>西柏</v>
      </c>
      <c r="AC585" t="str">
        <v>上櫃其他電子</v>
      </c>
      <c r="AD585" t="str">
        <v>台灣最大智慧型影音訊號解決方案商</v>
      </c>
      <c r="AE585" t="str">
        <f t="array" ref="AE585:AH585">[1]!'3541.TW-CName,InvestorConferenceDate,DateofMeetingofShareHolders,TradingDate'</f>
        <v>西柏</v>
      </c>
      <c r="AF585" t="str">
        <v>2022/02/09</v>
      </c>
      <c r="AG585" t="str">
        <v>2022/06/22</v>
      </c>
      <c r="AH585" t="str">
        <v>2022/08/01</v>
      </c>
    </row>
    <row r="586" spans="1:34" x14ac:dyDescent="0.3">
      <c r="A586" t="str">
        <f t="array" ref="A586:J586">[1]!'3551.TW-ID,Name,MarketValue,Capital,NetIncomeGrowthRate,OperIncomeGrowthRate,FinancialStatementsTime,TFXRatio,MonthlyNetSalesYoY,RevenueMonth'</f>
        <v>3551</v>
      </c>
      <c r="B586" t="str">
        <v>世禾</v>
      </c>
      <c r="C586" t="str">
        <v>32.0</v>
      </c>
      <c r="D586" t="str">
        <v>5.68</v>
      </c>
      <c r="E586" t="str">
        <v>12.46</v>
      </c>
      <c r="F586" t="str">
        <v>19.88</v>
      </c>
      <c r="G586" t="str">
        <v>2022/03</v>
      </c>
      <c r="H586" t="str">
        <v>2.31</v>
      </c>
      <c r="I586" t="str">
        <v>16.47</v>
      </c>
      <c r="J586" t="str">
        <v>2022/06</v>
      </c>
      <c r="K586" t="str">
        <f t="array" ref="K586:T586">[1]!'3551.TW-OperatingProfitRatio,Price,PriceChangeRatio,InOutRatioNumber,Value,YearReturn,MonthReturn,WeekReturn,FinanceBalanceDif,ChipsField2'</f>
        <v>18.23</v>
      </c>
      <c r="L586">
        <v>56.3</v>
      </c>
      <c r="M586">
        <v>0.72</v>
      </c>
      <c r="N586" t="str">
        <v>50.00%</v>
      </c>
      <c r="O586" t="str">
        <v>292萬</v>
      </c>
      <c r="P586" t="str">
        <v>+7.66</v>
      </c>
      <c r="Q586" t="str">
        <v>+1.96</v>
      </c>
      <c r="R586" t="str">
        <v>+1.62</v>
      </c>
      <c r="S586">
        <v>1</v>
      </c>
      <c r="T586">
        <v>0</v>
      </c>
      <c r="U586">
        <f t="array" ref="U586:AD586">[1]!'3551.TW-ChipsField3,ChipsField1,ChipsField25,CashAndStockDividend,CashDividendYieldRate,ProfitFourSeason,ProfitSingle,CName,ExchangeIndustry,CompanyPos'</f>
        <v>-18</v>
      </c>
      <c r="V586">
        <v>29</v>
      </c>
      <c r="W586" t="str">
        <v>2022/07/25</v>
      </c>
      <c r="X586" t="str">
        <v>3.50</v>
      </c>
      <c r="Y586">
        <v>6.22</v>
      </c>
      <c r="Z586" t="str">
        <v>7.34</v>
      </c>
      <c r="AA586" t="str">
        <v>1.62</v>
      </c>
      <c r="AB586" t="str">
        <v>世禾</v>
      </c>
      <c r="AC586" t="str">
        <v>上櫃其他電子</v>
      </c>
      <c r="AD586" t="str">
        <v>台灣半導體與光電設備清洗龍頭廠</v>
      </c>
      <c r="AE586" t="str">
        <f t="array" ref="AE586:AH586">[1]!'3551.TW-CName,InvestorConferenceDate,DateofMeetingofShareHolders,TradingDate'</f>
        <v>世禾</v>
      </c>
      <c r="AF586" t="str">
        <v>2021/11/25</v>
      </c>
      <c r="AG586" t="str">
        <v>2022/06/22</v>
      </c>
      <c r="AH586" t="str">
        <v>2022/08/01</v>
      </c>
    </row>
    <row r="587" spans="1:34" x14ac:dyDescent="0.3">
      <c r="A587" t="str">
        <f t="array" ref="A587:J587">[1]!'3552.TW-ID,Name,MarketValue,Capital,NetIncomeGrowthRate,OperIncomeGrowthRate,FinancialStatementsTime,TFXRatio,MonthlyNetSalesYoY,RevenueMonth'</f>
        <v>3552</v>
      </c>
      <c r="B587" t="str">
        <v>同致</v>
      </c>
      <c r="C587" t="str">
        <v>128.4</v>
      </c>
      <c r="D587" t="str">
        <v>8.56</v>
      </c>
      <c r="E587" t="str">
        <v>19.62</v>
      </c>
      <c r="F587" t="str">
        <v>-1.84</v>
      </c>
      <c r="G587" t="str">
        <v>2022/03</v>
      </c>
      <c r="H587" t="str">
        <v>21.59</v>
      </c>
      <c r="I587" t="str">
        <v>28.79</v>
      </c>
      <c r="J587" t="str">
        <v>2022/06</v>
      </c>
      <c r="K587" t="str">
        <f t="array" ref="K587:T587">[1]!'3552.TW-OperatingProfitRatio,Price,PriceChangeRatio,InOutRatioNumber,Value,YearReturn,MonthReturn,WeekReturn,FinanceBalanceDif,ChipsField2'</f>
        <v>9.03</v>
      </c>
      <c r="L587" t="str">
        <v>--</v>
      </c>
      <c r="M587" t="str">
        <v>--</v>
      </c>
      <c r="N587" t="str">
        <v>--</v>
      </c>
      <c r="O587" t="str">
        <v>--</v>
      </c>
      <c r="P587" t="str">
        <v>-38.77</v>
      </c>
      <c r="Q587" t="str">
        <v>-8.54</v>
      </c>
      <c r="R587" t="str">
        <v>-2.60</v>
      </c>
      <c r="S587">
        <v>-115</v>
      </c>
      <c r="T587">
        <v>0</v>
      </c>
      <c r="U587">
        <f t="array" ref="U587:AD587">[1]!'3552.TW-ChipsField3,ChipsField1,ChipsField25,CashAndStockDividend,CashDividendYieldRate,ProfitFourSeason,ProfitSingle,CName,ExchangeIndustry,CompanyPos'</f>
        <v>23</v>
      </c>
      <c r="V587">
        <v>312</v>
      </c>
      <c r="W587" t="str">
        <v>--</v>
      </c>
      <c r="X587" t="str">
        <v>2.50</v>
      </c>
      <c r="Y587">
        <v>1.67</v>
      </c>
      <c r="Z587" t="str">
        <v>5.85</v>
      </c>
      <c r="AA587" t="str">
        <v>2.49</v>
      </c>
      <c r="AB587" t="str">
        <v>同致</v>
      </c>
      <c r="AC587" t="str">
        <v>上櫃其他電子</v>
      </c>
      <c r="AD587" t="str">
        <v>全球知名倒車雷達大廠</v>
      </c>
      <c r="AE587" t="str">
        <f t="array" ref="AE587:AH587">[1]!'3552.TW-CName,InvestorConferenceDate,DateofMeetingofShareHolders,TradingDate'</f>
        <v>同致</v>
      </c>
      <c r="AF587" t="str">
        <v>--</v>
      </c>
      <c r="AG587" t="str">
        <v>2022/06/30</v>
      </c>
      <c r="AH587" t="str">
        <v>2022/08/01</v>
      </c>
    </row>
    <row r="588" spans="1:34" x14ac:dyDescent="0.3">
      <c r="A588" t="str">
        <f t="array" ref="A588:J588">[1]!'3580.TW-ID,Name,MarketValue,Capital,NetIncomeGrowthRate,OperIncomeGrowthRate,FinancialStatementsTime,TFXRatio,MonthlyNetSalesYoY,RevenueMonth'</f>
        <v>3580</v>
      </c>
      <c r="B588" t="str">
        <v>友威科</v>
      </c>
      <c r="C588" t="str">
        <v>25.4</v>
      </c>
      <c r="D588" t="str">
        <v>3.95</v>
      </c>
      <c r="E588" t="str">
        <v>15.67</v>
      </c>
      <c r="F588" t="str">
        <v>-86.20</v>
      </c>
      <c r="G588" t="str">
        <v>2022/03</v>
      </c>
      <c r="H588" t="str">
        <v>18.06</v>
      </c>
      <c r="I588" t="str">
        <v>74.09</v>
      </c>
      <c r="J588" t="str">
        <v>2022/06</v>
      </c>
      <c r="K588" t="str">
        <f t="array" ref="K588:T588">[1]!'3580.TW-OperatingProfitRatio,Price,PriceChangeRatio,InOutRatioNumber,Value,YearReturn,MonthReturn,WeekReturn,FinanceBalanceDif,ChipsField2'</f>
        <v>2.27</v>
      </c>
      <c r="L588">
        <v>64.3</v>
      </c>
      <c r="M588">
        <v>-0.31</v>
      </c>
      <c r="N588" t="str">
        <v>85.62%</v>
      </c>
      <c r="O588" t="str">
        <v>944萬</v>
      </c>
      <c r="P588" t="str">
        <v>+13.64</v>
      </c>
      <c r="Q588" t="str">
        <v>+23.65</v>
      </c>
      <c r="R588" t="str">
        <v>+0.78</v>
      </c>
      <c r="S588">
        <v>-1</v>
      </c>
      <c r="T588">
        <v>0</v>
      </c>
      <c r="U588">
        <f t="array" ref="U588:AD588">[1]!'3580.TW-ChipsField3,ChipsField1,ChipsField25,CashAndStockDividend,CashDividendYieldRate,ProfitFourSeason,ProfitSingle,CName,ExchangeIndustry,CompanyPos'</f>
        <v>0</v>
      </c>
      <c r="V588">
        <v>59</v>
      </c>
      <c r="W588" t="str">
        <v>2022/06/27</v>
      </c>
      <c r="X588" t="str">
        <v>2.10</v>
      </c>
      <c r="Y588">
        <v>3.27</v>
      </c>
      <c r="Z588" t="str">
        <v>3.09</v>
      </c>
      <c r="AA588" t="str">
        <v>0.59</v>
      </c>
      <c r="AB588" t="str">
        <v>友威科</v>
      </c>
      <c r="AC588" t="str">
        <v>上櫃其他電子</v>
      </c>
      <c r="AD588" t="str">
        <v>台灣真空設備與真空濺鍍供應商</v>
      </c>
      <c r="AE588" t="str">
        <f t="array" ref="AE588:AH588">[1]!'3580.TW-CName,InvestorConferenceDate,DateofMeetingofShareHolders,TradingDate'</f>
        <v>友威科</v>
      </c>
      <c r="AF588" t="str">
        <v>2021/12/22</v>
      </c>
      <c r="AG588" t="str">
        <v>2022/05/26</v>
      </c>
      <c r="AH588" t="str">
        <v>2022/08/01</v>
      </c>
    </row>
    <row r="589" spans="1:34" x14ac:dyDescent="0.3">
      <c r="A589" t="str">
        <f t="array" ref="A589:J589">[1]!'3587.TW-ID,Name,MarketValue,Capital,NetIncomeGrowthRate,OperIncomeGrowthRate,FinancialStatementsTime,TFXRatio,MonthlyNetSalesYoY,RevenueMonth'</f>
        <v>3587</v>
      </c>
      <c r="B589" t="str">
        <v>閎康</v>
      </c>
      <c r="C589" t="str">
        <v>72.9</v>
      </c>
      <c r="D589" t="str">
        <v>6.23</v>
      </c>
      <c r="E589" t="str">
        <v>16.70</v>
      </c>
      <c r="F589" t="str">
        <v>4.97</v>
      </c>
      <c r="G589" t="str">
        <v>2022/03</v>
      </c>
      <c r="H589" t="str">
        <v>14.66</v>
      </c>
      <c r="I589" t="str">
        <v>13.45</v>
      </c>
      <c r="J589" t="str">
        <v>2022/06</v>
      </c>
      <c r="K589" t="str">
        <f t="array" ref="K589:T589">[1]!'3587.TW-OperatingProfitRatio,Price,PriceChangeRatio,InOutRatioNumber,Value,YearReturn,MonthReturn,WeekReturn,FinanceBalanceDif,ChipsField2'</f>
        <v>16.70</v>
      </c>
      <c r="L589">
        <v>117</v>
      </c>
      <c r="M589">
        <v>-2.09</v>
      </c>
      <c r="N589" t="str">
        <v>17.06%</v>
      </c>
      <c r="O589" t="str">
        <v>2010萬</v>
      </c>
      <c r="P589" t="str">
        <v>-17.32</v>
      </c>
      <c r="Q589" t="str">
        <v>+12.50</v>
      </c>
      <c r="R589" t="str">
        <v>-1.68</v>
      </c>
      <c r="S589">
        <v>-28</v>
      </c>
      <c r="T589">
        <v>0</v>
      </c>
      <c r="U589">
        <f t="array" ref="U589:AD589">[1]!'3587.TW-ChipsField3,ChipsField1,ChipsField25,CashAndStockDividend,CashDividendYieldRate,ProfitFourSeason,ProfitSingle,CName,ExchangeIndustry,CompanyPos'</f>
        <v>-2</v>
      </c>
      <c r="V589">
        <v>-19</v>
      </c>
      <c r="W589" t="str">
        <v>2022/04/14</v>
      </c>
      <c r="X589" t="str">
        <v>5.00</v>
      </c>
      <c r="Y589">
        <v>4.2699999999999996</v>
      </c>
      <c r="Z589" t="str">
        <v>9.78</v>
      </c>
      <c r="AA589" t="str">
        <v>2.04</v>
      </c>
      <c r="AB589" t="str">
        <v>閎康</v>
      </c>
      <c r="AC589" t="str">
        <v>上櫃其他電子</v>
      </c>
      <c r="AD589" t="str">
        <v>台灣材料分析及可靠性驗證服務廠</v>
      </c>
      <c r="AE589" t="str">
        <f t="array" ref="AE589:AH589">[1]!'3587.TW-CName,InvestorConferenceDate,DateofMeetingofShareHolders,TradingDate'</f>
        <v>閎康</v>
      </c>
      <c r="AF589" t="str">
        <v>2021/12/10</v>
      </c>
      <c r="AG589" t="str">
        <v>2022/06/15</v>
      </c>
      <c r="AH589" t="str">
        <v>2022/08/01</v>
      </c>
    </row>
    <row r="590" spans="1:34" x14ac:dyDescent="0.3">
      <c r="A590" t="str">
        <f t="array" ref="A590:J590">[1]!'3628.TW-ID,Name,MarketValue,Capital,NetIncomeGrowthRate,OperIncomeGrowthRate,FinancialStatementsTime,TFXRatio,MonthlyNetSalesYoY,RevenueMonth'</f>
        <v>3628</v>
      </c>
      <c r="B590" t="str">
        <v>盈正</v>
      </c>
      <c r="C590" t="str">
        <v>18.9</v>
      </c>
      <c r="D590" t="str">
        <v>4.50</v>
      </c>
      <c r="E590" t="str">
        <v>28.69</v>
      </c>
      <c r="F590" t="str">
        <v>1.29</v>
      </c>
      <c r="G590" t="str">
        <v>2022/03</v>
      </c>
      <c r="H590" t="str">
        <v>22.58</v>
      </c>
      <c r="I590" t="str">
        <v>-11.26</v>
      </c>
      <c r="J590" t="str">
        <v>2022/06</v>
      </c>
      <c r="K590" t="str">
        <f t="array" ref="K590:T590">[1]!'3628.TW-OperatingProfitRatio,Price,PriceChangeRatio,InOutRatioNumber,Value,YearReturn,MonthReturn,WeekReturn,FinanceBalanceDif,ChipsField2'</f>
        <v>0.13</v>
      </c>
      <c r="L590">
        <v>41.9</v>
      </c>
      <c r="M590">
        <v>-2.1</v>
      </c>
      <c r="N590" t="str">
        <v>10.53%</v>
      </c>
      <c r="O590" t="str">
        <v>240萬</v>
      </c>
      <c r="P590" t="str">
        <v>+18.30</v>
      </c>
      <c r="Q590" t="str">
        <v>+5.54</v>
      </c>
      <c r="R590" t="str">
        <v>-1.87</v>
      </c>
      <c r="S590">
        <v>-11</v>
      </c>
      <c r="T590">
        <v>0</v>
      </c>
      <c r="U590">
        <f t="array" ref="U590:AD590">[1]!'3628.TW-ChipsField3,ChipsField1,ChipsField25,CashAndStockDividend,CashDividendYieldRate,ProfitFourSeason,ProfitSingle,CName,ExchangeIndustry,CompanyPos'</f>
        <v>0</v>
      </c>
      <c r="V590">
        <v>19</v>
      </c>
      <c r="W590" t="str">
        <v>--</v>
      </c>
      <c r="X590" t="str">
        <v>1.25</v>
      </c>
      <c r="Y590">
        <v>2.98</v>
      </c>
      <c r="Z590" t="str">
        <v>1.63</v>
      </c>
      <c r="AA590" t="str">
        <v>0.14</v>
      </c>
      <c r="AB590" t="str">
        <v>盈正</v>
      </c>
      <c r="AC590" t="str">
        <v>上櫃其他電子</v>
      </c>
      <c r="AD590" t="str">
        <v>專注於生產中.大.微型UPS之廠商</v>
      </c>
      <c r="AE590" t="str">
        <f t="array" ref="AE590:AH590">[1]!'3628.TW-CName,InvestorConferenceDate,DateofMeetingofShareHolders,TradingDate'</f>
        <v>盈正</v>
      </c>
      <c r="AF590" t="str">
        <v>--</v>
      </c>
      <c r="AG590" t="str">
        <v>2022/06/23</v>
      </c>
      <c r="AH590" t="str">
        <v>2022/08/01</v>
      </c>
    </row>
    <row r="591" spans="1:34" x14ac:dyDescent="0.3">
      <c r="A591" t="str">
        <f t="array" ref="A591:J591">[1]!'3642.TW-ID,Name,MarketValue,Capital,NetIncomeGrowthRate,OperIncomeGrowthRate,FinancialStatementsTime,TFXRatio,MonthlyNetSalesYoY,RevenueMonth'</f>
        <v>3642</v>
      </c>
      <c r="B591" t="str">
        <v>駿熠電</v>
      </c>
      <c r="C591" t="str">
        <v>3.1</v>
      </c>
      <c r="D591" t="str">
        <v>4.34</v>
      </c>
      <c r="E591" t="str">
        <v>-30.42</v>
      </c>
      <c r="F591" t="str">
        <v>-13.70</v>
      </c>
      <c r="G591" t="str">
        <v>2022/03</v>
      </c>
      <c r="H591" t="str">
        <v>4.51</v>
      </c>
      <c r="I591" t="str">
        <v>96.69</v>
      </c>
      <c r="J591" t="str">
        <v>2022/06</v>
      </c>
      <c r="K591" t="str">
        <f t="array" ref="K591:T591">[1]!'3642.TW-OperatingProfitRatio,Price,PriceChangeRatio,InOutRatioNumber,Value,YearReturn,MonthReturn,WeekReturn,FinanceBalanceDif,ChipsField2'</f>
        <v>-29.36</v>
      </c>
      <c r="L591">
        <v>7.15</v>
      </c>
      <c r="M591">
        <v>4.6900000000000004</v>
      </c>
      <c r="N591" t="str">
        <v>71.15%</v>
      </c>
      <c r="O591" t="str">
        <v>36.8萬</v>
      </c>
      <c r="P591" t="str">
        <v>-42.11</v>
      </c>
      <c r="Q591" t="str">
        <v>+5.15</v>
      </c>
      <c r="R591" t="str">
        <v>+13.85</v>
      </c>
      <c r="S591">
        <v>0</v>
      </c>
      <c r="T591">
        <v>0</v>
      </c>
      <c r="U591">
        <f t="array" ref="U591:AD591">[1]!'3642.TW-ChipsField3,ChipsField1,ChipsField25,CashAndStockDividend,CashDividendYieldRate,ProfitFourSeason,ProfitSingle,CName,ExchangeIndustry,CompanyPos'</f>
        <v>0</v>
      </c>
      <c r="V591">
        <v>0</v>
      </c>
      <c r="W591" t="str">
        <v>--</v>
      </c>
      <c r="X591" t="str">
        <v>0.00</v>
      </c>
      <c r="Y591">
        <v>0</v>
      </c>
      <c r="Z591" t="str">
        <v>-2.40</v>
      </c>
      <c r="AA591" t="str">
        <v>-0.58</v>
      </c>
      <c r="AB591" t="str">
        <v>駿熠電</v>
      </c>
      <c r="AC591" t="str">
        <v>上櫃其他電子</v>
      </c>
      <c r="AD591" t="str">
        <v>NB及手機按鍵大廠，並切入散熱片產品</v>
      </c>
      <c r="AE591" t="str">
        <f t="array" ref="AE591:AH591">[1]!'3642.TW-CName,InvestorConferenceDate,DateofMeetingofShareHolders,TradingDate'</f>
        <v>駿熠電</v>
      </c>
      <c r="AF591" t="str">
        <v>--</v>
      </c>
      <c r="AG591" t="str">
        <v>2022/06/28</v>
      </c>
      <c r="AH591" t="str">
        <v>2022/08/01</v>
      </c>
    </row>
    <row r="592" spans="1:34" x14ac:dyDescent="0.3">
      <c r="A592" t="str">
        <f t="array" ref="A592:J592">[1]!'3663.TW-ID,Name,MarketValue,Capital,NetIncomeGrowthRate,OperIncomeGrowthRate,FinancialStatementsTime,TFXRatio,MonthlyNetSalesYoY,RevenueMonth'</f>
        <v>3663</v>
      </c>
      <c r="B592" t="str">
        <v>鑫科</v>
      </c>
      <c r="C592" t="str">
        <v>20.7</v>
      </c>
      <c r="D592" t="str">
        <v>7.35</v>
      </c>
      <c r="E592" t="str">
        <v>119.52</v>
      </c>
      <c r="F592" t="str">
        <v>40.64</v>
      </c>
      <c r="G592" t="str">
        <v>2022/03</v>
      </c>
      <c r="H592" t="str">
        <v>-48.30</v>
      </c>
      <c r="I592" t="str">
        <v>-26.82</v>
      </c>
      <c r="J592" t="str">
        <v>2022/06</v>
      </c>
      <c r="K592" t="str">
        <f t="array" ref="K592:T592">[1]!'3663.TW-OperatingProfitRatio,Price,PriceChangeRatio,InOutRatioNumber,Value,YearReturn,MonthReturn,WeekReturn,FinanceBalanceDif,ChipsField2'</f>
        <v>4.28</v>
      </c>
      <c r="L592">
        <v>28.15</v>
      </c>
      <c r="M592">
        <v>-2.4300000000000002</v>
      </c>
      <c r="N592" t="str">
        <v>29.19%</v>
      </c>
      <c r="O592" t="str">
        <v>954萬</v>
      </c>
      <c r="P592" t="str">
        <v>-29.34</v>
      </c>
      <c r="Q592" t="str">
        <v>+2.93</v>
      </c>
      <c r="R592" t="str">
        <v>+4.26</v>
      </c>
      <c r="S592">
        <v>29</v>
      </c>
      <c r="T592">
        <v>0</v>
      </c>
      <c r="U592">
        <f t="array" ref="U592:AD592">[1]!'3663.TW-ChipsField3,ChipsField1,ChipsField25,CashAndStockDividend,CashDividendYieldRate,ProfitFourSeason,ProfitSingle,CName,ExchangeIndustry,CompanyPos'</f>
        <v>-2</v>
      </c>
      <c r="V592">
        <v>-26</v>
      </c>
      <c r="W592" t="str">
        <v>2022/08/22</v>
      </c>
      <c r="X592" t="str">
        <v>0.90</v>
      </c>
      <c r="Y592">
        <v>3.2</v>
      </c>
      <c r="Z592" t="str">
        <v>1.17</v>
      </c>
      <c r="AA592" t="str">
        <v>0.39</v>
      </c>
      <c r="AB592" t="str">
        <v>鑫科</v>
      </c>
      <c r="AC592" t="str">
        <v>上櫃其他電子</v>
      </c>
      <c r="AD592" t="str">
        <v>屬中鋼集團之台灣前兩大濺鍍靶材廠</v>
      </c>
      <c r="AE592" t="str">
        <f t="array" ref="AE592:AH592">[1]!'3663.TW-CName,InvestorConferenceDate,DateofMeetingofShareHolders,TradingDate'</f>
        <v>鑫科</v>
      </c>
      <c r="AF592" t="str">
        <v>2021/11/23</v>
      </c>
      <c r="AG592" t="str">
        <v>2022/06/15</v>
      </c>
      <c r="AH592" t="str">
        <v>2022/08/01</v>
      </c>
    </row>
    <row r="593" spans="1:34" x14ac:dyDescent="0.3">
      <c r="A593" t="str">
        <f t="array" ref="A593:J593">[1]!'4554.TW-ID,Name,MarketValue,Capital,NetIncomeGrowthRate,OperIncomeGrowthRate,FinancialStatementsTime,TFXRatio,MonthlyNetSalesYoY,RevenueMonth'</f>
        <v>4554</v>
      </c>
      <c r="B593" t="str">
        <v>橙的</v>
      </c>
      <c r="C593" t="str">
        <v>6.7</v>
      </c>
      <c r="D593" t="str">
        <v>2.14</v>
      </c>
      <c r="E593" t="str">
        <v>1242.12</v>
      </c>
      <c r="F593" t="str">
        <v>263.12</v>
      </c>
      <c r="G593" t="str">
        <v>2022/03</v>
      </c>
      <c r="H593" t="str">
        <v>17.45</v>
      </c>
      <c r="I593" t="str">
        <v>-11.79</v>
      </c>
      <c r="J593" t="str">
        <v>2022/06</v>
      </c>
      <c r="K593" t="str">
        <f t="array" ref="K593:T593">[1]!'4554.TW-OperatingProfitRatio,Price,PriceChangeRatio,InOutRatioNumber,Value,YearReturn,MonthReturn,WeekReturn,FinanceBalanceDif,ChipsField2'</f>
        <v>11.96</v>
      </c>
      <c r="L593">
        <v>31.35</v>
      </c>
      <c r="M593">
        <v>3.13</v>
      </c>
      <c r="N593" t="str">
        <v>67.31%</v>
      </c>
      <c r="O593" t="str">
        <v>162萬</v>
      </c>
      <c r="P593" t="str">
        <v>+21.21</v>
      </c>
      <c r="Q593" t="str">
        <v>+5.20</v>
      </c>
      <c r="R593" t="str">
        <v>+2.79</v>
      </c>
      <c r="S593">
        <v>0</v>
      </c>
      <c r="T593">
        <v>0</v>
      </c>
      <c r="U593">
        <f t="array" ref="U593:AD593">[1]!'4554.TW-ChipsField3,ChipsField1,ChipsField25,CashAndStockDividend,CashDividendYieldRate,ProfitFourSeason,ProfitSingle,CName,ExchangeIndustry,CompanyPos'</f>
        <v>0</v>
      </c>
      <c r="V593">
        <v>3</v>
      </c>
      <c r="W593" t="str">
        <v>--</v>
      </c>
      <c r="X593" t="str">
        <v>1.80</v>
      </c>
      <c r="Y593">
        <v>5.74</v>
      </c>
      <c r="Z593" t="str">
        <v>2.96</v>
      </c>
      <c r="AA593" t="str">
        <v>1.04</v>
      </c>
      <c r="AB593" t="str">
        <v>橙的</v>
      </c>
      <c r="AC593" t="str">
        <v>上櫃其他電子</v>
      </c>
      <c r="AD593" t="str">
        <v>胎壓偵測器在北美市佔率達7%以上</v>
      </c>
      <c r="AE593" t="str">
        <f t="array" ref="AE593:AH593">[1]!'4554.TW-CName,InvestorConferenceDate,DateofMeetingofShareHolders,TradingDate'</f>
        <v>橙的</v>
      </c>
      <c r="AF593" t="str">
        <v>--</v>
      </c>
      <c r="AG593" t="str">
        <v>2022/06/22</v>
      </c>
      <c r="AH593" t="str">
        <v>2022/08/01</v>
      </c>
    </row>
    <row r="594" spans="1:34" x14ac:dyDescent="0.3">
      <c r="A594" t="str">
        <f t="array" ref="A594:J594">[1]!'4577.TW-ID,Name,MarketValue,Capital,NetIncomeGrowthRate,OperIncomeGrowthRate,FinancialStatementsTime,TFXRatio,MonthlyNetSalesYoY,RevenueMonth'</f>
        <v>4577</v>
      </c>
      <c r="B594" t="str">
        <v>達航科技</v>
      </c>
      <c r="C594" t="str">
        <v>16.5</v>
      </c>
      <c r="D594" t="str">
        <v>4.92</v>
      </c>
      <c r="E594" t="str">
        <v>65.58</v>
      </c>
      <c r="F594" t="str">
        <v>118.35</v>
      </c>
      <c r="G594" t="str">
        <v>2022/03</v>
      </c>
      <c r="H594" t="str">
        <v>-5.74</v>
      </c>
      <c r="I594" t="str">
        <v>30.48</v>
      </c>
      <c r="J594" t="str">
        <v>2022/06</v>
      </c>
      <c r="K594" t="str">
        <f t="array" ref="K594:T594">[1]!'4577.TW-OperatingProfitRatio,Price,PriceChangeRatio,InOutRatioNumber,Value,YearReturn,MonthReturn,WeekReturn,FinanceBalanceDif,ChipsField2'</f>
        <v>16.67</v>
      </c>
      <c r="L594">
        <v>33.65</v>
      </c>
      <c r="M594">
        <v>9.9700000000000006</v>
      </c>
      <c r="N594" t="str">
        <v>87.38%</v>
      </c>
      <c r="O594" t="str">
        <v>1329萬</v>
      </c>
      <c r="P594" t="str">
        <v>--</v>
      </c>
      <c r="Q594" t="str">
        <v>+23.16</v>
      </c>
      <c r="R594" t="str">
        <v>+9.79</v>
      </c>
      <c r="S594">
        <v>0</v>
      </c>
      <c r="T594">
        <v>0</v>
      </c>
      <c r="U594">
        <f t="array" ref="U594:AD594">[1]!'4577.TW-ChipsField3,ChipsField1,ChipsField25,CashAndStockDividend,CashDividendYieldRate,ProfitFourSeason,ProfitSingle,CName,ExchangeIndustry,CompanyPos'</f>
        <v>0</v>
      </c>
      <c r="V594">
        <v>11</v>
      </c>
      <c r="W594" t="str">
        <v>2022/07/07</v>
      </c>
      <c r="X594" t="str">
        <v>1.53</v>
      </c>
      <c r="Y594">
        <v>4.55</v>
      </c>
      <c r="Z594" t="str">
        <v>2.61</v>
      </c>
      <c r="AA594" t="str">
        <v>1.24</v>
      </c>
      <c r="AB594" t="str">
        <v>達航科技</v>
      </c>
      <c r="AC594" t="str">
        <v>上櫃其他電子</v>
      </c>
      <c r="AD594" t="str">
        <v>台灣PCB鑽孔代工和設備廠商</v>
      </c>
      <c r="AE594" t="str">
        <f t="array" ref="AE594:AH594">[1]!'4577.TW-CName,InvestorConferenceDate,DateofMeetingofShareHolders,TradingDate'</f>
        <v>達航科技</v>
      </c>
      <c r="AF594" t="str">
        <v>--</v>
      </c>
      <c r="AG594" t="str">
        <v>2022/05/30</v>
      </c>
      <c r="AH594" t="str">
        <v>2022/08/01</v>
      </c>
    </row>
    <row r="595" spans="1:34" x14ac:dyDescent="0.3">
      <c r="A595" t="str">
        <f t="array" ref="A595:J595">[1]!'4760.TW-ID,Name,MarketValue,Capital,NetIncomeGrowthRate,OperIncomeGrowthRate,FinancialStatementsTime,TFXRatio,MonthlyNetSalesYoY,RevenueMonth'</f>
        <v>4760</v>
      </c>
      <c r="B595" t="str">
        <v>勤凱</v>
      </c>
      <c r="C595" t="str">
        <v>17.3</v>
      </c>
      <c r="D595" t="str">
        <v>3.23</v>
      </c>
      <c r="E595" t="str">
        <v>-38.88</v>
      </c>
      <c r="F595" t="str">
        <v>-38.99</v>
      </c>
      <c r="G595" t="str">
        <v>2022/03</v>
      </c>
      <c r="H595" t="str">
        <v>-0.25</v>
      </c>
      <c r="I595" t="str">
        <v>-38.44</v>
      </c>
      <c r="J595" t="str">
        <v>2022/06</v>
      </c>
      <c r="K595" t="str">
        <f t="array" ref="K595:T595">[1]!'4760.TW-OperatingProfitRatio,Price,PriceChangeRatio,InOutRatioNumber,Value,YearReturn,MonthReturn,WeekReturn,FinanceBalanceDif,ChipsField2'</f>
        <v>12.51</v>
      </c>
      <c r="L595">
        <v>53.6</v>
      </c>
      <c r="M595">
        <v>-0.92</v>
      </c>
      <c r="N595" t="str">
        <v>36.84%</v>
      </c>
      <c r="O595" t="str">
        <v>102萬</v>
      </c>
      <c r="P595" t="str">
        <v>-55.67</v>
      </c>
      <c r="Q595" t="str">
        <v>+3.00</v>
      </c>
      <c r="R595" t="str">
        <v>-2.72</v>
      </c>
      <c r="S595">
        <v>2</v>
      </c>
      <c r="T595">
        <v>0</v>
      </c>
      <c r="U595">
        <f t="array" ref="U595:AD595">[1]!'4760.TW-ChipsField3,ChipsField1,ChipsField25,CashAndStockDividend,CashDividendYieldRate,ProfitFourSeason,ProfitSingle,CName,ExchangeIndustry,CompanyPos'</f>
        <v>0</v>
      </c>
      <c r="V595">
        <v>-3</v>
      </c>
      <c r="W595" t="str">
        <v>2022/07/07</v>
      </c>
      <c r="X595" t="str">
        <v>4.58</v>
      </c>
      <c r="Y595">
        <v>8.5399999999999991</v>
      </c>
      <c r="Z595" t="str">
        <v>5.98</v>
      </c>
      <c r="AA595" t="str">
        <v>1.09</v>
      </c>
      <c r="AB595" t="str">
        <v>勤凱</v>
      </c>
      <c r="AC595" t="str">
        <v>上櫃其他電子</v>
      </c>
      <c r="AD595" t="str">
        <v>台灣被動元件導電漿及厚膜導體材料大廠</v>
      </c>
      <c r="AE595" t="str">
        <f t="array" ref="AE595:AH595">[1]!'4760.TW-CName,InvestorConferenceDate,DateofMeetingofShareHolders,TradingDate'</f>
        <v>勤凱</v>
      </c>
      <c r="AF595" t="str">
        <v>2021/03/19</v>
      </c>
      <c r="AG595" t="str">
        <v>2022/06/16</v>
      </c>
      <c r="AH595" t="str">
        <v>2022/08/01</v>
      </c>
    </row>
    <row r="596" spans="1:34" x14ac:dyDescent="0.3">
      <c r="A596" t="str">
        <f t="array" ref="A596:J596">[1]!'5205.TW-ID,Name,MarketValue,Capital,NetIncomeGrowthRate,OperIncomeGrowthRate,FinancialStatementsTime,TFXRatio,MonthlyNetSalesYoY,RevenueMonth'</f>
        <v>5205</v>
      </c>
      <c r="B596" t="str">
        <v>中茂</v>
      </c>
      <c r="C596" t="str">
        <v>2.8</v>
      </c>
      <c r="D596" t="str">
        <v>1.03</v>
      </c>
      <c r="E596" t="str">
        <v>-18.18</v>
      </c>
      <c r="F596" t="str">
        <v>-18.13</v>
      </c>
      <c r="G596" t="str">
        <v>2022/03</v>
      </c>
      <c r="H596" t="str">
        <v>6.47</v>
      </c>
      <c r="I596" t="str">
        <v>-75.18</v>
      </c>
      <c r="J596" t="str">
        <v>2022/06</v>
      </c>
      <c r="K596" t="str">
        <f t="array" ref="K596:T596">[1]!'5205.TW-OperatingProfitRatio,Price,PriceChangeRatio,InOutRatioNumber,Value,YearReturn,MonthReturn,WeekReturn,FinanceBalanceDif,ChipsField2'</f>
        <v>-173.42</v>
      </c>
      <c r="L596">
        <v>27.15</v>
      </c>
      <c r="M596">
        <v>2.84</v>
      </c>
      <c r="N596" t="str">
        <v>57.89%</v>
      </c>
      <c r="O596" t="str">
        <v>50.3萬</v>
      </c>
      <c r="P596" t="str">
        <v>+35.75</v>
      </c>
      <c r="Q596" t="str">
        <v>+14.32</v>
      </c>
      <c r="R596" t="str">
        <v>+19.60</v>
      </c>
      <c r="S596">
        <v>0</v>
      </c>
      <c r="T596">
        <v>0</v>
      </c>
      <c r="U596">
        <f t="array" ref="U596:AD596">[1]!'5205.TW-ChipsField3,ChipsField1,ChipsField25,CashAndStockDividend,CashDividendYieldRate,ProfitFourSeason,ProfitSingle,CName,ExchangeIndustry,CompanyPos'</f>
        <v>0</v>
      </c>
      <c r="V596">
        <v>0</v>
      </c>
      <c r="W596" t="str">
        <v>--</v>
      </c>
      <c r="X596" t="str">
        <v>0.00</v>
      </c>
      <c r="Y596">
        <v>0</v>
      </c>
      <c r="Z596" t="str">
        <v>-1.75</v>
      </c>
      <c r="AA596" t="str">
        <v>-0.46</v>
      </c>
      <c r="AB596" t="str">
        <v>中茂</v>
      </c>
      <c r="AC596" t="str">
        <v>上櫃其他電子</v>
      </c>
      <c r="AD596" t="str">
        <v>廢水及廢棄物處理工程商</v>
      </c>
      <c r="AE596" t="str">
        <f t="array" ref="AE596:AH596">[1]!'5205.TW-CName,InvestorConferenceDate,DateofMeetingofShareHolders,TradingDate'</f>
        <v>中茂</v>
      </c>
      <c r="AF596" t="str">
        <v>--</v>
      </c>
      <c r="AG596" t="str">
        <v>2022/06/29</v>
      </c>
      <c r="AH596" t="str">
        <v>2022/08/01</v>
      </c>
    </row>
    <row r="597" spans="1:34" x14ac:dyDescent="0.3">
      <c r="A597" t="str">
        <f t="array" ref="A597:J597">[1]!'5383.TW-ID,Name,MarketValue,Capital,NetIncomeGrowthRate,OperIncomeGrowthRate,FinancialStatementsTime,TFXRatio,MonthlyNetSalesYoY,RevenueMonth'</f>
        <v>5383</v>
      </c>
      <c r="B597" t="str">
        <v>金利</v>
      </c>
      <c r="C597" t="str">
        <v>23.2</v>
      </c>
      <c r="D597" t="str">
        <v>7.94</v>
      </c>
      <c r="E597" t="str">
        <v>1467.33</v>
      </c>
      <c r="F597" t="str">
        <v>1091.21</v>
      </c>
      <c r="G597" t="str">
        <v>2022/03</v>
      </c>
      <c r="H597" t="str">
        <v>-1.25</v>
      </c>
      <c r="I597" t="str">
        <v>26.23</v>
      </c>
      <c r="J597" t="str">
        <v>2022/06</v>
      </c>
      <c r="K597" t="str">
        <f t="array" ref="K597:T597">[1]!'5383.TW-OperatingProfitRatio,Price,PriceChangeRatio,InOutRatioNumber,Value,YearReturn,MonthReturn,WeekReturn,FinanceBalanceDif,ChipsField2'</f>
        <v>6.66</v>
      </c>
      <c r="L597">
        <v>29.2</v>
      </c>
      <c r="M597">
        <v>-1.02</v>
      </c>
      <c r="N597" t="str">
        <v>9.09%</v>
      </c>
      <c r="O597" t="str">
        <v>64.4萬</v>
      </c>
      <c r="P597" t="str">
        <v>+19.92</v>
      </c>
      <c r="Q597" t="str">
        <v>+4.29</v>
      </c>
      <c r="R597" t="str">
        <v>-3.47</v>
      </c>
      <c r="S597">
        <v>0</v>
      </c>
      <c r="T597">
        <v>0</v>
      </c>
      <c r="U597">
        <f t="array" ref="U597:AD597">[1]!'5383.TW-ChipsField3,ChipsField1,ChipsField25,CashAndStockDividend,CashDividendYieldRate,ProfitFourSeason,ProfitSingle,CName,ExchangeIndustry,CompanyPos'</f>
        <v>0</v>
      </c>
      <c r="V597">
        <v>-7</v>
      </c>
      <c r="W597" t="str">
        <v>--</v>
      </c>
      <c r="X597" t="str">
        <v>0.00</v>
      </c>
      <c r="Y597">
        <v>0</v>
      </c>
      <c r="Z597" t="str">
        <v>0.55</v>
      </c>
      <c r="AA597" t="str">
        <v>0.16</v>
      </c>
      <c r="AB597" t="str">
        <v>金利</v>
      </c>
      <c r="AC597" t="str">
        <v>上櫃其他電子</v>
      </c>
      <c r="AD597" t="str">
        <v>建德旗下模具沖壓製造商</v>
      </c>
      <c r="AE597" t="str">
        <f t="array" ref="AE597:AH597">[1]!'5383.TW-CName,InvestorConferenceDate,DateofMeetingofShareHolders,TradingDate'</f>
        <v>金利</v>
      </c>
      <c r="AF597" t="str">
        <v>--</v>
      </c>
      <c r="AG597" t="str">
        <v>2022/05/27</v>
      </c>
      <c r="AH597" t="str">
        <v>2022/08/01</v>
      </c>
    </row>
    <row r="598" spans="1:34" x14ac:dyDescent="0.3">
      <c r="A598" t="str">
        <f t="array" ref="A598:J598">[1]!'5452.TW-ID,Name,MarketValue,Capital,NetIncomeGrowthRate,OperIncomeGrowthRate,FinancialStatementsTime,TFXRatio,MonthlyNetSalesYoY,RevenueMonth'</f>
        <v>5452</v>
      </c>
      <c r="B598" t="str">
        <v>佶優</v>
      </c>
      <c r="C598" t="str">
        <v>22.5</v>
      </c>
      <c r="D598" t="str">
        <v>14.88</v>
      </c>
      <c r="E598" t="str">
        <v>-50.47</v>
      </c>
      <c r="F598" t="str">
        <v>-55.35</v>
      </c>
      <c r="G598" t="str">
        <v>2022/03</v>
      </c>
      <c r="H598" t="str">
        <v>-13.01</v>
      </c>
      <c r="I598" t="str">
        <v>-8.27</v>
      </c>
      <c r="J598" t="str">
        <v>2022/06</v>
      </c>
      <c r="K598" t="str">
        <f t="array" ref="K598:T598">[1]!'5452.TW-OperatingProfitRatio,Price,PriceChangeRatio,InOutRatioNumber,Value,YearReturn,MonthReturn,WeekReturn,FinanceBalanceDif,ChipsField2'</f>
        <v>3.48</v>
      </c>
      <c r="L598">
        <v>15.1</v>
      </c>
      <c r="M598">
        <v>-0.33</v>
      </c>
      <c r="N598" t="str">
        <v>20.21%</v>
      </c>
      <c r="O598" t="str">
        <v>149萬</v>
      </c>
      <c r="P598" t="str">
        <v>-34.82</v>
      </c>
      <c r="Q598" t="str">
        <v>+15.27</v>
      </c>
      <c r="R598" t="str">
        <v>-1.95</v>
      </c>
      <c r="S598">
        <v>-1</v>
      </c>
      <c r="T598">
        <v>0</v>
      </c>
      <c r="U598">
        <f t="array" ref="U598:AD598">[1]!'5452.TW-ChipsField3,ChipsField1,ChipsField25,CashAndStockDividend,CashDividendYieldRate,ProfitFourSeason,ProfitSingle,CName,ExchangeIndustry,CompanyPos'</f>
        <v>0</v>
      </c>
      <c r="V598">
        <v>-17</v>
      </c>
      <c r="W598" t="str">
        <v>--</v>
      </c>
      <c r="X598" t="str">
        <v>0.80</v>
      </c>
      <c r="Y598">
        <v>5.3</v>
      </c>
      <c r="Z598" t="str">
        <v>1.30</v>
      </c>
      <c r="AA598" t="str">
        <v>0.28</v>
      </c>
      <c r="AB598" t="str">
        <v>佶優</v>
      </c>
      <c r="AC598" t="str">
        <v>上櫃其他電子</v>
      </c>
      <c r="AD598" t="str">
        <v>台灣塑化及電子材料通路商</v>
      </c>
      <c r="AE598" t="str">
        <f t="array" ref="AE598:AH598">[1]!'5452.TW-CName,InvestorConferenceDate,DateofMeetingofShareHolders,TradingDate'</f>
        <v>佶優</v>
      </c>
      <c r="AF598" t="str">
        <v>--</v>
      </c>
      <c r="AG598" t="str">
        <v>2022/06/20</v>
      </c>
      <c r="AH598" t="str">
        <v>2022/08/01</v>
      </c>
    </row>
    <row r="599" spans="1:34" x14ac:dyDescent="0.3">
      <c r="A599" t="str">
        <f t="array" ref="A599:J599">[1]!'5489.TW-ID,Name,MarketValue,Capital,NetIncomeGrowthRate,OperIncomeGrowthRate,FinancialStatementsTime,TFXRatio,MonthlyNetSalesYoY,RevenueMonth'</f>
        <v>5489</v>
      </c>
      <c r="B599" t="str">
        <v>彩富</v>
      </c>
      <c r="C599" t="str">
        <v>35.4</v>
      </c>
      <c r="D599" t="str">
        <v>10.27</v>
      </c>
      <c r="E599" t="str">
        <v>760.57</v>
      </c>
      <c r="F599" t="str">
        <v>268.90</v>
      </c>
      <c r="G599" t="str">
        <v>2022/03</v>
      </c>
      <c r="H599" t="str">
        <v>-9.41</v>
      </c>
      <c r="I599" t="str">
        <v>-24.06</v>
      </c>
      <c r="J599" t="str">
        <v>2022/06</v>
      </c>
      <c r="K599" t="str">
        <f t="array" ref="K599:T599">[1]!'5489.TW-OperatingProfitRatio,Price,PriceChangeRatio,InOutRatioNumber,Value,YearReturn,MonthReturn,WeekReturn,FinanceBalanceDif,ChipsField2'</f>
        <v>11.01</v>
      </c>
      <c r="L599">
        <v>34.5</v>
      </c>
      <c r="M599">
        <v>0</v>
      </c>
      <c r="N599" t="str">
        <v>16.67%</v>
      </c>
      <c r="O599" t="str">
        <v>20.7萬</v>
      </c>
      <c r="P599" t="str">
        <v>+6.05</v>
      </c>
      <c r="Q599" t="str">
        <v>+0.44</v>
      </c>
      <c r="R599" t="str">
        <v>0.00</v>
      </c>
      <c r="S599">
        <v>0</v>
      </c>
      <c r="T599">
        <v>0</v>
      </c>
      <c r="U599">
        <f t="array" ref="U599:AD599">[1]!'5489.TW-ChipsField3,ChipsField1,ChipsField25,CashAndStockDividend,CashDividendYieldRate,ProfitFourSeason,ProfitSingle,CName,ExchangeIndustry,CompanyPos'</f>
        <v>0</v>
      </c>
      <c r="V599">
        <v>0</v>
      </c>
      <c r="W599" t="str">
        <v>--</v>
      </c>
      <c r="X599" t="str">
        <v>1.00</v>
      </c>
      <c r="Y599">
        <v>2.9</v>
      </c>
      <c r="Z599" t="str">
        <v>2.06</v>
      </c>
      <c r="AA599" t="str">
        <v>0.91</v>
      </c>
      <c r="AB599" t="str">
        <v>彩富</v>
      </c>
      <c r="AC599" t="str">
        <v>上櫃其他電子</v>
      </c>
      <c r="AD599" t="str">
        <v>台灣網路視訊安全監控系統專業代工廠</v>
      </c>
      <c r="AE599" t="str">
        <f t="array" ref="AE599:AH599">[1]!'5489.TW-CName,InvestorConferenceDate,DateofMeetingofShareHolders,TradingDate'</f>
        <v>彩富</v>
      </c>
      <c r="AF599" t="str">
        <v>--</v>
      </c>
      <c r="AG599" t="str">
        <v>2022/06/09</v>
      </c>
      <c r="AH599" t="str">
        <v>2022/08/01</v>
      </c>
    </row>
    <row r="600" spans="1:34" x14ac:dyDescent="0.3">
      <c r="A600" t="str">
        <f t="array" ref="A600:J600">[1]!'5493.TW-ID,Name,MarketValue,Capital,NetIncomeGrowthRate,OperIncomeGrowthRate,FinancialStatementsTime,TFXRatio,MonthlyNetSalesYoY,RevenueMonth'</f>
        <v>5493</v>
      </c>
      <c r="B600" t="str">
        <v>三聯</v>
      </c>
      <c r="C600" t="str">
        <v>21.0</v>
      </c>
      <c r="D600" t="str">
        <v>4.16</v>
      </c>
      <c r="E600" t="str">
        <v>71.88</v>
      </c>
      <c r="F600" t="str">
        <v>99.82</v>
      </c>
      <c r="G600" t="str">
        <v>2022/03</v>
      </c>
      <c r="H600" t="str">
        <v>12.45</v>
      </c>
      <c r="I600" t="str">
        <v>28.76</v>
      </c>
      <c r="J600" t="str">
        <v>2022/06</v>
      </c>
      <c r="K600" t="str">
        <f t="array" ref="K600:T600">[1]!'5493.TW-OperatingProfitRatio,Price,PriceChangeRatio,InOutRatioNumber,Value,YearReturn,MonthReturn,WeekReturn,FinanceBalanceDif,ChipsField2'</f>
        <v>13.29</v>
      </c>
      <c r="L600">
        <v>50.4</v>
      </c>
      <c r="M600">
        <v>0.2</v>
      </c>
      <c r="N600" t="str">
        <v>54.55%</v>
      </c>
      <c r="O600" t="str">
        <v>55.5萬</v>
      </c>
      <c r="P600" t="str">
        <v>+31.12</v>
      </c>
      <c r="Q600" t="str">
        <v>+9.33</v>
      </c>
      <c r="R600" t="str">
        <v>+0.40</v>
      </c>
      <c r="S600">
        <v>0</v>
      </c>
      <c r="T600">
        <v>0</v>
      </c>
      <c r="U600">
        <f t="array" ref="U600:AD600">[1]!'5493.TW-ChipsField3,ChipsField1,ChipsField25,CashAndStockDividend,CashDividendYieldRate,ProfitFourSeason,ProfitSingle,CName,ExchangeIndustry,CompanyPos'</f>
        <v>0</v>
      </c>
      <c r="V600">
        <v>2</v>
      </c>
      <c r="W600" t="str">
        <v>2022/06/23</v>
      </c>
      <c r="X600" t="str">
        <v>3.10</v>
      </c>
      <c r="Y600">
        <v>6.15</v>
      </c>
      <c r="Z600" t="str">
        <v>5.03</v>
      </c>
      <c r="AA600" t="str">
        <v>1.13</v>
      </c>
      <c r="AB600" t="str">
        <v>三聯</v>
      </c>
      <c r="AC600" t="str">
        <v>上櫃其他電子</v>
      </c>
      <c r="AD600" t="str">
        <v>感測、監測系統整合服務商</v>
      </c>
      <c r="AE600" t="str">
        <f t="array" ref="AE600:AH600">[1]!'5493.TW-CName,InvestorConferenceDate,DateofMeetingofShareHolders,TradingDate'</f>
        <v>三聯</v>
      </c>
      <c r="AF600" t="str">
        <v>--</v>
      </c>
      <c r="AG600" t="str">
        <v>2022/06/23</v>
      </c>
      <c r="AH600" t="str">
        <v>2022/08/01</v>
      </c>
    </row>
    <row r="601" spans="1:34" x14ac:dyDescent="0.3">
      <c r="A601" t="str">
        <f t="array" ref="A601:J601">[1]!'5536.TW-ID,Name,MarketValue,Capital,NetIncomeGrowthRate,OperIncomeGrowthRate,FinancialStatementsTime,TFXRatio,MonthlyNetSalesYoY,RevenueMonth'</f>
        <v>5536</v>
      </c>
      <c r="B601" t="str">
        <v>聖暉</v>
      </c>
      <c r="C601" t="str">
        <v>110.2</v>
      </c>
      <c r="D601" t="str">
        <v>5.73</v>
      </c>
      <c r="E601" t="str">
        <v>127.58</v>
      </c>
      <c r="F601" t="str">
        <v>118.97</v>
      </c>
      <c r="G601" t="str">
        <v>2022/03</v>
      </c>
      <c r="H601" t="str">
        <v>36.70</v>
      </c>
      <c r="I601" t="str">
        <v>46.12</v>
      </c>
      <c r="J601" t="str">
        <v>2022/06</v>
      </c>
      <c r="K601" t="str">
        <f t="array" ref="K601:T601">[1]!'5536.TW-OperatingProfitRatio,Price,PriceChangeRatio,InOutRatioNumber,Value,YearReturn,MonthReturn,WeekReturn,FinanceBalanceDif,ChipsField2'</f>
        <v>12.04</v>
      </c>
      <c r="L601">
        <v>192.5</v>
      </c>
      <c r="M601">
        <v>1.05</v>
      </c>
      <c r="N601" t="str">
        <v>69.23%</v>
      </c>
      <c r="O601" t="str">
        <v>1267萬</v>
      </c>
      <c r="P601" t="str">
        <v>+10.66</v>
      </c>
      <c r="Q601" t="str">
        <v>+14.58</v>
      </c>
      <c r="R601" t="str">
        <v>+2.12</v>
      </c>
      <c r="S601">
        <v>5</v>
      </c>
      <c r="T601">
        <v>0</v>
      </c>
      <c r="U601">
        <f t="array" ref="U601:AD601">[1]!'5536.TW-ChipsField3,ChipsField1,ChipsField25,CashAndStockDividend,CashDividendYieldRate,ProfitFourSeason,ProfitSingle,CName,ExchangeIndustry,CompanyPos'</f>
        <v>11</v>
      </c>
      <c r="V601">
        <v>0</v>
      </c>
      <c r="W601" t="str">
        <v>2022/06/30</v>
      </c>
      <c r="X601" t="str">
        <v>15.00</v>
      </c>
      <c r="Y601">
        <v>7.79</v>
      </c>
      <c r="Z601" t="str">
        <v>24.11</v>
      </c>
      <c r="AA601" t="str">
        <v>6.16</v>
      </c>
      <c r="AB601" t="str">
        <v>聖暉</v>
      </c>
      <c r="AC601" t="str">
        <v>上櫃其他電子</v>
      </c>
      <c r="AD601" t="str">
        <v>以無塵室工程為主，並跨足機電系統整合服務廠商</v>
      </c>
      <c r="AE601" t="str">
        <f t="array" ref="AE601:AH601">[1]!'5536.TW-CName,InvestorConferenceDate,DateofMeetingofShareHolders,TradingDate'</f>
        <v>聖暉</v>
      </c>
      <c r="AF601" t="str">
        <v>2022/03/25</v>
      </c>
      <c r="AG601" t="str">
        <v>2022/05/26</v>
      </c>
      <c r="AH601" t="str">
        <v>2022/08/01</v>
      </c>
    </row>
    <row r="602" spans="1:34" x14ac:dyDescent="0.3">
      <c r="A602" t="str">
        <f t="array" ref="A602:J602">[1]!'6146.TW-ID,Name,MarketValue,Capital,NetIncomeGrowthRate,OperIncomeGrowthRate,FinancialStatementsTime,TFXRatio,MonthlyNetSalesYoY,RevenueMonth'</f>
        <v>6146</v>
      </c>
      <c r="B602" t="str">
        <v>耕興</v>
      </c>
      <c r="C602" t="str">
        <v>199.9</v>
      </c>
      <c r="D602" t="str">
        <v>9.70</v>
      </c>
      <c r="E602" t="str">
        <v>48.60</v>
      </c>
      <c r="F602" t="str">
        <v>44.43</v>
      </c>
      <c r="G602" t="str">
        <v>2022/03</v>
      </c>
      <c r="H602" t="str">
        <v>1.63</v>
      </c>
      <c r="I602" t="str">
        <v>20.84</v>
      </c>
      <c r="J602" t="str">
        <v>2022/06</v>
      </c>
      <c r="K602" t="str">
        <f t="array" ref="K602:T602">[1]!'6146.TW-OperatingProfitRatio,Price,PriceChangeRatio,InOutRatioNumber,Value,YearReturn,MonthReturn,WeekReturn,FinanceBalanceDif,ChipsField2'</f>
        <v>36.31</v>
      </c>
      <c r="L602">
        <v>206</v>
      </c>
      <c r="M602">
        <v>0.24</v>
      </c>
      <c r="N602" t="str">
        <v>27.47%</v>
      </c>
      <c r="O602" t="str">
        <v>9614萬</v>
      </c>
      <c r="P602" t="str">
        <v>-3.59</v>
      </c>
      <c r="Q602" t="str">
        <v>+15.73</v>
      </c>
      <c r="R602" t="str">
        <v>+5.37</v>
      </c>
      <c r="S602">
        <v>158</v>
      </c>
      <c r="T602">
        <v>-40</v>
      </c>
      <c r="U602">
        <f t="array" ref="U602:AD602">[1]!'6146.TW-ChipsField3,ChipsField1,ChipsField25,CashAndStockDividend,CashDividendYieldRate,ProfitFourSeason,ProfitSingle,CName,ExchangeIndustry,CompanyPos'</f>
        <v>1</v>
      </c>
      <c r="V602">
        <v>-3</v>
      </c>
      <c r="W602" t="str">
        <v>2022/06/28</v>
      </c>
      <c r="X602" t="str">
        <v>9.00</v>
      </c>
      <c r="Y602">
        <v>4.37</v>
      </c>
      <c r="Z602" t="str">
        <v>12.30</v>
      </c>
      <c r="AA602" t="str">
        <v>3.72</v>
      </c>
      <c r="AB602" t="str">
        <v>耕興</v>
      </c>
      <c r="AC602" t="str">
        <v>上櫃其他電子</v>
      </c>
      <c r="AD602" t="str">
        <v>國內最具規模之手機EMC/Safety專業認證實驗室</v>
      </c>
      <c r="AE602" t="str">
        <f t="array" ref="AE602:AH602">[1]!'6146.TW-CName,InvestorConferenceDate,DateofMeetingofShareHolders,TradingDate'</f>
        <v>耕興</v>
      </c>
      <c r="AF602" t="str">
        <v>2022/05/26</v>
      </c>
      <c r="AG602" t="str">
        <v>2022/06/10</v>
      </c>
      <c r="AH602" t="str">
        <v>2022/08/01</v>
      </c>
    </row>
    <row r="603" spans="1:34" x14ac:dyDescent="0.3">
      <c r="A603" t="str">
        <f t="array" ref="A603:J603">[1]!'6151.TW-ID,Name,MarketValue,Capital,NetIncomeGrowthRate,OperIncomeGrowthRate,FinancialStatementsTime,TFXRatio,MonthlyNetSalesYoY,RevenueMonth'</f>
        <v>6151</v>
      </c>
      <c r="B603" t="str">
        <v>晉倫</v>
      </c>
      <c r="C603" t="str">
        <v>14.6</v>
      </c>
      <c r="D603" t="str">
        <v>5.53</v>
      </c>
      <c r="E603" t="str">
        <v>-35.38</v>
      </c>
      <c r="F603" t="str">
        <v>-40.22</v>
      </c>
      <c r="G603" t="str">
        <v>2022/03</v>
      </c>
      <c r="H603" t="str">
        <v>-11.36</v>
      </c>
      <c r="I603" t="str">
        <v>-27.23</v>
      </c>
      <c r="J603" t="str">
        <v>2022/06</v>
      </c>
      <c r="K603" t="str">
        <f t="array" ref="K603:T603">[1]!'6151.TW-OperatingProfitRatio,Price,PriceChangeRatio,InOutRatioNumber,Value,YearReturn,MonthReturn,WeekReturn,FinanceBalanceDif,ChipsField2'</f>
        <v>9.03</v>
      </c>
      <c r="L603">
        <v>26.45</v>
      </c>
      <c r="M603">
        <v>0.38</v>
      </c>
      <c r="N603" t="str">
        <v>16.67%</v>
      </c>
      <c r="O603" t="str">
        <v>31.6萬</v>
      </c>
      <c r="P603" t="str">
        <v>-23.00</v>
      </c>
      <c r="Q603" t="str">
        <v>+4.96</v>
      </c>
      <c r="R603" t="str">
        <v>+0.38</v>
      </c>
      <c r="S603">
        <v>0</v>
      </c>
      <c r="T603">
        <v>0</v>
      </c>
      <c r="U603">
        <f t="array" ref="U603:AD603">[1]!'6151.TW-ChipsField3,ChipsField1,ChipsField25,CashAndStockDividend,CashDividendYieldRate,ProfitFourSeason,ProfitSingle,CName,ExchangeIndustry,CompanyPos'</f>
        <v>0</v>
      </c>
      <c r="V603">
        <v>0</v>
      </c>
      <c r="W603" t="str">
        <v>2022/06/16</v>
      </c>
      <c r="X603" t="str">
        <v>3.00</v>
      </c>
      <c r="Y603">
        <v>11.34</v>
      </c>
      <c r="Z603" t="str">
        <v>3.70</v>
      </c>
      <c r="AA603" t="str">
        <v>0.62</v>
      </c>
      <c r="AB603" t="str">
        <v>晉倫</v>
      </c>
      <c r="AC603" t="str">
        <v>上櫃其他電子</v>
      </c>
      <c r="AD603" t="str">
        <v>台灣汽車複合材料供應商</v>
      </c>
      <c r="AE603" t="str">
        <f t="array" ref="AE603:AH603">[1]!'6151.TW-CName,InvestorConferenceDate,DateofMeetingofShareHolders,TradingDate'</f>
        <v>晉倫</v>
      </c>
      <c r="AF603" t="str">
        <v>--</v>
      </c>
      <c r="AG603" t="str">
        <v>2022/05/27</v>
      </c>
      <c r="AH603" t="str">
        <v>2022/08/01</v>
      </c>
    </row>
    <row r="604" spans="1:34" x14ac:dyDescent="0.3">
      <c r="A604" t="str">
        <f t="array" ref="A604:J604">[1]!'6187.TW-ID,Name,MarketValue,Capital,NetIncomeGrowthRate,OperIncomeGrowthRate,FinancialStatementsTime,TFXRatio,MonthlyNetSalesYoY,RevenueMonth'</f>
        <v>6187</v>
      </c>
      <c r="B604" t="str">
        <v>萬潤</v>
      </c>
      <c r="C604" t="str">
        <v>62.7</v>
      </c>
      <c r="D604" t="str">
        <v>8.33</v>
      </c>
      <c r="E604" t="str">
        <v>11.72</v>
      </c>
      <c r="F604" t="str">
        <v>-9.54</v>
      </c>
      <c r="G604" t="str">
        <v>2022/03</v>
      </c>
      <c r="H604" t="str">
        <v>4.59</v>
      </c>
      <c r="I604" t="str">
        <v>-1.21</v>
      </c>
      <c r="J604" t="str">
        <v>2022/06</v>
      </c>
      <c r="K604" t="str">
        <f t="array" ref="K604:T604">[1]!'6187.TW-OperatingProfitRatio,Price,PriceChangeRatio,InOutRatioNumber,Value,YearReturn,MonthReturn,WeekReturn,FinanceBalanceDif,ChipsField2'</f>
        <v>22.83</v>
      </c>
      <c r="L604">
        <v>75.3</v>
      </c>
      <c r="M604">
        <v>-1.57</v>
      </c>
      <c r="N604" t="str">
        <v>21.62%</v>
      </c>
      <c r="O604" t="str">
        <v>2234萬</v>
      </c>
      <c r="P604" t="str">
        <v>-41.63</v>
      </c>
      <c r="Q604" t="str">
        <v>+6.50</v>
      </c>
      <c r="R604" t="str">
        <v>-4.68</v>
      </c>
      <c r="S604">
        <v>-37</v>
      </c>
      <c r="T604">
        <v>-117</v>
      </c>
      <c r="U604">
        <f t="array" ref="U604:AD604">[1]!'6187.TW-ChipsField3,ChipsField1,ChipsField25,CashAndStockDividend,CashDividendYieldRate,ProfitFourSeason,ProfitSingle,CName,ExchangeIndustry,CompanyPos'</f>
        <v>1</v>
      </c>
      <c r="V604">
        <v>237</v>
      </c>
      <c r="W604" t="str">
        <v>2022/07/11</v>
      </c>
      <c r="X604" t="str">
        <v>4.50</v>
      </c>
      <c r="Y604">
        <v>5.98</v>
      </c>
      <c r="Z604" t="str">
        <v>6.84</v>
      </c>
      <c r="AA604" t="str">
        <v>1.83</v>
      </c>
      <c r="AB604" t="str">
        <v>萬潤</v>
      </c>
      <c r="AC604" t="str">
        <v>上櫃其他電子</v>
      </c>
      <c r="AD604" t="str">
        <v>被動元件、封測暨光電產業設備廠商</v>
      </c>
      <c r="AE604" t="str">
        <f t="array" ref="AE604:AH604">[1]!'6187.TW-CName,InvestorConferenceDate,DateofMeetingofShareHolders,TradingDate'</f>
        <v>萬潤</v>
      </c>
      <c r="AF604" t="str">
        <v>2021/11/16</v>
      </c>
      <c r="AG604" t="str">
        <v>2022/06/09</v>
      </c>
      <c r="AH604" t="str">
        <v>2022/08/01</v>
      </c>
    </row>
    <row r="605" spans="1:34" x14ac:dyDescent="0.3">
      <c r="A605" t="str">
        <f t="array" ref="A605:J605">[1]!'6247.TW-ID,Name,MarketValue,Capital,NetIncomeGrowthRate,OperIncomeGrowthRate,FinancialStatementsTime,TFXRatio,MonthlyNetSalesYoY,RevenueMonth'</f>
        <v>6247</v>
      </c>
      <c r="B605" t="str">
        <v>淇譽電</v>
      </c>
      <c r="C605" t="str">
        <v>6.1</v>
      </c>
      <c r="D605" t="str">
        <v>6.03</v>
      </c>
      <c r="E605" t="str">
        <v>-181.75</v>
      </c>
      <c r="F605" t="str">
        <v>-49.87</v>
      </c>
      <c r="G605" t="str">
        <v>2022/03</v>
      </c>
      <c r="H605" t="str">
        <v>46.38</v>
      </c>
      <c r="I605" t="str">
        <v>5.00</v>
      </c>
      <c r="J605" t="str">
        <v>2022/06</v>
      </c>
      <c r="K605" t="str">
        <f t="array" ref="K605:T605">[1]!'6247.TW-OperatingProfitRatio,Price,PriceChangeRatio,InOutRatioNumber,Value,YearReturn,MonthReturn,WeekReturn,FinanceBalanceDif,ChipsField2'</f>
        <v>-35.01</v>
      </c>
      <c r="L605" t="str">
        <v>--</v>
      </c>
      <c r="M605" t="str">
        <v>--</v>
      </c>
      <c r="N605" t="str">
        <v>--</v>
      </c>
      <c r="O605" t="str">
        <v>--</v>
      </c>
      <c r="P605" t="str">
        <v>+2.01</v>
      </c>
      <c r="Q605" t="str">
        <v>+4.64</v>
      </c>
      <c r="R605" t="str">
        <v>+0.50</v>
      </c>
      <c r="S605">
        <v>0</v>
      </c>
      <c r="T605">
        <v>0</v>
      </c>
      <c r="U605">
        <f t="array" ref="U605:AD605">[1]!'6247.TW-ChipsField3,ChipsField1,ChipsField25,CashAndStockDividend,CashDividendYieldRate,ProfitFourSeason,ProfitSingle,CName,ExchangeIndustry,CompanyPos'</f>
        <v>0</v>
      </c>
      <c r="V605">
        <v>0</v>
      </c>
      <c r="W605" t="str">
        <v>--</v>
      </c>
      <c r="X605" t="str">
        <v>0.00</v>
      </c>
      <c r="Y605">
        <v>0</v>
      </c>
      <c r="Z605" t="str">
        <v>-1.93</v>
      </c>
      <c r="AA605" t="str">
        <v>-0.78</v>
      </c>
      <c r="AB605" t="str">
        <v>淇譽電</v>
      </c>
      <c r="AC605" t="str">
        <v>上櫃其他電子</v>
      </c>
      <c r="AD605" t="str">
        <v>亞洲最大專業音響喇叭製造商</v>
      </c>
      <c r="AE605" t="str">
        <f t="array" ref="AE605:AH605">[1]!'6247.TW-CName,InvestorConferenceDate,DateofMeetingofShareHolders,TradingDate'</f>
        <v>淇譽電</v>
      </c>
      <c r="AF605" t="str">
        <v>--</v>
      </c>
      <c r="AG605" t="str">
        <v>2022/06/28</v>
      </c>
      <c r="AH605" t="str">
        <v>2022/08/01</v>
      </c>
    </row>
    <row r="606" spans="1:34" x14ac:dyDescent="0.3">
      <c r="A606" t="str">
        <f t="array" ref="A606:J606">[1]!'6512.TW-ID,Name,MarketValue,Capital,NetIncomeGrowthRate,OperIncomeGrowthRate,FinancialStatementsTime,TFXRatio,MonthlyNetSalesYoY,RevenueMonth'</f>
        <v>6512</v>
      </c>
      <c r="B606" t="str">
        <v>啟發電</v>
      </c>
      <c r="C606" t="str">
        <v>4.9</v>
      </c>
      <c r="D606" t="str">
        <v>2.50</v>
      </c>
      <c r="E606" t="str">
        <v>189.32</v>
      </c>
      <c r="F606" t="str">
        <v>84.70</v>
      </c>
      <c r="G606" t="str">
        <v>2022/03</v>
      </c>
      <c r="H606" t="str">
        <v>60.07</v>
      </c>
      <c r="I606" t="str">
        <v>80.15</v>
      </c>
      <c r="J606" t="str">
        <v>2022/06</v>
      </c>
      <c r="K606" t="str">
        <f t="array" ref="K606:T606">[1]!'6512.TW-OperatingProfitRatio,Price,PriceChangeRatio,InOutRatioNumber,Value,YearReturn,MonthReturn,WeekReturn,FinanceBalanceDif,ChipsField2'</f>
        <v>-1.38</v>
      </c>
      <c r="L606">
        <v>19.600000000000001</v>
      </c>
      <c r="M606">
        <v>0.51</v>
      </c>
      <c r="N606" t="str">
        <v>23.33%</v>
      </c>
      <c r="O606" t="str">
        <v>58.4萬</v>
      </c>
      <c r="P606" t="str">
        <v>+13.95</v>
      </c>
      <c r="Q606" t="str">
        <v>+11.05</v>
      </c>
      <c r="R606" t="str">
        <v>+2.62</v>
      </c>
      <c r="S606">
        <v>0</v>
      </c>
      <c r="T606">
        <v>0</v>
      </c>
      <c r="U606">
        <f t="array" ref="U606:AD606">[1]!'6512.TW-ChipsField3,ChipsField1,ChipsField25,CashAndStockDividend,CashDividendYieldRate,ProfitFourSeason,ProfitSingle,CName,ExchangeIndustry,CompanyPos'</f>
        <v>0</v>
      </c>
      <c r="V606">
        <v>-1</v>
      </c>
      <c r="W606" t="str">
        <v>--</v>
      </c>
      <c r="X606" t="str">
        <v>0.00</v>
      </c>
      <c r="Y606">
        <v>0</v>
      </c>
      <c r="Z606" t="str">
        <v>-0.98</v>
      </c>
      <c r="AA606" t="str">
        <v>0.25</v>
      </c>
      <c r="AB606" t="str">
        <v>啟發電</v>
      </c>
      <c r="AC606" t="str">
        <v>上櫃其他電子</v>
      </c>
      <c r="AD606" t="str">
        <v>專業影音訊號延長器、分配器及處理器廠商</v>
      </c>
      <c r="AE606" t="str">
        <f t="array" ref="AE606:AH606">[1]!'6512.TW-CName,InvestorConferenceDate,DateofMeetingofShareHolders,TradingDate'</f>
        <v>啟發電</v>
      </c>
      <c r="AF606" t="str">
        <v>2021/11/19</v>
      </c>
      <c r="AG606" t="str">
        <v>2022/06/24</v>
      </c>
      <c r="AH606" t="str">
        <v>2022/08/01</v>
      </c>
    </row>
    <row r="607" spans="1:34" x14ac:dyDescent="0.3">
      <c r="A607" t="str">
        <f t="array" ref="A607:J607">[1]!'6613.TW-ID,Name,MarketValue,Capital,NetIncomeGrowthRate,OperIncomeGrowthRate,FinancialStatementsTime,TFXRatio,MonthlyNetSalesYoY,RevenueMonth'</f>
        <v>6613</v>
      </c>
      <c r="B607" t="str">
        <v>朋億</v>
      </c>
      <c r="C607" t="str">
        <v>52.9</v>
      </c>
      <c r="D607" t="str">
        <v>3.39</v>
      </c>
      <c r="E607" t="str">
        <v>248.80</v>
      </c>
      <c r="F607" t="str">
        <v>222.53</v>
      </c>
      <c r="G607" t="str">
        <v>2022/03</v>
      </c>
      <c r="H607" t="str">
        <v>45.73</v>
      </c>
      <c r="I607" t="str">
        <v>33.25</v>
      </c>
      <c r="J607" t="str">
        <v>2022/06</v>
      </c>
      <c r="K607" t="str">
        <f t="array" ref="K607:T607">[1]!'6613.TW-OperatingProfitRatio,Price,PriceChangeRatio,InOutRatioNumber,Value,YearReturn,MonthReturn,WeekReturn,FinanceBalanceDif,ChipsField2'</f>
        <v>15.01</v>
      </c>
      <c r="L607">
        <v>156</v>
      </c>
      <c r="M607">
        <v>3.31</v>
      </c>
      <c r="N607" t="str">
        <v>68.66%</v>
      </c>
      <c r="O607" t="str">
        <v>1049萬</v>
      </c>
      <c r="P607" t="str">
        <v>+10.92</v>
      </c>
      <c r="Q607" t="str">
        <v>+10.25</v>
      </c>
      <c r="R607" t="str">
        <v>+4.00</v>
      </c>
      <c r="S607">
        <v>0</v>
      </c>
      <c r="T607">
        <v>0</v>
      </c>
      <c r="U607">
        <f t="array" ref="U607:AD607">[1]!'6613.TW-ChipsField3,ChipsField1,ChipsField25,CashAndStockDividend,CashDividendYieldRate,ProfitFourSeason,ProfitSingle,CName,ExchangeIndustry,CompanyPos'</f>
        <v>0</v>
      </c>
      <c r="V607">
        <v>4</v>
      </c>
      <c r="W607" t="str">
        <v>2022/06/30</v>
      </c>
      <c r="X607" t="str">
        <v>12.00</v>
      </c>
      <c r="Y607">
        <v>7.69</v>
      </c>
      <c r="Z607" t="str">
        <v>20.01</v>
      </c>
      <c r="AA607" t="str">
        <v>5.17</v>
      </c>
      <c r="AB607" t="str">
        <v>朋億</v>
      </c>
      <c r="AC607" t="str">
        <v>上櫃其他電子</v>
      </c>
      <c r="AD607" t="str">
        <v>聖暉子公司，經營半導體自動化供應系統等業務</v>
      </c>
      <c r="AE607" t="str">
        <f t="array" ref="AE607:AH607">[1]!'6613.TW-CName,InvestorConferenceDate,DateofMeetingofShareHolders,TradingDate'</f>
        <v>朋億</v>
      </c>
      <c r="AF607" t="str">
        <v>2021/11/18</v>
      </c>
      <c r="AG607" t="str">
        <v>2022/05/24</v>
      </c>
      <c r="AH607" t="str">
        <v>2022/08/01</v>
      </c>
    </row>
    <row r="608" spans="1:34" x14ac:dyDescent="0.3">
      <c r="A608" t="str">
        <f t="array" ref="A608:J608">[1]!'6654.TW-ID,Name,MarketValue,Capital,NetIncomeGrowthRate,OperIncomeGrowthRate,FinancialStatementsTime,TFXRatio,MonthlyNetSalesYoY,RevenueMonth'</f>
        <v>6654</v>
      </c>
      <c r="B608" t="str">
        <v>天正國際</v>
      </c>
      <c r="C608" t="str">
        <v>16.5</v>
      </c>
      <c r="D608" t="str">
        <v>3.33</v>
      </c>
      <c r="E608" t="str">
        <v>-33.15</v>
      </c>
      <c r="F608" t="str">
        <v>-85.47</v>
      </c>
      <c r="G608" t="str">
        <v>2022/03</v>
      </c>
      <c r="H608" t="str">
        <v>3.92</v>
      </c>
      <c r="I608" t="str">
        <v>-44.57</v>
      </c>
      <c r="J608" t="str">
        <v>2022/06</v>
      </c>
      <c r="K608" t="str">
        <f t="array" ref="K608:T608">[1]!'6654.TW-OperatingProfitRatio,Price,PriceChangeRatio,InOutRatioNumber,Value,YearReturn,MonthReturn,WeekReturn,FinanceBalanceDif,ChipsField2'</f>
        <v>4.37</v>
      </c>
      <c r="L608">
        <v>49.5</v>
      </c>
      <c r="M608">
        <v>0.1</v>
      </c>
      <c r="N608" t="str">
        <v>66.67%</v>
      </c>
      <c r="O608" t="str">
        <v>14.8萬</v>
      </c>
      <c r="P608" t="str">
        <v>-36.53</v>
      </c>
      <c r="Q608" t="str">
        <v>+1.12</v>
      </c>
      <c r="R608" t="str">
        <v>+1.02</v>
      </c>
      <c r="S608">
        <v>-1</v>
      </c>
      <c r="T608">
        <v>0</v>
      </c>
      <c r="U608">
        <f t="array" ref="U608:AD608">[1]!'6654.TW-ChipsField3,ChipsField1,ChipsField25,CashAndStockDividend,CashDividendYieldRate,ProfitFourSeason,ProfitSingle,CName,ExchangeIndustry,CompanyPos'</f>
        <v>0</v>
      </c>
      <c r="V608">
        <v>0</v>
      </c>
      <c r="W608" t="str">
        <v>2022/07/01</v>
      </c>
      <c r="X608" t="str">
        <v>4.50</v>
      </c>
      <c r="Y608">
        <v>9.09</v>
      </c>
      <c r="Z608" t="str">
        <v>6.59</v>
      </c>
      <c r="AA608" t="str">
        <v>0.66</v>
      </c>
      <c r="AB608" t="str">
        <v>天正國際</v>
      </c>
      <c r="AC608" t="str">
        <v>上櫃其他電子</v>
      </c>
      <c r="AD608" t="str">
        <v>專業的被動元件後段自動化生產設備開發商</v>
      </c>
      <c r="AE608" t="str">
        <f t="array" ref="AE608:AH608">[1]!'6654.TW-CName,InvestorConferenceDate,DateofMeetingofShareHolders,TradingDate'</f>
        <v>天正國際</v>
      </c>
      <c r="AF608" t="str">
        <v>2021/12/14</v>
      </c>
      <c r="AG608" t="str">
        <v>2022/06/01</v>
      </c>
      <c r="AH608" t="str">
        <v>2022/08/01</v>
      </c>
    </row>
    <row r="609" spans="1:34" x14ac:dyDescent="0.3">
      <c r="A609" t="str">
        <f t="array" ref="A609:J609">[1]!'6667.TW-ID,Name,MarketValue,Capital,NetIncomeGrowthRate,OperIncomeGrowthRate,FinancialStatementsTime,TFXRatio,MonthlyNetSalesYoY,RevenueMonth'</f>
        <v>6667</v>
      </c>
      <c r="B609" t="str">
        <v>信紘科</v>
      </c>
      <c r="C609" t="str">
        <v>27.0</v>
      </c>
      <c r="D609" t="str">
        <v>3.98</v>
      </c>
      <c r="E609" t="str">
        <v>124.17</v>
      </c>
      <c r="F609" t="str">
        <v>127.87</v>
      </c>
      <c r="G609" t="str">
        <v>2022/03</v>
      </c>
      <c r="H609" t="str">
        <v>-15.93</v>
      </c>
      <c r="I609" t="str">
        <v>24.57</v>
      </c>
      <c r="J609" t="str">
        <v>2022/06</v>
      </c>
      <c r="K609" t="str">
        <f t="array" ref="K609:T609">[1]!'6667.TW-OperatingProfitRatio,Price,PriceChangeRatio,InOutRatioNumber,Value,YearReturn,MonthReturn,WeekReturn,FinanceBalanceDif,ChipsField2'</f>
        <v>6.28</v>
      </c>
      <c r="L609">
        <v>68</v>
      </c>
      <c r="M609">
        <v>-1.02</v>
      </c>
      <c r="N609" t="str">
        <v>24.00%</v>
      </c>
      <c r="O609" t="str">
        <v>170萬</v>
      </c>
      <c r="P609" t="str">
        <v>+7.08</v>
      </c>
      <c r="Q609" t="str">
        <v>+16.89</v>
      </c>
      <c r="R609" t="str">
        <v>-2.16</v>
      </c>
      <c r="S609">
        <v>12</v>
      </c>
      <c r="T609">
        <v>0</v>
      </c>
      <c r="U609">
        <f t="array" ref="U609:AD609">[1]!'6667.TW-ChipsField3,ChipsField1,ChipsField25,CashAndStockDividend,CashDividendYieldRate,ProfitFourSeason,ProfitSingle,CName,ExchangeIndustry,CompanyPos'</f>
        <v>-55</v>
      </c>
      <c r="V609">
        <v>-41</v>
      </c>
      <c r="W609" t="str">
        <v>2022/07/05</v>
      </c>
      <c r="X609" t="str">
        <v>2.94</v>
      </c>
      <c r="Y609">
        <v>4.32</v>
      </c>
      <c r="Z609" t="str">
        <v>3.70</v>
      </c>
      <c r="AA609" t="str">
        <v>0.80</v>
      </c>
      <c r="AB609" t="str">
        <v>信紘科</v>
      </c>
      <c r="AC609" t="str">
        <v>上櫃其他電子</v>
      </c>
      <c r="AD609" t="str">
        <v>高科技廠務工程及製程設備領域之專業廠商</v>
      </c>
      <c r="AE609" t="str">
        <f t="array" ref="AE609:AH609">[1]!'6667.TW-CName,InvestorConferenceDate,DateofMeetingofShareHolders,TradingDate'</f>
        <v>信紘科</v>
      </c>
      <c r="AF609" t="str">
        <v>2021/09/14</v>
      </c>
      <c r="AG609" t="str">
        <v>2022/06/15</v>
      </c>
      <c r="AH609" t="str">
        <v>2022/08/01</v>
      </c>
    </row>
    <row r="610" spans="1:34" x14ac:dyDescent="0.3">
      <c r="A610" t="str">
        <f t="array" ref="A610:J610">[1]!'6735.TW-ID,Name,MarketValue,Capital,NetIncomeGrowthRate,OperIncomeGrowthRate,FinancialStatementsTime,TFXRatio,MonthlyNetSalesYoY,RevenueMonth'</f>
        <v>6735</v>
      </c>
      <c r="B610" t="str">
        <v>美達科技</v>
      </c>
      <c r="C610" t="str">
        <v>28.7</v>
      </c>
      <c r="D610" t="str">
        <v>3.99</v>
      </c>
      <c r="E610" t="str">
        <v>21.60</v>
      </c>
      <c r="F610" t="str">
        <v>15.79</v>
      </c>
      <c r="G610" t="str">
        <v>2022/03</v>
      </c>
      <c r="H610" t="str">
        <v>-21.84</v>
      </c>
      <c r="I610" t="str">
        <v>23.10</v>
      </c>
      <c r="J610" t="str">
        <v>2022/06</v>
      </c>
      <c r="K610" t="str">
        <f t="array" ref="K610:T610">[1]!'6735.TW-OperatingProfitRatio,Price,PriceChangeRatio,InOutRatioNumber,Value,YearReturn,MonthReturn,WeekReturn,FinanceBalanceDif,ChipsField2'</f>
        <v>39.95</v>
      </c>
      <c r="L610">
        <v>72</v>
      </c>
      <c r="M610">
        <v>-1.37</v>
      </c>
      <c r="N610" t="str">
        <v>21.43%</v>
      </c>
      <c r="O610" t="str">
        <v>202萬</v>
      </c>
      <c r="P610" t="str">
        <v>--</v>
      </c>
      <c r="Q610" t="str">
        <v>+11.98</v>
      </c>
      <c r="R610" t="str">
        <v>-3.23</v>
      </c>
      <c r="S610">
        <v>0</v>
      </c>
      <c r="T610">
        <v>0</v>
      </c>
      <c r="U610">
        <f t="array" ref="U610:AD610">[1]!'6735.TW-ChipsField3,ChipsField1,ChipsField25,CashAndStockDividend,CashDividendYieldRate,ProfitFourSeason,ProfitSingle,CName,ExchangeIndustry,CompanyPos'</f>
        <v>0</v>
      </c>
      <c r="V610">
        <v>0</v>
      </c>
      <c r="W610" t="str">
        <v>2022/06/16</v>
      </c>
      <c r="X610" t="str">
        <v>3.20</v>
      </c>
      <c r="Y610">
        <v>4.4400000000000004</v>
      </c>
      <c r="Z610" t="str">
        <v>4.64</v>
      </c>
      <c r="AA610" t="str">
        <v>1.32</v>
      </c>
      <c r="AB610" t="str">
        <v>美達科技</v>
      </c>
      <c r="AC610" t="str">
        <v>上櫃其他電子</v>
      </c>
      <c r="AD610" t="str">
        <v>半導體測試儀器及系統技術開發供應商</v>
      </c>
      <c r="AE610" t="str">
        <f t="array" ref="AE610:AH610">[1]!'6735.TW-CName,InvestorConferenceDate,DateofMeetingofShareHolders,TradingDate'</f>
        <v>美達科技</v>
      </c>
      <c r="AF610" t="str">
        <v>--</v>
      </c>
      <c r="AG610" t="str">
        <v>2022/05/30</v>
      </c>
      <c r="AH610" t="str">
        <v>2022/08/01</v>
      </c>
    </row>
    <row r="611" spans="1:34" x14ac:dyDescent="0.3">
      <c r="A611" t="str">
        <f t="array" ref="A611:J611">[1]!'8047.TW-ID,Name,MarketValue,Capital,NetIncomeGrowthRate,OperIncomeGrowthRate,FinancialStatementsTime,TFXRatio,MonthlyNetSalesYoY,RevenueMonth'</f>
        <v>8047</v>
      </c>
      <c r="B611" t="str">
        <v>星雲</v>
      </c>
      <c r="C611" t="str">
        <v>5.2</v>
      </c>
      <c r="D611" t="str">
        <v>4.17</v>
      </c>
      <c r="E611" t="str">
        <v>108.19</v>
      </c>
      <c r="F611" t="str">
        <v>102.18</v>
      </c>
      <c r="G611" t="str">
        <v>2022/03</v>
      </c>
      <c r="H611" t="str">
        <v>26.86</v>
      </c>
      <c r="I611" t="str">
        <v>-2.49</v>
      </c>
      <c r="J611" t="str">
        <v>2022/06</v>
      </c>
      <c r="K611" t="str">
        <f t="array" ref="K611:T611">[1]!'8047.TW-OperatingProfitRatio,Price,PriceChangeRatio,InOutRatioNumber,Value,YearReturn,MonthReturn,WeekReturn,FinanceBalanceDif,ChipsField2'</f>
        <v>0.15</v>
      </c>
      <c r="L611">
        <v>12.45</v>
      </c>
      <c r="M611">
        <v>-1.19</v>
      </c>
      <c r="N611" t="str">
        <v>50.00%</v>
      </c>
      <c r="O611" t="str">
        <v>12.4萬</v>
      </c>
      <c r="P611" t="str">
        <v>+2.87</v>
      </c>
      <c r="Q611" t="str">
        <v>-8.12</v>
      </c>
      <c r="R611" t="str">
        <v>+0.81</v>
      </c>
      <c r="S611">
        <v>-2</v>
      </c>
      <c r="T611">
        <v>0</v>
      </c>
      <c r="U611">
        <f t="array" ref="U611:AD611">[1]!'8047.TW-ChipsField3,ChipsField1,ChipsField25,CashAndStockDividend,CashDividendYieldRate,ProfitFourSeason,ProfitSingle,CName,ExchangeIndustry,CompanyPos'</f>
        <v>0</v>
      </c>
      <c r="V611">
        <v>-1</v>
      </c>
      <c r="W611" t="str">
        <v>--</v>
      </c>
      <c r="X611" t="str">
        <v>0.25</v>
      </c>
      <c r="Y611">
        <v>2.0099999999999998</v>
      </c>
      <c r="Z611" t="str">
        <v>0.76</v>
      </c>
      <c r="AA611" t="str">
        <v>0.02</v>
      </c>
      <c r="AB611" t="str">
        <v>星雲</v>
      </c>
      <c r="AC611" t="str">
        <v>上櫃其他電子</v>
      </c>
      <c r="AD611" t="str">
        <v>世界知名的電腦割字機製造大廠</v>
      </c>
      <c r="AE611" t="str">
        <f t="array" ref="AE611:AH611">[1]!'8047.TW-CName,InvestorConferenceDate,DateofMeetingofShareHolders,TradingDate'</f>
        <v>星雲</v>
      </c>
      <c r="AF611" t="str">
        <v>--</v>
      </c>
      <c r="AG611" t="str">
        <v>2022/06/24</v>
      </c>
      <c r="AH611" t="str">
        <v>2022/08/01</v>
      </c>
    </row>
    <row r="612" spans="1:34" x14ac:dyDescent="0.3">
      <c r="A612" t="str">
        <f t="array" ref="A612:J612">[1]!'8085.TW-ID,Name,MarketValue,Capital,NetIncomeGrowthRate,OperIncomeGrowthRate,FinancialStatementsTime,TFXRatio,MonthlyNetSalesYoY,RevenueMonth'</f>
        <v>8085</v>
      </c>
      <c r="B612" t="str">
        <v>福華</v>
      </c>
      <c r="C612" t="str">
        <v>27.4</v>
      </c>
      <c r="D612" t="str">
        <v>14.00</v>
      </c>
      <c r="E612" t="str">
        <v>74.92</v>
      </c>
      <c r="F612" t="str">
        <v>13.42</v>
      </c>
      <c r="G612" t="str">
        <v>2022/03</v>
      </c>
      <c r="H612" t="str">
        <v>-11.60</v>
      </c>
      <c r="I612" t="str">
        <v>24.91</v>
      </c>
      <c r="J612" t="str">
        <v>2022/06</v>
      </c>
      <c r="K612" t="str">
        <f t="array" ref="K612:T612">[1]!'8085.TW-OperatingProfitRatio,Price,PriceChangeRatio,InOutRatioNumber,Value,YearReturn,MonthReturn,WeekReturn,FinanceBalanceDif,ChipsField2'</f>
        <v>-4.01</v>
      </c>
      <c r="L612">
        <v>19.55</v>
      </c>
      <c r="M612">
        <v>-1.26</v>
      </c>
      <c r="N612" t="str">
        <v>23.86%</v>
      </c>
      <c r="O612" t="str">
        <v>695萬</v>
      </c>
      <c r="P612" t="str">
        <v>+24.67</v>
      </c>
      <c r="Q612" t="str">
        <v>+12.52</v>
      </c>
      <c r="R612" t="str">
        <v>-1.26</v>
      </c>
      <c r="S612">
        <v>9</v>
      </c>
      <c r="T612">
        <v>0</v>
      </c>
      <c r="U612">
        <f t="array" ref="U612:AD612">[1]!'8085.TW-ChipsField3,ChipsField1,ChipsField25,CashAndStockDividend,CashDividendYieldRate,ProfitFourSeason,ProfitSingle,CName,ExchangeIndustry,CompanyPos'</f>
        <v>0</v>
      </c>
      <c r="V612">
        <v>65</v>
      </c>
      <c r="W612" t="str">
        <v>2022/07/26</v>
      </c>
      <c r="X612" t="str">
        <v>0.20</v>
      </c>
      <c r="Y612">
        <v>1.02</v>
      </c>
      <c r="Z612" t="str">
        <v>0.28</v>
      </c>
      <c r="AA612" t="str">
        <v>0.14</v>
      </c>
      <c r="AB612" t="str">
        <v>福華</v>
      </c>
      <c r="AC612" t="str">
        <v>上櫃其他電子</v>
      </c>
      <c r="AD612" t="str">
        <v>泛大同集團股的電子零組件廠</v>
      </c>
      <c r="AE612" t="str">
        <f t="array" ref="AE612:AH612">[1]!'8085.TW-CName,InvestorConferenceDate,DateofMeetingofShareHolders,TradingDate'</f>
        <v>福華</v>
      </c>
      <c r="AF612" t="str">
        <v>--</v>
      </c>
      <c r="AG612" t="str">
        <v>2022/06/27</v>
      </c>
      <c r="AH612" t="str">
        <v>2022/08/01</v>
      </c>
    </row>
    <row r="613" spans="1:34" x14ac:dyDescent="0.3">
      <c r="A613" t="str">
        <f t="array" ref="A613:J613">[1]!'8092.TW-ID,Name,MarketValue,Capital,NetIncomeGrowthRate,OperIncomeGrowthRate,FinancialStatementsTime,TFXRatio,MonthlyNetSalesYoY,RevenueMonth'</f>
        <v>8092</v>
      </c>
      <c r="B613" t="str">
        <v>建暐</v>
      </c>
      <c r="C613" t="str">
        <v>4.1</v>
      </c>
      <c r="D613" t="str">
        <v>3.89</v>
      </c>
      <c r="E613" t="str">
        <v>108.20</v>
      </c>
      <c r="F613" t="str">
        <v>102.87</v>
      </c>
      <c r="G613" t="str">
        <v>2022/03</v>
      </c>
      <c r="H613" t="str">
        <v>42.68</v>
      </c>
      <c r="I613" t="str">
        <v>8.89</v>
      </c>
      <c r="J613" t="str">
        <v>2022/06</v>
      </c>
      <c r="K613" t="str">
        <f t="array" ref="K613:T613">[1]!'8092.TW-OperatingProfitRatio,Price,PriceChangeRatio,InOutRatioNumber,Value,YearReturn,MonthReturn,WeekReturn,FinanceBalanceDif,ChipsField2'</f>
        <v>0.41</v>
      </c>
      <c r="L613">
        <v>10.6</v>
      </c>
      <c r="M613">
        <v>-0.93</v>
      </c>
      <c r="N613" t="str">
        <v>25.00%</v>
      </c>
      <c r="O613" t="str">
        <v>77.0萬</v>
      </c>
      <c r="P613" t="str">
        <v>+11.23</v>
      </c>
      <c r="Q613" t="str">
        <v>+9.05</v>
      </c>
      <c r="R613" t="str">
        <v>+3.41</v>
      </c>
      <c r="S613">
        <v>0</v>
      </c>
      <c r="T613">
        <v>0</v>
      </c>
      <c r="U613">
        <f t="array" ref="U613:AD613">[1]!'8092.TW-ChipsField3,ChipsField1,ChipsField25,CashAndStockDividend,CashDividendYieldRate,ProfitFourSeason,ProfitSingle,CName,ExchangeIndustry,CompanyPos'</f>
        <v>0</v>
      </c>
      <c r="V613">
        <v>-3</v>
      </c>
      <c r="W613" t="str">
        <v>--</v>
      </c>
      <c r="X613" t="str">
        <v>0.00</v>
      </c>
      <c r="Y613">
        <v>0</v>
      </c>
      <c r="Z613" t="str">
        <v>-0.26</v>
      </c>
      <c r="AA613" t="str">
        <v>0.02</v>
      </c>
      <c r="AB613" t="str">
        <v>建暐</v>
      </c>
      <c r="AC613" t="str">
        <v>上櫃其他電子</v>
      </c>
      <c r="AD613" t="str">
        <v>IC封裝模具及量測儀器廠製造商</v>
      </c>
      <c r="AE613" t="str">
        <f t="array" ref="AE613:AH613">[1]!'8092.TW-CName,InvestorConferenceDate,DateofMeetingofShareHolders,TradingDate'</f>
        <v>建暐</v>
      </c>
      <c r="AF613" t="str">
        <v>--</v>
      </c>
      <c r="AG613" t="str">
        <v>2022/06/21</v>
      </c>
      <c r="AH613" t="str">
        <v>2022/08/01</v>
      </c>
    </row>
    <row r="614" spans="1:34" x14ac:dyDescent="0.3">
      <c r="A614" t="str">
        <f t="array" ref="A614:J614">[1]!'8183.TW-ID,Name,MarketValue,Capital,NetIncomeGrowthRate,OperIncomeGrowthRate,FinancialStatementsTime,TFXRatio,MonthlyNetSalesYoY,RevenueMonth'</f>
        <v>8183</v>
      </c>
      <c r="B614" t="str">
        <v>精星</v>
      </c>
      <c r="C614" t="str">
        <v>78.1</v>
      </c>
      <c r="D614" t="str">
        <v>12.13</v>
      </c>
      <c r="E614" t="str">
        <v>81.37</v>
      </c>
      <c r="F614" t="str">
        <v>64.11</v>
      </c>
      <c r="G614" t="str">
        <v>2022/03</v>
      </c>
      <c r="H614" t="str">
        <v>3.43</v>
      </c>
      <c r="I614" t="str">
        <v>83.35</v>
      </c>
      <c r="J614" t="str">
        <v>2022/06</v>
      </c>
      <c r="K614" t="str">
        <f t="array" ref="K614:T614">[1]!'8183.TW-OperatingProfitRatio,Price,PriceChangeRatio,InOutRatioNumber,Value,YearReturn,MonthReturn,WeekReturn,FinanceBalanceDif,ChipsField2'</f>
        <v>13.09</v>
      </c>
      <c r="L614">
        <v>64.400000000000006</v>
      </c>
      <c r="M614">
        <v>0.31</v>
      </c>
      <c r="N614" t="str">
        <v>47.06%</v>
      </c>
      <c r="O614" t="str">
        <v>2.24億</v>
      </c>
      <c r="P614" t="str">
        <v>+30.72</v>
      </c>
      <c r="Q614" t="str">
        <v>+19.26</v>
      </c>
      <c r="R614" t="str">
        <v>-3.16</v>
      </c>
      <c r="S614">
        <v>-151</v>
      </c>
      <c r="T614">
        <v>0</v>
      </c>
      <c r="U614">
        <f t="array" ref="U614:AD614">[1]!'8183.TW-ChipsField3,ChipsField1,ChipsField25,CashAndStockDividend,CashDividendYieldRate,ProfitFourSeason,ProfitSingle,CName,ExchangeIndustry,CompanyPos'</f>
        <v>5</v>
      </c>
      <c r="V614">
        <v>38</v>
      </c>
      <c r="W614" t="str">
        <v>2022/08/09</v>
      </c>
      <c r="X614" t="str">
        <v>1.26</v>
      </c>
      <c r="Y614">
        <v>1.96</v>
      </c>
      <c r="Z614" t="str">
        <v>4.82</v>
      </c>
      <c r="AA614" t="str">
        <v>1.46</v>
      </c>
      <c r="AB614" t="str">
        <v>精星</v>
      </c>
      <c r="AC614" t="str">
        <v>上櫃其他電子</v>
      </c>
      <c r="AD614" t="str">
        <v>專業電子製造服務(EMS)廠商</v>
      </c>
      <c r="AE614" t="str">
        <f t="array" ref="AE614:AH614">[1]!'8183.TW-CName,InvestorConferenceDate,DateofMeetingofShareHolders,TradingDate'</f>
        <v>精星</v>
      </c>
      <c r="AF614" t="str">
        <v>--</v>
      </c>
      <c r="AG614" t="str">
        <v>2022/06/09</v>
      </c>
      <c r="AH614" t="str">
        <v>2022/08/01</v>
      </c>
    </row>
    <row r="615" spans="1:34" x14ac:dyDescent="0.3">
      <c r="A615" t="str">
        <f t="array" ref="A615:J615">[1]!'8383.TW-ID,Name,MarketValue,Capital,NetIncomeGrowthRate,OperIncomeGrowthRate,FinancialStatementsTime,TFXRatio,MonthlyNetSalesYoY,RevenueMonth'</f>
        <v>8383</v>
      </c>
      <c r="B615" t="str">
        <v>千附</v>
      </c>
      <c r="C615" t="str">
        <v>41.9</v>
      </c>
      <c r="D615" t="str">
        <v>11.38</v>
      </c>
      <c r="E615" t="str">
        <v>25.68</v>
      </c>
      <c r="F615" t="str">
        <v>20.36</v>
      </c>
      <c r="G615" t="str">
        <v>2022/03</v>
      </c>
      <c r="H615" t="str">
        <v>-7.38</v>
      </c>
      <c r="I615" t="str">
        <v>30.03</v>
      </c>
      <c r="J615" t="str">
        <v>2022/06</v>
      </c>
      <c r="K615" t="str">
        <f t="array" ref="K615:T615">[1]!'8383.TW-OperatingProfitRatio,Price,PriceChangeRatio,InOutRatioNumber,Value,YearReturn,MonthReturn,WeekReturn,FinanceBalanceDif,ChipsField2'</f>
        <v>11.88</v>
      </c>
      <c r="L615">
        <v>36.799999999999997</v>
      </c>
      <c r="M615">
        <v>0.14000000000000001</v>
      </c>
      <c r="N615" t="str">
        <v>32.93%</v>
      </c>
      <c r="O615" t="str">
        <v>316萬</v>
      </c>
      <c r="P615" t="str">
        <v>+0.73</v>
      </c>
      <c r="Q615" t="str">
        <v>+7.01</v>
      </c>
      <c r="R615" t="str">
        <v>+1.77</v>
      </c>
      <c r="S615">
        <v>-18</v>
      </c>
      <c r="T615">
        <v>0</v>
      </c>
      <c r="U615">
        <f t="array" ref="U615:AD615">[1]!'8383.TW-ChipsField3,ChipsField1,ChipsField25,CashAndStockDividend,CashDividendYieldRate,ProfitFourSeason,ProfitSingle,CName,ExchangeIndustry,CompanyPos'</f>
        <v>0</v>
      </c>
      <c r="V615">
        <v>-10</v>
      </c>
      <c r="W615" t="str">
        <v>2022/07/27</v>
      </c>
      <c r="X615" t="str">
        <v>2.61</v>
      </c>
      <c r="Y615">
        <v>7.09</v>
      </c>
      <c r="Z615" t="str">
        <v>-1.43</v>
      </c>
      <c r="AA615" t="str">
        <v>0.54</v>
      </c>
      <c r="AB615" t="str">
        <v>千附</v>
      </c>
      <c r="AC615" t="str">
        <v>上櫃其他電子</v>
      </c>
      <c r="AD615" t="str">
        <v>TFT-LCD及半導體廠無塵室供應商</v>
      </c>
      <c r="AE615" t="str">
        <f t="array" ref="AE615:AH615">[1]!'8383.TW-CName,InvestorConferenceDate,DateofMeetingofShareHolders,TradingDate'</f>
        <v>千附</v>
      </c>
      <c r="AF615" t="str">
        <v>--</v>
      </c>
      <c r="AG615" t="str">
        <v>2022/05/27</v>
      </c>
      <c r="AH615" t="str">
        <v>2022/08/01</v>
      </c>
    </row>
    <row r="616" spans="1:34" x14ac:dyDescent="0.3">
      <c r="A616" t="str">
        <f t="array" ref="A616:J616">[1]!'8431.TW-ID,Name,MarketValue,Capital,NetIncomeGrowthRate,OperIncomeGrowthRate,FinancialStatementsTime,TFXRatio,MonthlyNetSalesYoY,RevenueMonth'</f>
        <v>8431</v>
      </c>
      <c r="B616" t="str">
        <v>匯鑽科</v>
      </c>
      <c r="C616" t="str">
        <v>24.9</v>
      </c>
      <c r="D616" t="str">
        <v>4.45</v>
      </c>
      <c r="E616" t="str">
        <v>-65.85</v>
      </c>
      <c r="F616" t="str">
        <v>-60.53</v>
      </c>
      <c r="G616" t="str">
        <v>2022/03</v>
      </c>
      <c r="H616" t="str">
        <v>6.01</v>
      </c>
      <c r="I616" t="str">
        <v>8.05</v>
      </c>
      <c r="J616" t="str">
        <v>2022/06</v>
      </c>
      <c r="K616" t="str">
        <f t="array" ref="K616:T616">[1]!'8431.TW-OperatingProfitRatio,Price,PriceChangeRatio,InOutRatioNumber,Value,YearReturn,MonthReturn,WeekReturn,FinanceBalanceDif,ChipsField2'</f>
        <v>10.77</v>
      </c>
      <c r="L616">
        <v>55.9</v>
      </c>
      <c r="M616">
        <v>0.54</v>
      </c>
      <c r="N616" t="str">
        <v>40.98%</v>
      </c>
      <c r="O616" t="str">
        <v>342萬</v>
      </c>
      <c r="P616" t="str">
        <v>-18.02</v>
      </c>
      <c r="Q616" t="str">
        <v>+4.88</v>
      </c>
      <c r="R616" t="str">
        <v>+0.54</v>
      </c>
      <c r="S616">
        <v>8</v>
      </c>
      <c r="T616">
        <v>0</v>
      </c>
      <c r="U616">
        <f t="array" ref="U616:AD616">[1]!'8431.TW-ChipsField3,ChipsField1,ChipsField25,CashAndStockDividend,CashDividendYieldRate,ProfitFourSeason,ProfitSingle,CName,ExchangeIndustry,CompanyPos'</f>
        <v>0</v>
      </c>
      <c r="V616">
        <v>10</v>
      </c>
      <c r="W616" t="str">
        <v>2022/07/11</v>
      </c>
      <c r="X616" t="str">
        <v>1.80</v>
      </c>
      <c r="Y616">
        <v>3.22</v>
      </c>
      <c r="Z616" t="str">
        <v>3.24</v>
      </c>
      <c r="AA616" t="str">
        <v>0.23</v>
      </c>
      <c r="AB616" t="str">
        <v>匯鑽科</v>
      </c>
      <c r="AC616" t="str">
        <v>上櫃其他電子</v>
      </c>
      <c r="AD616" t="str">
        <v>亞太最大表面處理大廠</v>
      </c>
      <c r="AE616" t="str">
        <f t="array" ref="AE616:AH616">[1]!'8431.TW-CName,InvestorConferenceDate,DateofMeetingofShareHolders,TradingDate'</f>
        <v>匯鑽科</v>
      </c>
      <c r="AF616" t="str">
        <v>2021/07/21</v>
      </c>
      <c r="AG616" t="str">
        <v>2022/06/22</v>
      </c>
      <c r="AH616" t="str">
        <v>2022/08/01</v>
      </c>
    </row>
    <row r="617" spans="1:34" x14ac:dyDescent="0.3">
      <c r="A617" t="str">
        <f t="array" ref="A617:J617">[1]!'8455.TW-ID,Name,MarketValue,Capital,NetIncomeGrowthRate,OperIncomeGrowthRate,FinancialStatementsTime,TFXRatio,MonthlyNetSalesYoY,RevenueMonth'</f>
        <v>8455</v>
      </c>
      <c r="B617" t="str">
        <v>大拓-KY</v>
      </c>
      <c r="C617" t="str">
        <v>5.3</v>
      </c>
      <c r="D617" t="str">
        <v>2.52</v>
      </c>
      <c r="E617" t="str">
        <v>681.29</v>
      </c>
      <c r="F617" t="str">
        <v>697.89</v>
      </c>
      <c r="G617" t="str">
        <v>2022/03</v>
      </c>
      <c r="H617" t="str">
        <v>16.12</v>
      </c>
      <c r="I617" t="str">
        <v>7.21</v>
      </c>
      <c r="J617" t="str">
        <v>2022/06</v>
      </c>
      <c r="K617" t="str">
        <f t="array" ref="K617:T617">[1]!'8455.TW-OperatingProfitRatio,Price,PriceChangeRatio,InOutRatioNumber,Value,YearReturn,MonthReturn,WeekReturn,FinanceBalanceDif,ChipsField2'</f>
        <v>2.98</v>
      </c>
      <c r="L617" t="str">
        <v>--</v>
      </c>
      <c r="M617" t="str">
        <v>--</v>
      </c>
      <c r="N617" t="str">
        <v>--</v>
      </c>
      <c r="O617" t="str">
        <v>--</v>
      </c>
      <c r="P617" t="str">
        <v>+18.54</v>
      </c>
      <c r="Q617" t="str">
        <v>+8.21</v>
      </c>
      <c r="R617" t="str">
        <v>+6.03</v>
      </c>
      <c r="S617">
        <v>0</v>
      </c>
      <c r="T617">
        <v>0</v>
      </c>
      <c r="U617">
        <f t="array" ref="U617:AD617">[1]!'8455.TW-ChipsField3,ChipsField1,ChipsField25,CashAndStockDividend,CashDividendYieldRate,ProfitFourSeason,ProfitSingle,CName,ExchangeIndustry,CompanyPos'</f>
        <v>0</v>
      </c>
      <c r="V617">
        <v>1</v>
      </c>
      <c r="W617" t="str">
        <v>--</v>
      </c>
      <c r="X617" t="str">
        <v>0.00</v>
      </c>
      <c r="Y617">
        <v>0</v>
      </c>
      <c r="Z617" t="str">
        <v>1.42</v>
      </c>
      <c r="AA617" t="str">
        <v>0.49</v>
      </c>
      <c r="AB617" t="str">
        <v>大拓-KY</v>
      </c>
      <c r="AC617" t="str">
        <v>上櫃其他電子</v>
      </c>
      <c r="AD617" t="str">
        <v>代理日系大廠電子電機產品之日本廠商</v>
      </c>
      <c r="AE617" t="str">
        <f t="array" ref="AE617:AH617">[1]!'8455.TW-CName,InvestorConferenceDate,DateofMeetingofShareHolders,TradingDate'</f>
        <v>大拓-KY</v>
      </c>
      <c r="AF617" t="str">
        <v>2021/12/09</v>
      </c>
      <c r="AG617" t="str">
        <v>2022/06/16</v>
      </c>
      <c r="AH617" t="str">
        <v>2022/08/01</v>
      </c>
    </row>
    <row r="618" spans="1:34" x14ac:dyDescent="0.3">
      <c r="A618" t="str">
        <f t="array" ref="A618:J618">[1]!'2596.TW-ID,Name,MarketValue,Capital,NetIncomeGrowthRate,OperIncomeGrowthRate,FinancialStatementsTime,TFXRatio,MonthlyNetSalesYoY,RevenueMonth'</f>
        <v>2596</v>
      </c>
      <c r="B618" t="str">
        <v>綠意</v>
      </c>
      <c r="C618" t="str">
        <v>18.4</v>
      </c>
      <c r="D618" t="str">
        <v>10.00</v>
      </c>
      <c r="E618" t="str">
        <v>622.86</v>
      </c>
      <c r="F618" t="str">
        <v>584.34</v>
      </c>
      <c r="G618" t="str">
        <v>2022/03</v>
      </c>
      <c r="H618" t="str">
        <v>-4.61</v>
      </c>
      <c r="I618" t="str">
        <v>-96.79</v>
      </c>
      <c r="J618" t="str">
        <v>2022/06</v>
      </c>
      <c r="K618" t="str">
        <f t="array" ref="K618:T618">[1]!'2596.TW-OperatingProfitRatio,Price,PriceChangeRatio,InOutRatioNumber,Value,YearReturn,MonthReturn,WeekReturn,FinanceBalanceDif,ChipsField2'</f>
        <v>25.65</v>
      </c>
      <c r="L618">
        <v>18.45</v>
      </c>
      <c r="M618">
        <v>2.79</v>
      </c>
      <c r="N618" t="str">
        <v>32.99%</v>
      </c>
      <c r="O618" t="str">
        <v>392萬</v>
      </c>
      <c r="P618" t="str">
        <v>-9.41</v>
      </c>
      <c r="Q618" t="str">
        <v>+3.32</v>
      </c>
      <c r="R618" t="str">
        <v>+3.32</v>
      </c>
      <c r="S618">
        <v>7</v>
      </c>
      <c r="T618">
        <v>0</v>
      </c>
      <c r="U618">
        <f t="array" ref="U618:AD618">[1]!'2596.TW-ChipsField3,ChipsField1,ChipsField25,CashAndStockDividend,CashDividendYieldRate,ProfitFourSeason,ProfitSingle,CName,ExchangeIndustry,CompanyPos'</f>
        <v>0</v>
      </c>
      <c r="V618">
        <v>0</v>
      </c>
      <c r="W618" t="str">
        <v>2022/08/01</v>
      </c>
      <c r="X618" t="str">
        <v>1.50</v>
      </c>
      <c r="Y618">
        <v>8.1300000000000008</v>
      </c>
      <c r="Z618" t="str">
        <v>3.81</v>
      </c>
      <c r="AA618" t="str">
        <v>0.65</v>
      </c>
      <c r="AB618" t="str">
        <v>綠意</v>
      </c>
      <c r="AC618" t="str">
        <v>上櫃建材營造</v>
      </c>
      <c r="AD618" t="str">
        <v>桃園及台北地區小型建商</v>
      </c>
      <c r="AE618" t="str">
        <f t="array" ref="AE618:AH618">[1]!'2596.TW-CName,InvestorConferenceDate,DateofMeetingofShareHolders,TradingDate'</f>
        <v>綠意</v>
      </c>
      <c r="AF618" t="str">
        <v>2022/04/25</v>
      </c>
      <c r="AG618" t="str">
        <v>2022/06/15</v>
      </c>
      <c r="AH618" t="str">
        <v>2022/08/01</v>
      </c>
    </row>
    <row r="619" spans="1:34" x14ac:dyDescent="0.3">
      <c r="A619" t="str">
        <f t="array" ref="A619:J619">[1]!'3188.TW-ID,Name,MarketValue,Capital,NetIncomeGrowthRate,OperIncomeGrowthRate,FinancialStatementsTime,TFXRatio,MonthlyNetSalesYoY,RevenueMonth'</f>
        <v>3188</v>
      </c>
      <c r="B619" t="str">
        <v>鑫龍騰</v>
      </c>
      <c r="C619" t="str">
        <v>17.2</v>
      </c>
      <c r="D619" t="str">
        <v>12.03</v>
      </c>
      <c r="E619" t="str">
        <v>-94.80</v>
      </c>
      <c r="F619" t="str">
        <v>-94.66</v>
      </c>
      <c r="G619" t="str">
        <v>2022/03</v>
      </c>
      <c r="H619" t="str">
        <v>--</v>
      </c>
      <c r="I619" t="str">
        <v>-100.00</v>
      </c>
      <c r="J619" t="str">
        <v>2022/06</v>
      </c>
      <c r="K619" t="str">
        <f t="array" ref="K619:T619">[1]!'3188.TW-OperatingProfitRatio,Price,PriceChangeRatio,InOutRatioNumber,Value,YearReturn,MonthReturn,WeekReturn,FinanceBalanceDif,ChipsField2'</f>
        <v>9.70</v>
      </c>
      <c r="L619">
        <v>14.3</v>
      </c>
      <c r="M619">
        <v>-3.05</v>
      </c>
      <c r="N619" t="str">
        <v>26.49%</v>
      </c>
      <c r="O619" t="str">
        <v>265萬</v>
      </c>
      <c r="P619" t="str">
        <v>+0.40</v>
      </c>
      <c r="Q619" t="str">
        <v>-8.63</v>
      </c>
      <c r="R619" t="str">
        <v>-2.05</v>
      </c>
      <c r="S619">
        <v>-1</v>
      </c>
      <c r="T619">
        <v>0</v>
      </c>
      <c r="U619">
        <f t="array" ref="U619:AD619">[1]!'3188.TW-ChipsField3,ChipsField1,ChipsField25,CashAndStockDividend,CashDividendYieldRate,ProfitFourSeason,ProfitSingle,CName,ExchangeIndustry,CompanyPos'</f>
        <v>0</v>
      </c>
      <c r="V619">
        <v>0</v>
      </c>
      <c r="W619" t="str">
        <v>--</v>
      </c>
      <c r="X619" t="str">
        <v>1.00</v>
      </c>
      <c r="Y619">
        <v>6.99</v>
      </c>
      <c r="Z619" t="str">
        <v>1.19</v>
      </c>
      <c r="AA619" t="str">
        <v>0.03</v>
      </c>
      <c r="AB619" t="str">
        <v>鑫龍騰</v>
      </c>
      <c r="AC619" t="str">
        <v>上櫃建材營造</v>
      </c>
      <c r="AD619" t="str">
        <v>轉型為不動產開發銷售業者</v>
      </c>
      <c r="AE619" t="str">
        <f t="array" ref="AE619:AH619">[1]!'3188.TW-CName,InvestorConferenceDate,DateofMeetingofShareHolders,TradingDate'</f>
        <v>鑫龍騰</v>
      </c>
      <c r="AF619" t="str">
        <v>--</v>
      </c>
      <c r="AG619" t="str">
        <v>2022/06/01</v>
      </c>
      <c r="AH619" t="str">
        <v>2022/08/01</v>
      </c>
    </row>
    <row r="620" spans="1:34" x14ac:dyDescent="0.3">
      <c r="A620" t="str">
        <f t="array" ref="A620:J620">[1]!'3489.TW-ID,Name,MarketValue,Capital,NetIncomeGrowthRate,OperIncomeGrowthRate,FinancialStatementsTime,TFXRatio,MonthlyNetSalesYoY,RevenueMonth'</f>
        <v>3489</v>
      </c>
      <c r="B620" t="str">
        <v>森寶</v>
      </c>
      <c r="C620" t="str">
        <v>8.6</v>
      </c>
      <c r="D620" t="str">
        <v>8.31</v>
      </c>
      <c r="E620" t="str">
        <v>-153.21</v>
      </c>
      <c r="F620" t="str">
        <v>-126.79</v>
      </c>
      <c r="G620" t="str">
        <v>2022/03</v>
      </c>
      <c r="H620" t="str">
        <v>-3.29</v>
      </c>
      <c r="I620" t="str">
        <v>-49.29</v>
      </c>
      <c r="J620" t="str">
        <v>2022/06</v>
      </c>
      <c r="K620" t="str">
        <f t="array" ref="K620:T620">[1]!'3489.TW-OperatingProfitRatio,Price,PriceChangeRatio,InOutRatioNumber,Value,YearReturn,MonthReturn,WeekReturn,FinanceBalanceDif,ChipsField2'</f>
        <v>-1.67</v>
      </c>
      <c r="L620">
        <v>10.3</v>
      </c>
      <c r="M620">
        <v>0.49</v>
      </c>
      <c r="N620" t="str">
        <v>71.43%</v>
      </c>
      <c r="O620" t="str">
        <v>38.0萬</v>
      </c>
      <c r="P620" t="str">
        <v>-3.25</v>
      </c>
      <c r="Q620" t="str">
        <v>+5.21</v>
      </c>
      <c r="R620" t="str">
        <v>+4.57</v>
      </c>
      <c r="S620">
        <v>0</v>
      </c>
      <c r="T620">
        <v>0</v>
      </c>
      <c r="U620">
        <f t="array" ref="U620:AD620">[1]!'3489.TW-ChipsField3,ChipsField1,ChipsField25,CashAndStockDividend,CashDividendYieldRate,ProfitFourSeason,ProfitSingle,CName,ExchangeIndustry,CompanyPos'</f>
        <v>0</v>
      </c>
      <c r="V620">
        <v>2</v>
      </c>
      <c r="W620" t="str">
        <v>2022/08/04</v>
      </c>
      <c r="X620" t="str">
        <v>0.50</v>
      </c>
      <c r="Y620">
        <v>4.8499999999999996</v>
      </c>
      <c r="Z620" t="str">
        <v>0.32</v>
      </c>
      <c r="AA620" t="str">
        <v>-0.09</v>
      </c>
      <c r="AB620" t="str">
        <v>森寶</v>
      </c>
      <c r="AC620" t="str">
        <v>上櫃建材營造</v>
      </c>
      <c r="AD620" t="str">
        <v>轉型為營建商，推案集中在新北市地區</v>
      </c>
      <c r="AE620" t="str">
        <f t="array" ref="AE620:AH620">[1]!'3489.TW-CName,InvestorConferenceDate,DateofMeetingofShareHolders,TradingDate'</f>
        <v>森寶</v>
      </c>
      <c r="AF620" t="str">
        <v>--</v>
      </c>
      <c r="AG620" t="str">
        <v>2022/05/27</v>
      </c>
      <c r="AH620" t="str">
        <v>2022/08/01</v>
      </c>
    </row>
    <row r="621" spans="1:34" x14ac:dyDescent="0.3">
      <c r="A621" t="str">
        <f t="array" ref="A621:J621">[1]!'3512.TW-ID,Name,MarketValue,Capital,NetIncomeGrowthRate,OperIncomeGrowthRate,FinancialStatementsTime,TFXRatio,MonthlyNetSalesYoY,RevenueMonth'</f>
        <v>3512</v>
      </c>
      <c r="B621" t="str">
        <v>皇龍</v>
      </c>
      <c r="C621" t="str">
        <v>25.5</v>
      </c>
      <c r="D621" t="str">
        <v>8.40</v>
      </c>
      <c r="E621" t="str">
        <v>89.33</v>
      </c>
      <c r="F621" t="str">
        <v>137.27</v>
      </c>
      <c r="G621" t="str">
        <v>2022/03</v>
      </c>
      <c r="H621" t="str">
        <v>-4.17</v>
      </c>
      <c r="I621" t="str">
        <v>45.68</v>
      </c>
      <c r="J621" t="str">
        <v>2022/06</v>
      </c>
      <c r="K621" t="str">
        <f t="array" ref="K621:T621">[1]!'3512.TW-OperatingProfitRatio,Price,PriceChangeRatio,InOutRatioNumber,Value,YearReturn,MonthReturn,WeekReturn,FinanceBalanceDif,ChipsField2'</f>
        <v>23.62</v>
      </c>
      <c r="L621">
        <v>30.3</v>
      </c>
      <c r="M621">
        <v>0</v>
      </c>
      <c r="N621" t="str">
        <v>34.55%</v>
      </c>
      <c r="O621" t="str">
        <v>170萬</v>
      </c>
      <c r="P621" t="str">
        <v>+9.48</v>
      </c>
      <c r="Q621" t="str">
        <v>+2.06</v>
      </c>
      <c r="R621" t="str">
        <v>+0.17</v>
      </c>
      <c r="S621">
        <v>-10</v>
      </c>
      <c r="T621">
        <v>0</v>
      </c>
      <c r="U621">
        <f t="array" ref="U621:AD621">[1]!'3512.TW-ChipsField3,ChipsField1,ChipsField25,CashAndStockDividend,CashDividendYieldRate,ProfitFourSeason,ProfitSingle,CName,ExchangeIndustry,CompanyPos'</f>
        <v>0</v>
      </c>
      <c r="V621">
        <v>7</v>
      </c>
      <c r="W621" t="str">
        <v>2022/07/13</v>
      </c>
      <c r="X621" t="str">
        <v>3.00</v>
      </c>
      <c r="Y621">
        <v>9.9</v>
      </c>
      <c r="Z621" t="str">
        <v>4.54</v>
      </c>
      <c r="AA621" t="str">
        <v>1.59</v>
      </c>
      <c r="AB621" t="str">
        <v>皇龍</v>
      </c>
      <c r="AC621" t="str">
        <v>上櫃電子零組件,上櫃建材營造</v>
      </c>
      <c r="AD621" t="str">
        <v>從事營建事業及散熱片設計製造</v>
      </c>
      <c r="AE621" t="str">
        <f t="array" ref="AE621:AH621">[1]!'3512.TW-CName,InvestorConferenceDate,DateofMeetingofShareHolders,TradingDate'</f>
        <v>皇龍</v>
      </c>
      <c r="AF621" t="str">
        <v>2021/08/27</v>
      </c>
      <c r="AG621" t="str">
        <v>2022/06/15</v>
      </c>
      <c r="AH621" t="str">
        <v>2022/08/01</v>
      </c>
    </row>
    <row r="622" spans="1:34" x14ac:dyDescent="0.3">
      <c r="A622" t="str">
        <f t="array" ref="A622:J622">[1]!'4113.TW-ID,Name,MarketValue,Capital,NetIncomeGrowthRate,OperIncomeGrowthRate,FinancialStatementsTime,TFXRatio,MonthlyNetSalesYoY,RevenueMonth'</f>
        <v>4113</v>
      </c>
      <c r="B622" t="str">
        <v>聯上</v>
      </c>
      <c r="C622" t="str">
        <v>25.3</v>
      </c>
      <c r="D622" t="str">
        <v>21.11</v>
      </c>
      <c r="E622" t="str">
        <v>32.95</v>
      </c>
      <c r="F622" t="str">
        <v>1261.52</v>
      </c>
      <c r="G622" t="str">
        <v>2022/03</v>
      </c>
      <c r="H622" t="str">
        <v>3.95</v>
      </c>
      <c r="I622" t="str">
        <v>-99.97</v>
      </c>
      <c r="J622" t="str">
        <v>2022/06</v>
      </c>
      <c r="K622" t="str">
        <f t="array" ref="K622:T622">[1]!'4113.TW-OperatingProfitRatio,Price,PriceChangeRatio,InOutRatioNumber,Value,YearReturn,MonthReturn,WeekReturn,FinanceBalanceDif,ChipsField2'</f>
        <v>6.69</v>
      </c>
      <c r="L622">
        <v>12</v>
      </c>
      <c r="M622">
        <v>0</v>
      </c>
      <c r="N622" t="str">
        <v>54.55%</v>
      </c>
      <c r="O622" t="str">
        <v>13.2萬</v>
      </c>
      <c r="P622" t="str">
        <v>-11.76</v>
      </c>
      <c r="Q622" t="str">
        <v>-1.64</v>
      </c>
      <c r="R622" t="str">
        <v>-0.83</v>
      </c>
      <c r="S622">
        <v>5</v>
      </c>
      <c r="T622">
        <v>0</v>
      </c>
      <c r="U622">
        <f t="array" ref="U622:AD622">[1]!'4113.TW-ChipsField3,ChipsField1,ChipsField25,CashAndStockDividend,CashDividendYieldRate,ProfitFourSeason,ProfitSingle,CName,ExchangeIndustry,CompanyPos'</f>
        <v>0</v>
      </c>
      <c r="V622">
        <v>0</v>
      </c>
      <c r="W622" t="str">
        <v>2022/08/17</v>
      </c>
      <c r="X622" t="str">
        <v>0.40</v>
      </c>
      <c r="Y622">
        <v>3.33</v>
      </c>
      <c r="Z622" t="str">
        <v>0.66</v>
      </c>
      <c r="AA622" t="str">
        <v>-0.05</v>
      </c>
      <c r="AB622" t="str">
        <v>聯上</v>
      </c>
      <c r="AC622" t="str">
        <v>上櫃建材營造</v>
      </c>
      <c r="AD622" t="str">
        <v>聯上集團旗下建商，負責南部推案</v>
      </c>
      <c r="AE622" t="str">
        <f t="array" ref="AE622:AH622">[1]!'4113.TW-CName,InvestorConferenceDate,DateofMeetingofShareHolders,TradingDate'</f>
        <v>聯上</v>
      </c>
      <c r="AF622" t="str">
        <v>--</v>
      </c>
      <c r="AG622" t="str">
        <v>2022/06/30</v>
      </c>
      <c r="AH622" t="str">
        <v>2022/08/01</v>
      </c>
    </row>
    <row r="623" spans="1:34" x14ac:dyDescent="0.3">
      <c r="A623" t="str">
        <f t="array" ref="A623:J623">[1]!'4416.TW-ID,Name,MarketValue,Capital,NetIncomeGrowthRate,OperIncomeGrowthRate,FinancialStatementsTime,TFXRatio,MonthlyNetSalesYoY,RevenueMonth'</f>
        <v>4416</v>
      </c>
      <c r="B623" t="str">
        <v>三圓</v>
      </c>
      <c r="C623" t="str">
        <v>51.5</v>
      </c>
      <c r="D623" t="str">
        <v>6.19</v>
      </c>
      <c r="E623" t="str">
        <v>-39.44</v>
      </c>
      <c r="F623" t="str">
        <v>2.90</v>
      </c>
      <c r="G623" t="str">
        <v>2022/03</v>
      </c>
      <c r="H623" t="str">
        <v>-0.68</v>
      </c>
      <c r="I623" t="str">
        <v>5.30</v>
      </c>
      <c r="J623" t="str">
        <v>2022/06</v>
      </c>
      <c r="K623" t="str">
        <f t="array" ref="K623:T623">[1]!'4416.TW-OperatingProfitRatio,Price,PriceChangeRatio,InOutRatioNumber,Value,YearReturn,MonthReturn,WeekReturn,FinanceBalanceDif,ChipsField2'</f>
        <v>23.17</v>
      </c>
      <c r="L623" t="str">
        <v>--</v>
      </c>
      <c r="M623" t="str">
        <v>--</v>
      </c>
      <c r="N623" t="str">
        <v>--</v>
      </c>
      <c r="O623" t="str">
        <v>--</v>
      </c>
      <c r="P623" t="str">
        <v>-20.00</v>
      </c>
      <c r="Q623" t="str">
        <v>-2.00</v>
      </c>
      <c r="R623" t="str">
        <v>+1.71</v>
      </c>
      <c r="S623">
        <v>0</v>
      </c>
      <c r="T623">
        <v>0</v>
      </c>
      <c r="U623">
        <f t="array" ref="U623:AD623">[1]!'4416.TW-ChipsField3,ChipsField1,ChipsField25,CashAndStockDividend,CashDividendYieldRate,ProfitFourSeason,ProfitSingle,CName,ExchangeIndustry,CompanyPos'</f>
        <v>0</v>
      </c>
      <c r="V623">
        <v>0</v>
      </c>
      <c r="W623" t="str">
        <v>2022/08/09</v>
      </c>
      <c r="X623" t="str">
        <v>4.96</v>
      </c>
      <c r="Y623">
        <v>5.96</v>
      </c>
      <c r="Z623" t="str">
        <v>17.09</v>
      </c>
      <c r="AA623" t="str">
        <v>-0.72</v>
      </c>
      <c r="AB623" t="str">
        <v>三圓</v>
      </c>
      <c r="AC623" t="str">
        <v>上櫃建材營造</v>
      </c>
      <c r="AD623" t="str">
        <v>從事國民住宅興建及出租出售業務</v>
      </c>
      <c r="AE623" t="str">
        <f t="array" ref="AE623:AH623">[1]!'4416.TW-CName,InvestorConferenceDate,DateofMeetingofShareHolders,TradingDate'</f>
        <v>三圓</v>
      </c>
      <c r="AF623" t="str">
        <v>--</v>
      </c>
      <c r="AG623" t="str">
        <v>2022/06/21</v>
      </c>
      <c r="AH623" t="str">
        <v>2022/08/01</v>
      </c>
    </row>
    <row r="624" spans="1:34" x14ac:dyDescent="0.3">
      <c r="A624" t="str">
        <f t="array" ref="A624:J624">[1]!'4907.TW-ID,Name,MarketValue,Capital,NetIncomeGrowthRate,OperIncomeGrowthRate,FinancialStatementsTime,TFXRatio,MonthlyNetSalesYoY,RevenueMonth'</f>
        <v>4907</v>
      </c>
      <c r="B624" t="str">
        <v>富宇</v>
      </c>
      <c r="C624" t="str">
        <v>28.6</v>
      </c>
      <c r="D624" t="str">
        <v>11.81</v>
      </c>
      <c r="E624" t="str">
        <v>-73.14</v>
      </c>
      <c r="F624" t="str">
        <v>-72.83</v>
      </c>
      <c r="G624" t="str">
        <v>2022/03</v>
      </c>
      <c r="H624" t="str">
        <v>0.00</v>
      </c>
      <c r="I624" t="str">
        <v>-99.19</v>
      </c>
      <c r="J624" t="str">
        <v>2022/06</v>
      </c>
      <c r="K624" t="str">
        <f t="array" ref="K624:T624">[1]!'4907.TW-OperatingProfitRatio,Price,PriceChangeRatio,InOutRatioNumber,Value,YearReturn,MonthReturn,WeekReturn,FinanceBalanceDif,ChipsField2'</f>
        <v>10.48</v>
      </c>
      <c r="L624">
        <v>24.2</v>
      </c>
      <c r="M624">
        <v>0</v>
      </c>
      <c r="N624" t="str">
        <v>55.00%</v>
      </c>
      <c r="O624" t="str">
        <v>50.8萬</v>
      </c>
      <c r="P624" t="str">
        <v>+5.30</v>
      </c>
      <c r="Q624" t="str">
        <v>-1.02</v>
      </c>
      <c r="R624" t="str">
        <v>+0.21</v>
      </c>
      <c r="S624">
        <v>0</v>
      </c>
      <c r="T624">
        <v>0</v>
      </c>
      <c r="U624">
        <f t="array" ref="U624:AD624">[1]!'4907.TW-ChipsField3,ChipsField1,ChipsField25,CashAndStockDividend,CashDividendYieldRate,ProfitFourSeason,ProfitSingle,CName,ExchangeIndustry,CompanyPos'</f>
        <v>0</v>
      </c>
      <c r="V624">
        <v>1</v>
      </c>
      <c r="W624" t="str">
        <v>--</v>
      </c>
      <c r="X624" t="str">
        <v>1.30</v>
      </c>
      <c r="Y624">
        <v>5.37</v>
      </c>
      <c r="Z624" t="str">
        <v>1.44</v>
      </c>
      <c r="AA624" t="str">
        <v>0.11</v>
      </c>
      <c r="AB624" t="str">
        <v>富宇</v>
      </c>
      <c r="AC624" t="str">
        <v>上櫃建材營造</v>
      </c>
      <c r="AD624" t="str">
        <v>富宇建設集團成員之一，主要從事大台中地區建築開發</v>
      </c>
      <c r="AE624" t="str">
        <f t="array" ref="AE624:AH624">[1]!'4907.TW-CName,InvestorConferenceDate,DateofMeetingofShareHolders,TradingDate'</f>
        <v>富宇</v>
      </c>
      <c r="AF624" t="str">
        <v>2022/07/28</v>
      </c>
      <c r="AG624" t="str">
        <v>2022/06/30</v>
      </c>
      <c r="AH624" t="str">
        <v>2022/08/01</v>
      </c>
    </row>
    <row r="625" spans="1:34" x14ac:dyDescent="0.3">
      <c r="A625" t="str">
        <f t="array" ref="A625:J625">[1]!'5206.TW-ID,Name,MarketValue,Capital,NetIncomeGrowthRate,OperIncomeGrowthRate,FinancialStatementsTime,TFXRatio,MonthlyNetSalesYoY,RevenueMonth'</f>
        <v>5206</v>
      </c>
      <c r="B625" t="str">
        <v>坤悅</v>
      </c>
      <c r="C625" t="str">
        <v>22.1</v>
      </c>
      <c r="D625" t="str">
        <v>15.59</v>
      </c>
      <c r="E625" t="str">
        <v>-846.95</v>
      </c>
      <c r="F625" t="str">
        <v>-767.59</v>
      </c>
      <c r="G625" t="str">
        <v>2022/03</v>
      </c>
      <c r="H625" t="str">
        <v>--</v>
      </c>
      <c r="I625" t="str">
        <v>17320.00</v>
      </c>
      <c r="J625" t="str">
        <v>2022/06</v>
      </c>
      <c r="K625" t="str">
        <f t="array" ref="K625:T625">[1]!'5206.TW-OperatingProfitRatio,Price,PriceChangeRatio,InOutRatioNumber,Value,YearReturn,MonthReturn,WeekReturn,FinanceBalanceDif,ChipsField2'</f>
        <v>--</v>
      </c>
      <c r="L625">
        <v>14.2</v>
      </c>
      <c r="M625">
        <v>-1.39</v>
      </c>
      <c r="N625" t="str">
        <v>28.57%</v>
      </c>
      <c r="O625" t="str">
        <v>11.3萬</v>
      </c>
      <c r="P625" t="str">
        <v>-12.56</v>
      </c>
      <c r="Q625" t="str">
        <v>+5.19</v>
      </c>
      <c r="R625" t="str">
        <v>-4.05</v>
      </c>
      <c r="S625">
        <v>0</v>
      </c>
      <c r="T625">
        <v>0</v>
      </c>
      <c r="U625">
        <f t="array" ref="U625:AD625">[1]!'5206.TW-ChipsField3,ChipsField1,ChipsField25,CashAndStockDividend,CashDividendYieldRate,ProfitFourSeason,ProfitSingle,CName,ExchangeIndustry,CompanyPos'</f>
        <v>0</v>
      </c>
      <c r="V625">
        <v>0</v>
      </c>
      <c r="W625" t="str">
        <v>--</v>
      </c>
      <c r="X625" t="str">
        <v>0.48</v>
      </c>
      <c r="Y625">
        <v>3.38</v>
      </c>
      <c r="Z625" t="str">
        <v>0.08</v>
      </c>
      <c r="AA625" t="str">
        <v>-0.40</v>
      </c>
      <c r="AB625" t="str">
        <v>坤悅</v>
      </c>
      <c r="AC625" t="str">
        <v>上櫃建材營造</v>
      </c>
      <c r="AD625" t="str">
        <v>推案集中於台中地區之建商</v>
      </c>
      <c r="AE625" t="str">
        <f t="array" ref="AE625:AH625">[1]!'5206.TW-CName,InvestorConferenceDate,DateofMeetingofShareHolders,TradingDate'</f>
        <v>坤悅</v>
      </c>
      <c r="AF625" t="str">
        <v>--</v>
      </c>
      <c r="AG625" t="str">
        <v>2022/06/09</v>
      </c>
      <c r="AH625" t="str">
        <v>2022/08/01</v>
      </c>
    </row>
    <row r="626" spans="1:34" x14ac:dyDescent="0.3">
      <c r="A626" t="str">
        <f t="array" ref="A626:J626">[1]!'5213.TW-ID,Name,MarketValue,Capital,NetIncomeGrowthRate,OperIncomeGrowthRate,FinancialStatementsTime,TFXRatio,MonthlyNetSalesYoY,RevenueMonth'</f>
        <v>5213</v>
      </c>
      <c r="B626" t="str">
        <v>亞昕</v>
      </c>
      <c r="C626" t="str">
        <v>84.4</v>
      </c>
      <c r="D626" t="str">
        <v>42.57</v>
      </c>
      <c r="E626" t="str">
        <v>-142.23</v>
      </c>
      <c r="F626" t="str">
        <v>-119.81</v>
      </c>
      <c r="G626" t="str">
        <v>2022/03</v>
      </c>
      <c r="H626" t="str">
        <v>-50.17</v>
      </c>
      <c r="I626" t="str">
        <v>-43.74</v>
      </c>
      <c r="J626" t="str">
        <v>2022/06</v>
      </c>
      <c r="K626" t="str">
        <f t="array" ref="K626:T626">[1]!'5213.TW-OperatingProfitRatio,Price,PriceChangeRatio,InOutRatioNumber,Value,YearReturn,MonthReturn,WeekReturn,FinanceBalanceDif,ChipsField2'</f>
        <v>-123.47</v>
      </c>
      <c r="L626">
        <v>21.6</v>
      </c>
      <c r="M626">
        <v>2.61</v>
      </c>
      <c r="N626" t="str">
        <v>40.96%</v>
      </c>
      <c r="O626" t="str">
        <v>432萬</v>
      </c>
      <c r="P626" t="str">
        <v>+18.00</v>
      </c>
      <c r="Q626" t="str">
        <v>+9.06</v>
      </c>
      <c r="R626" t="str">
        <v>+2.25</v>
      </c>
      <c r="S626">
        <v>16</v>
      </c>
      <c r="T626">
        <v>0</v>
      </c>
      <c r="U626">
        <f t="array" ref="U626:AD626">[1]!'5213.TW-ChipsField3,ChipsField1,ChipsField25,CashAndStockDividend,CashDividendYieldRate,ProfitFourSeason,ProfitSingle,CName,ExchangeIndustry,CompanyPos'</f>
        <v>0</v>
      </c>
      <c r="V626">
        <v>21</v>
      </c>
      <c r="W626" t="str">
        <v>2022/07/04</v>
      </c>
      <c r="X626" t="str">
        <v>1.77</v>
      </c>
      <c r="Y626">
        <v>8.19</v>
      </c>
      <c r="Z626" t="str">
        <v>-0.43</v>
      </c>
      <c r="AA626" t="str">
        <v>-0.33</v>
      </c>
      <c r="AB626" t="str">
        <v>亞昕</v>
      </c>
      <c r="AC626" t="str">
        <v>上櫃建材營造</v>
      </c>
      <c r="AD626" t="str">
        <v>推案集中於大台北地區之建商</v>
      </c>
      <c r="AE626" t="str">
        <f t="array" ref="AE626:AH626">[1]!'5213.TW-CName,InvestorConferenceDate,DateofMeetingofShareHolders,TradingDate'</f>
        <v>亞昕</v>
      </c>
      <c r="AF626" t="str">
        <v>--</v>
      </c>
      <c r="AG626" t="str">
        <v>2022/06/02</v>
      </c>
      <c r="AH626" t="str">
        <v>2022/08/01</v>
      </c>
    </row>
    <row r="627" spans="1:34" x14ac:dyDescent="0.3">
      <c r="A627" t="str">
        <f t="array" ref="A627:J627">[1]!'5324.TW-ID,Name,MarketValue,Capital,NetIncomeGrowthRate,OperIncomeGrowthRate,FinancialStatementsTime,TFXRatio,MonthlyNetSalesYoY,RevenueMonth'</f>
        <v>5324</v>
      </c>
      <c r="B627" t="str">
        <v>士開</v>
      </c>
      <c r="C627" t="str">
        <v>20.4</v>
      </c>
      <c r="D627" t="str">
        <v>22.64</v>
      </c>
      <c r="E627" t="str">
        <v>-50.90</v>
      </c>
      <c r="F627" t="str">
        <v>-5.50</v>
      </c>
      <c r="G627" t="str">
        <v>2022/03</v>
      </c>
      <c r="H627" t="str">
        <v>79.61</v>
      </c>
      <c r="I627" t="str">
        <v>509.36</v>
      </c>
      <c r="J627" t="str">
        <v>2022/06</v>
      </c>
      <c r="K627" t="str">
        <f t="array" ref="K627:T627">[1]!'5324.TW-OperatingProfitRatio,Price,PriceChangeRatio,InOutRatioNumber,Value,YearReturn,MonthReturn,WeekReturn,FinanceBalanceDif,ChipsField2'</f>
        <v>-59.13</v>
      </c>
      <c r="L627">
        <v>9</v>
      </c>
      <c r="M627">
        <v>0.22</v>
      </c>
      <c r="N627" t="str">
        <v>78.05%</v>
      </c>
      <c r="O627" t="str">
        <v>36.7萬</v>
      </c>
      <c r="P627" t="str">
        <v>-9.55</v>
      </c>
      <c r="Q627" t="str">
        <v>+0.11</v>
      </c>
      <c r="R627" t="str">
        <v>+1.12</v>
      </c>
      <c r="S627">
        <v>0</v>
      </c>
      <c r="T627">
        <v>0</v>
      </c>
      <c r="U627">
        <f t="array" ref="U627:AD627">[1]!'5324.TW-ChipsField3,ChipsField1,ChipsField25,CashAndStockDividend,CashDividendYieldRate,ProfitFourSeason,ProfitSingle,CName,ExchangeIndustry,CompanyPos'</f>
        <v>0</v>
      </c>
      <c r="V627">
        <v>0</v>
      </c>
      <c r="W627" t="str">
        <v>--</v>
      </c>
      <c r="X627" t="str">
        <v>0.00</v>
      </c>
      <c r="Y627">
        <v>0</v>
      </c>
      <c r="Z627" t="str">
        <v>-0.82</v>
      </c>
      <c r="AA627" t="str">
        <v>-0.29</v>
      </c>
      <c r="AB627" t="str">
        <v>士開</v>
      </c>
      <c r="AC627" t="str">
        <v>上櫃建材營造</v>
      </c>
      <c r="AD627" t="str">
        <v>仰德集團旗下之建設、飯店業者</v>
      </c>
      <c r="AE627" t="str">
        <f t="array" ref="AE627:AH627">[1]!'5324.TW-CName,InvestorConferenceDate,DateofMeetingofShareHolders,TradingDate'</f>
        <v>士開</v>
      </c>
      <c r="AF627" t="str">
        <v>--</v>
      </c>
      <c r="AG627" t="str">
        <v>2022/06/10</v>
      </c>
      <c r="AH627" t="str">
        <v>2022/08/01</v>
      </c>
    </row>
    <row r="628" spans="1:34" x14ac:dyDescent="0.3">
      <c r="A628" t="str">
        <f t="array" ref="A628:J628">[1]!'5455.TW-ID,Name,MarketValue,Capital,NetIncomeGrowthRate,OperIncomeGrowthRate,FinancialStatementsTime,TFXRatio,MonthlyNetSalesYoY,RevenueMonth'</f>
        <v>5455</v>
      </c>
      <c r="B628" t="str">
        <v>昇益</v>
      </c>
      <c r="C628" t="str">
        <v>17.7</v>
      </c>
      <c r="D628" t="str">
        <v>6.55</v>
      </c>
      <c r="E628" t="str">
        <v>845.61</v>
      </c>
      <c r="F628" t="str">
        <v>673.18</v>
      </c>
      <c r="G628" t="str">
        <v>2022/03</v>
      </c>
      <c r="H628" t="str">
        <v>354.53</v>
      </c>
      <c r="I628" t="str">
        <v>12064.00</v>
      </c>
      <c r="J628" t="str">
        <v>2022/06</v>
      </c>
      <c r="K628" t="str">
        <f t="array" ref="K628:T628">[1]!'5455.TW-OperatingProfitRatio,Price,PriceChangeRatio,InOutRatioNumber,Value,YearReturn,MonthReturn,WeekReturn,FinanceBalanceDif,ChipsField2'</f>
        <v>8.01</v>
      </c>
      <c r="L628" t="str">
        <v>--</v>
      </c>
      <c r="M628" t="str">
        <v>--</v>
      </c>
      <c r="N628" t="str">
        <v>--</v>
      </c>
      <c r="O628" t="str">
        <v>--</v>
      </c>
      <c r="P628" t="str">
        <v>+15.88</v>
      </c>
      <c r="Q628" t="str">
        <v>-1.10</v>
      </c>
      <c r="R628" t="str">
        <v>+1.69</v>
      </c>
      <c r="S628">
        <v>0</v>
      </c>
      <c r="T628">
        <v>0</v>
      </c>
      <c r="U628">
        <f t="array" ref="U628:AD628">[1]!'5455.TW-ChipsField3,ChipsField1,ChipsField25,CashAndStockDividend,CashDividendYieldRate,ProfitFourSeason,ProfitSingle,CName,ExchangeIndustry,CompanyPos'</f>
        <v>0</v>
      </c>
      <c r="V628">
        <v>0</v>
      </c>
      <c r="W628" t="str">
        <v>--</v>
      </c>
      <c r="X628" t="str">
        <v>0.00</v>
      </c>
      <c r="Y628">
        <v>0</v>
      </c>
      <c r="Z628" t="str">
        <v>0.54</v>
      </c>
      <c r="AA628" t="str">
        <v>0.56</v>
      </c>
      <c r="AB628" t="str">
        <v>昇益</v>
      </c>
      <c r="AC628" t="str">
        <v>上櫃建材營造</v>
      </c>
      <c r="AD628" t="str">
        <v>轉型為從事不動產開發興建及不動產租賃業務</v>
      </c>
      <c r="AE628" t="str">
        <f t="array" ref="AE628:AH628">[1]!'5455.TW-CName,InvestorConferenceDate,DateofMeetingofShareHolders,TradingDate'</f>
        <v>昇益</v>
      </c>
      <c r="AF628" t="str">
        <v>--</v>
      </c>
      <c r="AG628" t="str">
        <v>2022/06/09</v>
      </c>
      <c r="AH628" t="str">
        <v>2022/08/01</v>
      </c>
    </row>
    <row r="629" spans="1:34" x14ac:dyDescent="0.3">
      <c r="A629" t="str">
        <f t="array" ref="A629:J629">[1]!'5508.TW-ID,Name,MarketValue,Capital,NetIncomeGrowthRate,OperIncomeGrowthRate,FinancialStatementsTime,TFXRatio,MonthlyNetSalesYoY,RevenueMonth'</f>
        <v>5508</v>
      </c>
      <c r="B629" t="str">
        <v>永信建</v>
      </c>
      <c r="C629" t="str">
        <v>137.6</v>
      </c>
      <c r="D629" t="str">
        <v>21.74</v>
      </c>
      <c r="E629" t="str">
        <v>55.40</v>
      </c>
      <c r="F629" t="str">
        <v>61.76</v>
      </c>
      <c r="G629" t="str">
        <v>2022/03</v>
      </c>
      <c r="H629" t="str">
        <v>-51.21</v>
      </c>
      <c r="I629" t="str">
        <v>-86.19</v>
      </c>
      <c r="J629" t="str">
        <v>2022/06</v>
      </c>
      <c r="K629" t="str">
        <f t="array" ref="K629:T629">[1]!'5508.TW-OperatingProfitRatio,Price,PriceChangeRatio,InOutRatioNumber,Value,YearReturn,MonthReturn,WeekReturn,FinanceBalanceDif,ChipsField2'</f>
        <v>42.63</v>
      </c>
      <c r="L629">
        <v>63.3</v>
      </c>
      <c r="M629">
        <v>4.63</v>
      </c>
      <c r="N629" t="str">
        <v>72.36%</v>
      </c>
      <c r="O629" t="str">
        <v>1273萬</v>
      </c>
      <c r="P629" t="str">
        <v>+48.87</v>
      </c>
      <c r="Q629" t="str">
        <v>+7.68</v>
      </c>
      <c r="R629" t="str">
        <v>+11.05</v>
      </c>
      <c r="S629">
        <v>-9</v>
      </c>
      <c r="T629">
        <v>0</v>
      </c>
      <c r="U629">
        <f t="array" ref="U629:AD629">[1]!'5508.TW-ChipsField3,ChipsField1,ChipsField25,CashAndStockDividend,CashDividendYieldRate,ProfitFourSeason,ProfitSingle,CName,ExchangeIndustry,CompanyPos'</f>
        <v>0</v>
      </c>
      <c r="V629">
        <v>49</v>
      </c>
      <c r="W629" t="str">
        <v>2022/07/06</v>
      </c>
      <c r="X629" t="str">
        <v>8.01</v>
      </c>
      <c r="Y629">
        <v>12.65</v>
      </c>
      <c r="Z629" t="str">
        <v>9.57</v>
      </c>
      <c r="AA629" t="str">
        <v>1.89</v>
      </c>
      <c r="AB629" t="str">
        <v>永信建</v>
      </c>
      <c r="AC629" t="str">
        <v>上櫃建材營造</v>
      </c>
      <c r="AD629" t="str">
        <v>高雄建商，以成屋銷售為主</v>
      </c>
      <c r="AE629" t="str">
        <f t="array" ref="AE629:AH629">[1]!'5508.TW-CName,InvestorConferenceDate,DateofMeetingofShareHolders,TradingDate'</f>
        <v>永信建</v>
      </c>
      <c r="AF629" t="str">
        <v>--</v>
      </c>
      <c r="AG629" t="str">
        <v>2022/06/08</v>
      </c>
      <c r="AH629" t="str">
        <v>2022/08/01</v>
      </c>
    </row>
    <row r="630" spans="1:34" x14ac:dyDescent="0.3">
      <c r="A630" t="str">
        <f t="array" ref="A630:J630">[1]!'5511.TW-ID,Name,MarketValue,Capital,NetIncomeGrowthRate,OperIncomeGrowthRate,FinancialStatementsTime,TFXRatio,MonthlyNetSalesYoY,RevenueMonth'</f>
        <v>5511</v>
      </c>
      <c r="B630" t="str">
        <v>德昌</v>
      </c>
      <c r="C630" t="str">
        <v>33.1</v>
      </c>
      <c r="D630" t="str">
        <v>11.34</v>
      </c>
      <c r="E630" t="str">
        <v>137.01</v>
      </c>
      <c r="F630" t="str">
        <v>215.20</v>
      </c>
      <c r="G630" t="str">
        <v>2022/03</v>
      </c>
      <c r="H630" t="str">
        <v>12.37</v>
      </c>
      <c r="I630" t="str">
        <v>44.83</v>
      </c>
      <c r="J630" t="str">
        <v>2022/06</v>
      </c>
      <c r="K630" t="str">
        <f t="array" ref="K630:T630">[1]!'5511.TW-OperatingProfitRatio,Price,PriceChangeRatio,InOutRatioNumber,Value,YearReturn,MonthReturn,WeekReturn,FinanceBalanceDif,ChipsField2'</f>
        <v>8.21</v>
      </c>
      <c r="L630">
        <v>29.2</v>
      </c>
      <c r="M630">
        <v>0.17</v>
      </c>
      <c r="N630" t="str">
        <v>16.00%</v>
      </c>
      <c r="O630" t="str">
        <v>75.8萬</v>
      </c>
      <c r="P630" t="str">
        <v>+9.01</v>
      </c>
      <c r="Q630" t="str">
        <v>+4.99</v>
      </c>
      <c r="R630" t="str">
        <v>+0.34</v>
      </c>
      <c r="S630">
        <v>0</v>
      </c>
      <c r="T630">
        <v>0</v>
      </c>
      <c r="U630">
        <f t="array" ref="U630:AD630">[1]!'5511.TW-ChipsField3,ChipsField1,ChipsField25,CashAndStockDividend,CashDividendYieldRate,ProfitFourSeason,ProfitSingle,CName,ExchangeIndustry,CompanyPos'</f>
        <v>0</v>
      </c>
      <c r="V630">
        <v>0</v>
      </c>
      <c r="W630" t="str">
        <v>2022/07/07</v>
      </c>
      <c r="X630" t="str">
        <v>2.00</v>
      </c>
      <c r="Y630">
        <v>6.85</v>
      </c>
      <c r="Z630" t="str">
        <v>4.81</v>
      </c>
      <c r="AA630" t="str">
        <v>1.18</v>
      </c>
      <c r="AB630" t="str">
        <v>德昌</v>
      </c>
      <c r="AC630" t="str">
        <v>上櫃建材營造</v>
      </c>
      <c r="AD630" t="str">
        <v>商辦大樓、高科技廠房及公共工程等為營業項目之營造商</v>
      </c>
      <c r="AE630" t="str">
        <f t="array" ref="AE630:AH630">[1]!'5511.TW-CName,InvestorConferenceDate,DateofMeetingofShareHolders,TradingDate'</f>
        <v>德昌</v>
      </c>
      <c r="AF630" t="str">
        <v>--</v>
      </c>
      <c r="AG630" t="str">
        <v>2022/06/17</v>
      </c>
      <c r="AH630" t="str">
        <v>2022/08/01</v>
      </c>
    </row>
    <row r="631" spans="1:34" x14ac:dyDescent="0.3">
      <c r="A631" t="str">
        <f t="array" ref="A631:J631">[1]!'5512.TW-ID,Name,MarketValue,Capital,NetIncomeGrowthRate,OperIncomeGrowthRate,FinancialStatementsTime,TFXRatio,MonthlyNetSalesYoY,RevenueMonth'</f>
        <v>5512</v>
      </c>
      <c r="B631" t="str">
        <v>力麒</v>
      </c>
      <c r="C631" t="str">
        <v>65.6</v>
      </c>
      <c r="D631" t="str">
        <v>74.40</v>
      </c>
      <c r="E631" t="str">
        <v>2.87</v>
      </c>
      <c r="F631" t="str">
        <v>-2.83</v>
      </c>
      <c r="G631" t="str">
        <v>2022/03</v>
      </c>
      <c r="H631" t="str">
        <v>-5.91</v>
      </c>
      <c r="I631" t="str">
        <v>103.02</v>
      </c>
      <c r="J631" t="str">
        <v>2022/06</v>
      </c>
      <c r="K631" t="str">
        <f t="array" ref="K631:T631">[1]!'5512.TW-OperatingProfitRatio,Price,PriceChangeRatio,InOutRatioNumber,Value,YearReturn,MonthReturn,WeekReturn,FinanceBalanceDif,ChipsField2'</f>
        <v>13.54</v>
      </c>
      <c r="L631">
        <v>8.82</v>
      </c>
      <c r="M631">
        <v>0.34</v>
      </c>
      <c r="N631" t="str">
        <v>40.17%</v>
      </c>
      <c r="O631" t="str">
        <v>104萬</v>
      </c>
      <c r="P631" t="str">
        <v>-2.70</v>
      </c>
      <c r="Q631" t="str">
        <v>+4.63</v>
      </c>
      <c r="R631" t="str">
        <v>+1.15</v>
      </c>
      <c r="S631">
        <v>4</v>
      </c>
      <c r="T631">
        <v>0</v>
      </c>
      <c r="U631">
        <f t="array" ref="U631:AD631">[1]!'5512.TW-ChipsField3,ChipsField1,ChipsField25,CashAndStockDividend,CashDividendYieldRate,ProfitFourSeason,ProfitSingle,CName,ExchangeIndustry,CompanyPos'</f>
        <v>0</v>
      </c>
      <c r="V631">
        <v>31</v>
      </c>
      <c r="W631" t="str">
        <v>--</v>
      </c>
      <c r="X631" t="str">
        <v>0.30</v>
      </c>
      <c r="Y631">
        <v>3.4</v>
      </c>
      <c r="Z631" t="str">
        <v>0.45</v>
      </c>
      <c r="AA631" t="str">
        <v>0.06</v>
      </c>
      <c r="AB631" t="str">
        <v>力麒</v>
      </c>
      <c r="AC631" t="str">
        <v>上櫃建材營造</v>
      </c>
      <c r="AD631" t="str">
        <v>推案集中於台北市精華地段之建商</v>
      </c>
      <c r="AE631" t="str">
        <f t="array" ref="AE631:AH631">[1]!'5512.TW-CName,InvestorConferenceDate,DateofMeetingofShareHolders,TradingDate'</f>
        <v>力麒</v>
      </c>
      <c r="AF631" t="str">
        <v>--</v>
      </c>
      <c r="AG631" t="str">
        <v>2022/06/15</v>
      </c>
      <c r="AH631" t="str">
        <v>2022/08/01</v>
      </c>
    </row>
    <row r="632" spans="1:34" x14ac:dyDescent="0.3">
      <c r="A632" t="str">
        <f t="array" ref="A632:J632">[1]!'5514.TW-ID,Name,MarketValue,Capital,NetIncomeGrowthRate,OperIncomeGrowthRate,FinancialStatementsTime,TFXRatio,MonthlyNetSalesYoY,RevenueMonth'</f>
        <v>5514</v>
      </c>
      <c r="B632" t="str">
        <v>三豐</v>
      </c>
      <c r="C632" t="str">
        <v>33.4</v>
      </c>
      <c r="D632" t="str">
        <v>20.79</v>
      </c>
      <c r="E632" t="str">
        <v>9.99</v>
      </c>
      <c r="F632" t="str">
        <v>5.25</v>
      </c>
      <c r="G632" t="str">
        <v>2022/03</v>
      </c>
      <c r="H632" t="str">
        <v>0.00</v>
      </c>
      <c r="I632" t="str">
        <v>27.21</v>
      </c>
      <c r="J632" t="str">
        <v>2022/06</v>
      </c>
      <c r="K632" t="str">
        <f t="array" ref="K632:T632">[1]!'5514.TW-OperatingProfitRatio,Price,PriceChangeRatio,InOutRatioNumber,Value,YearReturn,MonthReturn,WeekReturn,FinanceBalanceDif,ChipsField2'</f>
        <v>-720.19</v>
      </c>
      <c r="L632">
        <v>16.05</v>
      </c>
      <c r="M632">
        <v>-1.53</v>
      </c>
      <c r="N632" t="str">
        <v>47.06%</v>
      </c>
      <c r="O632" t="str">
        <v>27.4萬</v>
      </c>
      <c r="P632" t="str">
        <v>-21.76</v>
      </c>
      <c r="Q632" t="str">
        <v>-12.77</v>
      </c>
      <c r="R632" t="str">
        <v>-0.62</v>
      </c>
      <c r="S632">
        <v>-2</v>
      </c>
      <c r="T632">
        <v>0</v>
      </c>
      <c r="U632">
        <f t="array" ref="U632:AD632">[1]!'5514.TW-ChipsField3,ChipsField1,ChipsField25,CashAndStockDividend,CashDividendYieldRate,ProfitFourSeason,ProfitSingle,CName,ExchangeIndustry,CompanyPos'</f>
        <v>0</v>
      </c>
      <c r="V632">
        <v>0</v>
      </c>
      <c r="W632" t="str">
        <v>--</v>
      </c>
      <c r="X632" t="str">
        <v>0.40</v>
      </c>
      <c r="Y632">
        <v>2.4900000000000002</v>
      </c>
      <c r="Z632" t="str">
        <v>-0.03</v>
      </c>
      <c r="AA632" t="str">
        <v>-0.05</v>
      </c>
      <c r="AB632" t="str">
        <v>三豐</v>
      </c>
      <c r="AC632" t="str">
        <v>上櫃建材營造</v>
      </c>
      <c r="AD632" t="str">
        <v>以都市更新為主之建商</v>
      </c>
      <c r="AE632" t="str">
        <f t="array" ref="AE632:AH632">[1]!'5514.TW-CName,InvestorConferenceDate,DateofMeetingofShareHolders,TradingDate'</f>
        <v>三豐</v>
      </c>
      <c r="AF632" t="str">
        <v>2021/11/29</v>
      </c>
      <c r="AG632" t="str">
        <v>2022/05/26</v>
      </c>
      <c r="AH632" t="str">
        <v>2022/08/01</v>
      </c>
    </row>
    <row r="633" spans="1:34" x14ac:dyDescent="0.3">
      <c r="A633" t="str">
        <f t="array" ref="A633:J633">[1]!'5516.TW-ID,Name,MarketValue,Capital,NetIncomeGrowthRate,OperIncomeGrowthRate,FinancialStatementsTime,TFXRatio,MonthlyNetSalesYoY,RevenueMonth'</f>
        <v>5516</v>
      </c>
      <c r="B633" t="str">
        <v>雙喜</v>
      </c>
      <c r="C633" t="str">
        <v>7.1</v>
      </c>
      <c r="D633" t="str">
        <v>4.14</v>
      </c>
      <c r="E633" t="str">
        <v>6.71</v>
      </c>
      <c r="F633" t="str">
        <v>24.48</v>
      </c>
      <c r="G633" t="str">
        <v>2022/03</v>
      </c>
      <c r="H633" t="str">
        <v>14.60</v>
      </c>
      <c r="I633" t="str">
        <v>-15.09</v>
      </c>
      <c r="J633" t="str">
        <v>2022/06</v>
      </c>
      <c r="K633" t="str">
        <f t="array" ref="K633:T633">[1]!'5516.TW-OperatingProfitRatio,Price,PriceChangeRatio,InOutRatioNumber,Value,YearReturn,MonthReturn,WeekReturn,FinanceBalanceDif,ChipsField2'</f>
        <v>7.17</v>
      </c>
      <c r="L633">
        <v>17.25</v>
      </c>
      <c r="M633">
        <v>0</v>
      </c>
      <c r="N633" t="str">
        <v>100.00%</v>
      </c>
      <c r="O633" t="str">
        <v>41.4萬</v>
      </c>
      <c r="P633" t="str">
        <v>+30.15</v>
      </c>
      <c r="Q633" t="str">
        <v>-0.58</v>
      </c>
      <c r="R633" t="str">
        <v>-0.58</v>
      </c>
      <c r="S633">
        <v>1</v>
      </c>
      <c r="T633">
        <v>0</v>
      </c>
      <c r="U633">
        <f t="array" ref="U633:AD633">[1]!'5516.TW-ChipsField3,ChipsField1,ChipsField25,CashAndStockDividend,CashDividendYieldRate,ProfitFourSeason,ProfitSingle,CName,ExchangeIndustry,CompanyPos'</f>
        <v>0</v>
      </c>
      <c r="V633">
        <v>0</v>
      </c>
      <c r="W633" t="str">
        <v>--</v>
      </c>
      <c r="X633" t="str">
        <v>1.50</v>
      </c>
      <c r="Y633">
        <v>8.6999999999999993</v>
      </c>
      <c r="Z633" t="str">
        <v>3.00</v>
      </c>
      <c r="AA633" t="str">
        <v>0.42</v>
      </c>
      <c r="AB633" t="str">
        <v>雙喜</v>
      </c>
      <c r="AC633" t="str">
        <v>上櫃建材營造</v>
      </c>
      <c r="AD633" t="str">
        <v>承攬各項公共、建築及土木工程之營造廠</v>
      </c>
      <c r="AE633" t="str">
        <f t="array" ref="AE633:AH633">[1]!'5516.TW-CName,InvestorConferenceDate,DateofMeetingofShareHolders,TradingDate'</f>
        <v>雙喜</v>
      </c>
      <c r="AF633" t="str">
        <v>2021/12/10</v>
      </c>
      <c r="AG633" t="str">
        <v>2022/06/29</v>
      </c>
      <c r="AH633" t="str">
        <v>2022/08/01</v>
      </c>
    </row>
    <row r="634" spans="1:34" x14ac:dyDescent="0.3">
      <c r="A634" t="str">
        <f t="array" ref="A634:J634">[1]!'5520.TW-ID,Name,MarketValue,Capital,NetIncomeGrowthRate,OperIncomeGrowthRate,FinancialStatementsTime,TFXRatio,MonthlyNetSalesYoY,RevenueMonth'</f>
        <v>5520</v>
      </c>
      <c r="B634" t="str">
        <v>力泰</v>
      </c>
      <c r="C634" t="str">
        <v>33.7</v>
      </c>
      <c r="D634" t="str">
        <v>6.03</v>
      </c>
      <c r="E634" t="str">
        <v>27.81</v>
      </c>
      <c r="F634" t="str">
        <v>32.30</v>
      </c>
      <c r="G634" t="str">
        <v>2022/03</v>
      </c>
      <c r="H634" t="str">
        <v>-3.75</v>
      </c>
      <c r="I634" t="str">
        <v>7.11</v>
      </c>
      <c r="J634" t="str">
        <v>2022/06</v>
      </c>
      <c r="K634" t="str">
        <f t="array" ref="K634:T634">[1]!'5520.TW-OperatingProfitRatio,Price,PriceChangeRatio,InOutRatioNumber,Value,YearReturn,MonthReturn,WeekReturn,FinanceBalanceDif,ChipsField2'</f>
        <v>16.13</v>
      </c>
      <c r="L634">
        <v>55.9</v>
      </c>
      <c r="M634">
        <v>-0.53</v>
      </c>
      <c r="N634" t="str">
        <v>100.00%</v>
      </c>
      <c r="O634" t="str">
        <v>11.2萬</v>
      </c>
      <c r="P634" t="str">
        <v>+19.37</v>
      </c>
      <c r="Q634" t="str">
        <v>+1.08</v>
      </c>
      <c r="R634" t="str">
        <v>+0.36</v>
      </c>
      <c r="S634">
        <v>0</v>
      </c>
      <c r="T634">
        <v>0</v>
      </c>
      <c r="U634">
        <f t="array" ref="U634:AD634">[1]!'5520.TW-ChipsField3,ChipsField1,ChipsField25,CashAndStockDividend,CashDividendYieldRate,ProfitFourSeason,ProfitSingle,CName,ExchangeIndustry,CompanyPos'</f>
        <v>0</v>
      </c>
      <c r="V634">
        <v>-1</v>
      </c>
      <c r="W634" t="str">
        <v>2022/04/14</v>
      </c>
      <c r="X634" t="str">
        <v>3.90</v>
      </c>
      <c r="Y634">
        <v>6.98</v>
      </c>
      <c r="Z634" t="str">
        <v>5.90</v>
      </c>
      <c r="AA634" t="str">
        <v>1.65</v>
      </c>
      <c r="AB634" t="str">
        <v>力泰</v>
      </c>
      <c r="AC634" t="str">
        <v>上櫃建材營造</v>
      </c>
      <c r="AD634" t="str">
        <v>台灣預拌混凝土製造加工廠</v>
      </c>
      <c r="AE634" t="str">
        <f t="array" ref="AE634:AH634">[1]!'5520.TW-CName,InvestorConferenceDate,DateofMeetingofShareHolders,TradingDate'</f>
        <v>力泰</v>
      </c>
      <c r="AF634" t="str">
        <v>--</v>
      </c>
      <c r="AG634" t="str">
        <v>2022/06/14</v>
      </c>
      <c r="AH634" t="str">
        <v>2022/08/01</v>
      </c>
    </row>
    <row r="635" spans="1:34" x14ac:dyDescent="0.3">
      <c r="A635" t="str">
        <f t="array" ref="A635:J635">[1]!'5523.TW-ID,Name,MarketValue,Capital,NetIncomeGrowthRate,OperIncomeGrowthRate,FinancialStatementsTime,TFXRatio,MonthlyNetSalesYoY,RevenueMonth'</f>
        <v>5523</v>
      </c>
      <c r="B635" t="str">
        <v>豐謙</v>
      </c>
      <c r="C635" t="str">
        <v>40.0</v>
      </c>
      <c r="D635" t="str">
        <v>15.50</v>
      </c>
      <c r="E635" t="str">
        <v>754.59</v>
      </c>
      <c r="F635" t="str">
        <v>-99.97</v>
      </c>
      <c r="G635" t="str">
        <v>2022/03</v>
      </c>
      <c r="H635" t="str">
        <v>-8.51</v>
      </c>
      <c r="I635" t="str">
        <v>-87.59</v>
      </c>
      <c r="J635" t="str">
        <v>2022/06</v>
      </c>
      <c r="K635" t="str">
        <f t="array" ref="K635:T635">[1]!'5523.TW-OperatingProfitRatio,Price,PriceChangeRatio,InOutRatioNumber,Value,YearReturn,MonthReturn,WeekReturn,FinanceBalanceDif,ChipsField2'</f>
        <v>0.04</v>
      </c>
      <c r="L635">
        <v>25.8</v>
      </c>
      <c r="M635">
        <v>0.19</v>
      </c>
      <c r="N635" t="str">
        <v>34.48%</v>
      </c>
      <c r="O635" t="str">
        <v>74.1萬</v>
      </c>
      <c r="P635" t="str">
        <v>-18.39</v>
      </c>
      <c r="Q635" t="str">
        <v>-0.59</v>
      </c>
      <c r="R635" t="str">
        <v>-1.53</v>
      </c>
      <c r="S635">
        <v>-2</v>
      </c>
      <c r="T635">
        <v>0</v>
      </c>
      <c r="U635">
        <f t="array" ref="U635:AD635">[1]!'5523.TW-ChipsField3,ChipsField1,ChipsField25,CashAndStockDividend,CashDividendYieldRate,ProfitFourSeason,ProfitSingle,CName,ExchangeIndustry,CompanyPos'</f>
        <v>0</v>
      </c>
      <c r="V635">
        <v>3</v>
      </c>
      <c r="W635" t="str">
        <v>2022/07/19</v>
      </c>
      <c r="X635" t="str">
        <v>1.80</v>
      </c>
      <c r="Y635">
        <v>6.98</v>
      </c>
      <c r="Z635" t="str">
        <v>8.48</v>
      </c>
      <c r="AA635" t="str">
        <v>2.92</v>
      </c>
      <c r="AB635" t="str">
        <v>豐謙</v>
      </c>
      <c r="AC635" t="str">
        <v>上櫃建材營造</v>
      </c>
      <c r="AD635" t="str">
        <v>嘉義地區建商</v>
      </c>
      <c r="AE635" t="str">
        <f t="array" ref="AE635:AH635">[1]!'5523.TW-CName,InvestorConferenceDate,DateofMeetingofShareHolders,TradingDate'</f>
        <v>豐謙</v>
      </c>
      <c r="AF635" t="str">
        <v>--</v>
      </c>
      <c r="AG635" t="str">
        <v>2022/06/08</v>
      </c>
      <c r="AH635" t="str">
        <v>2022/08/01</v>
      </c>
    </row>
    <row r="636" spans="1:34" x14ac:dyDescent="0.3">
      <c r="A636" t="str">
        <f t="array" ref="A636:J636">[1]!'5529.TW-ID,Name,MarketValue,Capital,NetIncomeGrowthRate,OperIncomeGrowthRate,FinancialStatementsTime,TFXRatio,MonthlyNetSalesYoY,RevenueMonth'</f>
        <v>5529</v>
      </c>
      <c r="B636" t="str">
        <v>鉅陞</v>
      </c>
      <c r="C636" t="str">
        <v>17.2</v>
      </c>
      <c r="D636" t="str">
        <v>12.41</v>
      </c>
      <c r="E636" t="str">
        <v>-159.87</v>
      </c>
      <c r="F636" t="str">
        <v>-33.47</v>
      </c>
      <c r="G636" t="str">
        <v>2022/03</v>
      </c>
      <c r="H636" t="str">
        <v>39.82</v>
      </c>
      <c r="I636" t="str">
        <v>312.33</v>
      </c>
      <c r="J636" t="str">
        <v>2022/06</v>
      </c>
      <c r="K636" t="str">
        <f t="array" ref="K636:T636">[1]!'5529.TW-OperatingProfitRatio,Price,PriceChangeRatio,InOutRatioNumber,Value,YearReturn,MonthReturn,WeekReturn,FinanceBalanceDif,ChipsField2'</f>
        <v>-91.44</v>
      </c>
      <c r="L636">
        <v>13.85</v>
      </c>
      <c r="M636">
        <v>-0.72</v>
      </c>
      <c r="N636" t="str">
        <v>57.89%</v>
      </c>
      <c r="O636" t="str">
        <v>26.5萬</v>
      </c>
      <c r="P636" t="str">
        <v>-24.73</v>
      </c>
      <c r="Q636" t="str">
        <v>+1.47</v>
      </c>
      <c r="R636" t="str">
        <v>+2.21</v>
      </c>
      <c r="S636">
        <v>0</v>
      </c>
      <c r="T636">
        <v>0</v>
      </c>
      <c r="U636">
        <f t="array" ref="U636:AD636">[1]!'5529.TW-ChipsField3,ChipsField1,ChipsField25,CashAndStockDividend,CashDividendYieldRate,ProfitFourSeason,ProfitSingle,CName,ExchangeIndustry,CompanyPos'</f>
        <v>0</v>
      </c>
      <c r="V636">
        <v>0</v>
      </c>
      <c r="W636" t="str">
        <v>--</v>
      </c>
      <c r="X636" t="str">
        <v>0.00</v>
      </c>
      <c r="Y636">
        <v>0</v>
      </c>
      <c r="Z636" t="str">
        <v>-1.08</v>
      </c>
      <c r="AA636" t="str">
        <v>-0.16</v>
      </c>
      <c r="AB636" t="str">
        <v>鉅陞</v>
      </c>
      <c r="AC636" t="str">
        <v>上櫃建材營造</v>
      </c>
      <c r="AD636" t="str">
        <v>推案集中於新竹地區之建商</v>
      </c>
      <c r="AE636" t="str">
        <f t="array" ref="AE636:AH636">[1]!'5529.TW-CName,InvestorConferenceDate,DateofMeetingofShareHolders,TradingDate'</f>
        <v>鉅陞</v>
      </c>
      <c r="AF636" t="str">
        <v>2022/07/27</v>
      </c>
      <c r="AG636" t="str">
        <v>2022/06/30</v>
      </c>
      <c r="AH636" t="str">
        <v>2022/08/01</v>
      </c>
    </row>
    <row r="637" spans="1:34" x14ac:dyDescent="0.3">
      <c r="A637" t="str">
        <f t="array" ref="A637:J637">[1]!'5543.TW-ID,Name,MarketValue,Capital,NetIncomeGrowthRate,OperIncomeGrowthRate,FinancialStatementsTime,TFXRatio,MonthlyNetSalesYoY,RevenueMonth'</f>
        <v>5543</v>
      </c>
      <c r="B637" t="str">
        <v>桓鼎-KY</v>
      </c>
      <c r="C637" t="str">
        <v>23.1</v>
      </c>
      <c r="D637" t="str">
        <v>3.73</v>
      </c>
      <c r="E637" t="str">
        <v>-62.02</v>
      </c>
      <c r="F637" t="str">
        <v>-46.31</v>
      </c>
      <c r="G637" t="str">
        <v>2022/03</v>
      </c>
      <c r="H637" t="str">
        <v>17.86</v>
      </c>
      <c r="I637" t="str">
        <v>103.13</v>
      </c>
      <c r="J637" t="str">
        <v>2022/06</v>
      </c>
      <c r="K637" t="str">
        <f t="array" ref="K637:T637">[1]!'5543.TW-OperatingProfitRatio,Price,PriceChangeRatio,InOutRatioNumber,Value,YearReturn,MonthReturn,WeekReturn,FinanceBalanceDif,ChipsField2'</f>
        <v>0.29</v>
      </c>
      <c r="L637">
        <v>61.8</v>
      </c>
      <c r="M637">
        <v>1.64</v>
      </c>
      <c r="N637" t="str">
        <v>100.00%</v>
      </c>
      <c r="O637" t="str">
        <v>6.18萬</v>
      </c>
      <c r="P637" t="str">
        <v>-4.33</v>
      </c>
      <c r="Q637" t="str">
        <v>+10.36</v>
      </c>
      <c r="R637" t="str">
        <v>+2.66</v>
      </c>
      <c r="S637">
        <v>0</v>
      </c>
      <c r="T637">
        <v>0</v>
      </c>
      <c r="U637">
        <f t="array" ref="U637:AD637">[1]!'5543.TW-ChipsField3,ChipsField1,ChipsField25,CashAndStockDividend,CashDividendYieldRate,ProfitFourSeason,ProfitSingle,CName,ExchangeIndustry,CompanyPos'</f>
        <v>0</v>
      </c>
      <c r="V637">
        <v>0</v>
      </c>
      <c r="W637" t="str">
        <v>2022/08/05</v>
      </c>
      <c r="X637" t="str">
        <v>2.00</v>
      </c>
      <c r="Y637">
        <v>3.24</v>
      </c>
      <c r="Z637" t="str">
        <v>2.53</v>
      </c>
      <c r="AA637" t="str">
        <v>-0.55</v>
      </c>
      <c r="AB637" t="str">
        <v>桓鼎-KY</v>
      </c>
      <c r="AC637" t="str">
        <v>上櫃建材營造</v>
      </c>
      <c r="AD637" t="str">
        <v>大陸最大金屬建材廠</v>
      </c>
      <c r="AE637" t="str">
        <f t="array" ref="AE637:AH637">[1]!'5543.TW-CName,InvestorConferenceDate,DateofMeetingofShareHolders,TradingDate'</f>
        <v>桓鼎-KY</v>
      </c>
      <c r="AF637" t="str">
        <v>2021/12/09</v>
      </c>
      <c r="AG637" t="str">
        <v>2022/06/06</v>
      </c>
      <c r="AH637" t="str">
        <v>2022/08/01</v>
      </c>
    </row>
    <row r="638" spans="1:34" x14ac:dyDescent="0.3">
      <c r="A638" t="str">
        <f t="array" ref="A638:J638">[1]!'6171.TW-ID,Name,MarketValue,Capital,NetIncomeGrowthRate,OperIncomeGrowthRate,FinancialStatementsTime,TFXRatio,MonthlyNetSalesYoY,RevenueMonth'</f>
        <v>6171</v>
      </c>
      <c r="B638" t="str">
        <v>大城地產</v>
      </c>
      <c r="C638" t="str">
        <v>25.3</v>
      </c>
      <c r="D638" t="str">
        <v>8.67</v>
      </c>
      <c r="E638" t="str">
        <v>-67.46</v>
      </c>
      <c r="F638" t="str">
        <v>-70.91</v>
      </c>
      <c r="G638" t="str">
        <v>2022/03</v>
      </c>
      <c r="H638" t="str">
        <v>0.00</v>
      </c>
      <c r="I638" t="str">
        <v>-99.28</v>
      </c>
      <c r="J638" t="str">
        <v>2022/06</v>
      </c>
      <c r="K638" t="str">
        <f t="array" ref="K638:T638">[1]!'6171.TW-OperatingProfitRatio,Price,PriceChangeRatio,InOutRatioNumber,Value,YearReturn,MonthReturn,WeekReturn,FinanceBalanceDif,ChipsField2'</f>
        <v>23.40</v>
      </c>
      <c r="L638">
        <v>29.25</v>
      </c>
      <c r="M638">
        <v>0.86</v>
      </c>
      <c r="N638" t="str">
        <v>77.78%</v>
      </c>
      <c r="O638" t="str">
        <v>29.2萬</v>
      </c>
      <c r="P638" t="str">
        <v>+31.91</v>
      </c>
      <c r="Q638" t="str">
        <v>+1.56</v>
      </c>
      <c r="R638" t="str">
        <v>+1.56</v>
      </c>
      <c r="S638">
        <v>0</v>
      </c>
      <c r="T638">
        <v>0</v>
      </c>
      <c r="U638">
        <f t="array" ref="U638:AD638">[1]!'6171.TW-ChipsField3,ChipsField1,ChipsField25,CashAndStockDividend,CashDividendYieldRate,ProfitFourSeason,ProfitSingle,CName,ExchangeIndustry,CompanyPos'</f>
        <v>1</v>
      </c>
      <c r="V638">
        <v>-2</v>
      </c>
      <c r="W638" t="str">
        <v>--</v>
      </c>
      <c r="X638" t="str">
        <v>3.04</v>
      </c>
      <c r="Y638">
        <v>10.39</v>
      </c>
      <c r="Z638" t="str">
        <v>3.35</v>
      </c>
      <c r="AA638" t="str">
        <v>0.81</v>
      </c>
      <c r="AB638" t="str">
        <v>大城地產</v>
      </c>
      <c r="AC638" t="str">
        <v>上櫃建材營造</v>
      </c>
      <c r="AD638" t="str">
        <v>大城建設入主，轉型為營建業</v>
      </c>
      <c r="AE638" t="str">
        <f t="array" ref="AE638:AH638">[1]!'6171.TW-CName,InvestorConferenceDate,DateofMeetingofShareHolders,TradingDate'</f>
        <v>大城地產</v>
      </c>
      <c r="AF638" t="str">
        <v>--</v>
      </c>
      <c r="AG638" t="str">
        <v>2022/06/17</v>
      </c>
      <c r="AH638" t="str">
        <v>2022/08/01</v>
      </c>
    </row>
    <row r="639" spans="1:34" x14ac:dyDescent="0.3">
      <c r="A639" t="str">
        <f t="array" ref="A639:J639">[1]!'6186.TW-ID,Name,MarketValue,Capital,NetIncomeGrowthRate,OperIncomeGrowthRate,FinancialStatementsTime,TFXRatio,MonthlyNetSalesYoY,RevenueMonth'</f>
        <v>6186</v>
      </c>
      <c r="B639" t="str">
        <v>新潤</v>
      </c>
      <c r="C639" t="str">
        <v>39.8</v>
      </c>
      <c r="D639" t="str">
        <v>15.00</v>
      </c>
      <c r="E639" t="str">
        <v>-113.35</v>
      </c>
      <c r="F639" t="str">
        <v>-110.71</v>
      </c>
      <c r="G639" t="str">
        <v>2022/03</v>
      </c>
      <c r="H639" t="str">
        <v>--</v>
      </c>
      <c r="I639" t="str">
        <v>-100.00</v>
      </c>
      <c r="J639" t="str">
        <v>2022/06</v>
      </c>
      <c r="K639" t="str">
        <f t="array" ref="K639:T639">[1]!'6186.TW-OperatingProfitRatio,Price,PriceChangeRatio,InOutRatioNumber,Value,YearReturn,MonthReturn,WeekReturn,FinanceBalanceDif,ChipsField2'</f>
        <v>-2181.81</v>
      </c>
      <c r="L639">
        <v>26.55</v>
      </c>
      <c r="M639">
        <v>1.1399999999999999</v>
      </c>
      <c r="N639" t="str">
        <v>62.73%</v>
      </c>
      <c r="O639" t="str">
        <v>291萬</v>
      </c>
      <c r="P639" t="str">
        <v>+0.85</v>
      </c>
      <c r="Q639" t="str">
        <v>+3.51</v>
      </c>
      <c r="R639" t="str">
        <v>+1.34</v>
      </c>
      <c r="S639">
        <v>-4</v>
      </c>
      <c r="T639">
        <v>0</v>
      </c>
      <c r="U639">
        <f t="array" ref="U639:AD639">[1]!'6186.TW-ChipsField3,ChipsField1,ChipsField25,CashAndStockDividend,CashDividendYieldRate,ProfitFourSeason,ProfitSingle,CName,ExchangeIndustry,CompanyPos'</f>
        <v>-8</v>
      </c>
      <c r="V639">
        <v>13</v>
      </c>
      <c r="W639" t="str">
        <v>--</v>
      </c>
      <c r="X639" t="str">
        <v>3.00</v>
      </c>
      <c r="Y639">
        <v>11.3</v>
      </c>
      <c r="Z639" t="str">
        <v>1.06</v>
      </c>
      <c r="AA639" t="str">
        <v>-0.24</v>
      </c>
      <c r="AB639" t="str">
        <v>新潤</v>
      </c>
      <c r="AC639" t="str">
        <v>上櫃建材營造</v>
      </c>
      <c r="AD639" t="str">
        <v>推案以台鐵、高鐵及捷運沿線為主之建商</v>
      </c>
      <c r="AE639" t="str">
        <f t="array" ref="AE639:AH639">[1]!'6186.TW-CName,InvestorConferenceDate,DateofMeetingofShareHolders,TradingDate'</f>
        <v>新潤</v>
      </c>
      <c r="AF639" t="str">
        <v>--</v>
      </c>
      <c r="AG639" t="str">
        <v>2022/06/30</v>
      </c>
      <c r="AH639" t="str">
        <v>2022/08/01</v>
      </c>
    </row>
    <row r="640" spans="1:34" x14ac:dyDescent="0.3">
      <c r="A640" t="str">
        <f t="array" ref="A640:J640">[1]!'6212.TW-ID,Name,MarketValue,Capital,NetIncomeGrowthRate,OperIncomeGrowthRate,FinancialStatementsTime,TFXRatio,MonthlyNetSalesYoY,RevenueMonth'</f>
        <v>6212</v>
      </c>
      <c r="B640" t="str">
        <v>理銘</v>
      </c>
      <c r="C640" t="str">
        <v>49.6</v>
      </c>
      <c r="D640" t="str">
        <v>10.20</v>
      </c>
      <c r="E640" t="str">
        <v>131.87</v>
      </c>
      <c r="F640" t="str">
        <v>131.53</v>
      </c>
      <c r="G640" t="str">
        <v>2022/03</v>
      </c>
      <c r="H640" t="str">
        <v>120.25</v>
      </c>
      <c r="I640" t="str">
        <v>120.25</v>
      </c>
      <c r="J640" t="str">
        <v>2022/06</v>
      </c>
      <c r="K640" t="str">
        <f t="array" ref="K640:T640">[1]!'6212.TW-OperatingProfitRatio,Price,PriceChangeRatio,InOutRatioNumber,Value,YearReturn,MonthReturn,WeekReturn,FinanceBalanceDif,ChipsField2'</f>
        <v>17.19</v>
      </c>
      <c r="L640">
        <v>48.65</v>
      </c>
      <c r="M640">
        <v>0</v>
      </c>
      <c r="N640" t="str">
        <v>100.00%</v>
      </c>
      <c r="O640" t="str">
        <v>14.6萬</v>
      </c>
      <c r="P640" t="str">
        <v>-16.27</v>
      </c>
      <c r="Q640" t="str">
        <v>-2.60</v>
      </c>
      <c r="R640" t="str">
        <v>-0.71</v>
      </c>
      <c r="S640">
        <v>0</v>
      </c>
      <c r="T640">
        <v>0</v>
      </c>
      <c r="U640">
        <f t="array" ref="U640:AD640">[1]!'6212.TW-ChipsField3,ChipsField1,ChipsField25,CashAndStockDividend,CashDividendYieldRate,ProfitFourSeason,ProfitSingle,CName,ExchangeIndustry,CompanyPos'</f>
        <v>0</v>
      </c>
      <c r="V640">
        <v>0</v>
      </c>
      <c r="W640" t="str">
        <v>--</v>
      </c>
      <c r="X640" t="str">
        <v>0.00</v>
      </c>
      <c r="Y640">
        <v>0</v>
      </c>
      <c r="Z640" t="str">
        <v>4.75</v>
      </c>
      <c r="AA640" t="str">
        <v>1.17</v>
      </c>
      <c r="AB640" t="str">
        <v>理銘</v>
      </c>
      <c r="AC640" t="str">
        <v>上櫃建材營造</v>
      </c>
      <c r="AD640" t="str">
        <v>轉型為於新竹地區推案之建商</v>
      </c>
      <c r="AE640" t="str">
        <f t="array" ref="AE640:AH640">[1]!'6212.TW-CName,InvestorConferenceDate,DateofMeetingofShareHolders,TradingDate'</f>
        <v>理銘</v>
      </c>
      <c r="AF640" t="str">
        <v>--</v>
      </c>
      <c r="AG640" t="str">
        <v>2022/06/08</v>
      </c>
      <c r="AH640" t="str">
        <v>2022/08/01</v>
      </c>
    </row>
    <row r="641" spans="1:34" x14ac:dyDescent="0.3">
      <c r="A641" t="str">
        <f t="array" ref="A641:J641">[1]!'6219.TW-ID,Name,MarketValue,Capital,NetIncomeGrowthRate,OperIncomeGrowthRate,FinancialStatementsTime,TFXRatio,MonthlyNetSalesYoY,RevenueMonth'</f>
        <v>6219</v>
      </c>
      <c r="B641" t="str">
        <v>富旺</v>
      </c>
      <c r="C641" t="str">
        <v>18.7</v>
      </c>
      <c r="D641" t="str">
        <v>15.40</v>
      </c>
      <c r="E641" t="str">
        <v>-1038.93</v>
      </c>
      <c r="F641" t="str">
        <v>-501.73</v>
      </c>
      <c r="G641" t="str">
        <v>2022/03</v>
      </c>
      <c r="H641" t="str">
        <v>16.75</v>
      </c>
      <c r="I641" t="str">
        <v>-93.80</v>
      </c>
      <c r="J641" t="str">
        <v>2022/06</v>
      </c>
      <c r="K641" t="str">
        <f t="array" ref="K641:T641">[1]!'6219.TW-OperatingProfitRatio,Price,PriceChangeRatio,InOutRatioNumber,Value,YearReturn,MonthReturn,WeekReturn,FinanceBalanceDif,ChipsField2'</f>
        <v>-72.73</v>
      </c>
      <c r="L641">
        <v>12.15</v>
      </c>
      <c r="M641">
        <v>0</v>
      </c>
      <c r="N641" t="str">
        <v>74.23%</v>
      </c>
      <c r="O641" t="str">
        <v>943萬</v>
      </c>
      <c r="P641" t="str">
        <v>-42.83</v>
      </c>
      <c r="Q641" t="str">
        <v>+0.45</v>
      </c>
      <c r="R641" t="str">
        <v>-0.41</v>
      </c>
      <c r="S641">
        <v>-8</v>
      </c>
      <c r="T641">
        <v>0</v>
      </c>
      <c r="U641">
        <f t="array" ref="U641:AD641">[1]!'6219.TW-ChipsField3,ChipsField1,ChipsField25,CashAndStockDividend,CashDividendYieldRate,ProfitFourSeason,ProfitSingle,CName,ExchangeIndustry,CompanyPos'</f>
        <v>0</v>
      </c>
      <c r="V641">
        <v>14</v>
      </c>
      <c r="W641" t="str">
        <v>2022/07/05</v>
      </c>
      <c r="X641" t="str">
        <v>0.25</v>
      </c>
      <c r="Y641">
        <v>2.06</v>
      </c>
      <c r="Z641" t="str">
        <v>-1.28</v>
      </c>
      <c r="AA641" t="str">
        <v>-1.89</v>
      </c>
      <c r="AB641" t="str">
        <v>富旺</v>
      </c>
      <c r="AC641" t="str">
        <v>上櫃建材營造</v>
      </c>
      <c r="AD641" t="str">
        <v>以台中為核心擴展至全省跨區經營的建商</v>
      </c>
      <c r="AE641" t="str">
        <f t="array" ref="AE641:AH641">[1]!'6219.TW-CName,InvestorConferenceDate,DateofMeetingofShareHolders,TradingDate'</f>
        <v>富旺</v>
      </c>
      <c r="AF641" t="str">
        <v>2021/02/23</v>
      </c>
      <c r="AG641" t="str">
        <v>2022/06/16</v>
      </c>
      <c r="AH641" t="str">
        <v>2022/08/01</v>
      </c>
    </row>
    <row r="642" spans="1:34" x14ac:dyDescent="0.3">
      <c r="A642" t="str">
        <f t="array" ref="A642:J642">[1]!'6264.TW-ID,Name,MarketValue,Capital,NetIncomeGrowthRate,OperIncomeGrowthRate,FinancialStatementsTime,TFXRatio,MonthlyNetSalesYoY,RevenueMonth'</f>
        <v>6264</v>
      </c>
      <c r="B642" t="str">
        <v>富裔</v>
      </c>
      <c r="C642" t="str">
        <v>9.5</v>
      </c>
      <c r="D642" t="str">
        <v>11.64</v>
      </c>
      <c r="E642" t="str">
        <v>-308.43</v>
      </c>
      <c r="F642" t="str">
        <v>-4275.87</v>
      </c>
      <c r="G642" t="str">
        <v>2022/03</v>
      </c>
      <c r="H642" t="str">
        <v>-65.95</v>
      </c>
      <c r="I642" t="str">
        <v>-76.25</v>
      </c>
      <c r="J642" t="str">
        <v>2022/06</v>
      </c>
      <c r="K642" t="str">
        <f t="array" ref="K642:T642">[1]!'6264.TW-OperatingProfitRatio,Price,PriceChangeRatio,InOutRatioNumber,Value,YearReturn,MonthReturn,WeekReturn,FinanceBalanceDif,ChipsField2'</f>
        <v>-30.63</v>
      </c>
      <c r="L642">
        <v>8.1300000000000008</v>
      </c>
      <c r="M642">
        <v>0</v>
      </c>
      <c r="N642" t="str">
        <v>25.00%</v>
      </c>
      <c r="O642" t="str">
        <v>16.2萬</v>
      </c>
      <c r="P642" t="str">
        <v>-15.14</v>
      </c>
      <c r="Q642" t="str">
        <v>-2.05</v>
      </c>
      <c r="R642" t="str">
        <v>+0.37</v>
      </c>
      <c r="S642">
        <v>0</v>
      </c>
      <c r="T642">
        <v>0</v>
      </c>
      <c r="U642">
        <f t="array" ref="U642:AD642">[1]!'6264.TW-ChipsField3,ChipsField1,ChipsField25,CashAndStockDividend,CashDividendYieldRate,ProfitFourSeason,ProfitSingle,CName,ExchangeIndustry,CompanyPos'</f>
        <v>0</v>
      </c>
      <c r="V642">
        <v>0</v>
      </c>
      <c r="W642" t="str">
        <v>--</v>
      </c>
      <c r="X642" t="str">
        <v>0.00</v>
      </c>
      <c r="Y642">
        <v>0</v>
      </c>
      <c r="Z642" t="str">
        <v>-0.60</v>
      </c>
      <c r="AA642" t="str">
        <v>-0.28</v>
      </c>
      <c r="AB642" t="str">
        <v>富裔</v>
      </c>
      <c r="AC642" t="str">
        <v>上櫃建材營造</v>
      </c>
      <c r="AD642" t="str">
        <v>入主德士通，以雙北及基隆地區為主的營建公司</v>
      </c>
      <c r="AE642" t="str">
        <f t="array" ref="AE642:AH642">[1]!'6264.TW-CName,InvestorConferenceDate,DateofMeetingofShareHolders,TradingDate'</f>
        <v>富裔</v>
      </c>
      <c r="AF642" t="str">
        <v>--</v>
      </c>
      <c r="AG642" t="str">
        <v>2022/06/29</v>
      </c>
      <c r="AH642" t="str">
        <v>2022/08/01</v>
      </c>
    </row>
    <row r="643" spans="1:34" x14ac:dyDescent="0.3">
      <c r="A643" t="str">
        <f t="array" ref="A643:J643">[1]!'8080.TW-ID,Name,MarketValue,Capital,NetIncomeGrowthRate,OperIncomeGrowthRate,FinancialStatementsTime,TFXRatio,MonthlyNetSalesYoY,RevenueMonth'</f>
        <v>8080</v>
      </c>
      <c r="B643" t="str">
        <v>永利聯合</v>
      </c>
      <c r="C643" t="str">
        <v>2.9</v>
      </c>
      <c r="D643" t="str">
        <v>2.32</v>
      </c>
      <c r="E643" t="str">
        <v>-4.34</v>
      </c>
      <c r="F643" t="str">
        <v>104.66</v>
      </c>
      <c r="G643" t="str">
        <v>2022/03</v>
      </c>
      <c r="H643" t="str">
        <v>-7.53</v>
      </c>
      <c r="I643" t="str">
        <v>98.79</v>
      </c>
      <c r="J643" t="str">
        <v>2022/06</v>
      </c>
      <c r="K643" t="str">
        <f t="array" ref="K643:T643">[1]!'8080.TW-OperatingProfitRatio,Price,PriceChangeRatio,InOutRatioNumber,Value,YearReturn,MonthReturn,WeekReturn,FinanceBalanceDif,ChipsField2'</f>
        <v>0.27</v>
      </c>
      <c r="L643">
        <v>12.5</v>
      </c>
      <c r="M643">
        <v>3.73</v>
      </c>
      <c r="N643" t="str">
        <v>80.00%</v>
      </c>
      <c r="O643" t="str">
        <v>6.21萬</v>
      </c>
      <c r="P643" t="str">
        <v>--</v>
      </c>
      <c r="Q643" t="str">
        <v>+18.48</v>
      </c>
      <c r="R643" t="str">
        <v>+1.21</v>
      </c>
      <c r="S643">
        <v>0</v>
      </c>
      <c r="T643">
        <v>0</v>
      </c>
      <c r="U643">
        <f t="array" ref="U643:AD643">[1]!'8080.TW-ChipsField3,ChipsField1,ChipsField25,CashAndStockDividend,CashDividendYieldRate,ProfitFourSeason,ProfitSingle,CName,ExchangeIndustry,CompanyPos'</f>
        <v>0</v>
      </c>
      <c r="V643">
        <v>0</v>
      </c>
      <c r="W643" t="str">
        <v>--</v>
      </c>
      <c r="X643" t="str">
        <v>0.00</v>
      </c>
      <c r="Y643">
        <v>0</v>
      </c>
      <c r="Z643" t="str">
        <v>-1.35</v>
      </c>
      <c r="AA643" t="str">
        <v>-0.26</v>
      </c>
      <c r="AB643" t="str">
        <v>永利聯合</v>
      </c>
      <c r="AC643" t="str">
        <v>上櫃電子零組件,上櫃建材營造</v>
      </c>
      <c r="AD643" t="str">
        <v>轉型為營建剩餘土石方工程商</v>
      </c>
      <c r="AE643" t="str">
        <f t="array" ref="AE643:AH643">[1]!'8080.TW-CName,InvestorConferenceDate,DateofMeetingofShareHolders,TradingDate'</f>
        <v>永利聯合</v>
      </c>
      <c r="AF643" t="str">
        <v>--</v>
      </c>
      <c r="AG643" t="str">
        <v>2022/06/09</v>
      </c>
      <c r="AH643" t="str">
        <v>2022/08/01</v>
      </c>
    </row>
    <row r="644" spans="1:34" x14ac:dyDescent="0.3">
      <c r="A644" t="str">
        <f t="array" ref="A644:J644">[1]!'8424.TW-ID,Name,MarketValue,Capital,NetIncomeGrowthRate,OperIncomeGrowthRate,FinancialStatementsTime,TFXRatio,MonthlyNetSalesYoY,RevenueMonth'</f>
        <v>8424</v>
      </c>
      <c r="B644" t="str">
        <v>惠普</v>
      </c>
      <c r="C644" t="str">
        <v>24.4</v>
      </c>
      <c r="D644" t="str">
        <v>3.61</v>
      </c>
      <c r="E644" t="str">
        <v>8.62</v>
      </c>
      <c r="F644" t="str">
        <v>9.31</v>
      </c>
      <c r="G644" t="str">
        <v>2022/03</v>
      </c>
      <c r="H644" t="str">
        <v>5.48</v>
      </c>
      <c r="I644" t="str">
        <v>30.99</v>
      </c>
      <c r="J644" t="str">
        <v>2022/06</v>
      </c>
      <c r="K644" t="str">
        <f t="array" ref="K644:T644">[1]!'8424.TW-OperatingProfitRatio,Price,PriceChangeRatio,InOutRatioNumber,Value,YearReturn,MonthReturn,WeekReturn,FinanceBalanceDif,ChipsField2'</f>
        <v>21.22</v>
      </c>
      <c r="L644">
        <v>67.8</v>
      </c>
      <c r="M644">
        <v>0.3</v>
      </c>
      <c r="N644" t="str">
        <v>87.50%</v>
      </c>
      <c r="O644" t="str">
        <v>67.8萬</v>
      </c>
      <c r="P644" t="str">
        <v>+25.45</v>
      </c>
      <c r="Q644" t="str">
        <v>+1.50</v>
      </c>
      <c r="R644" t="str">
        <v>+1.80</v>
      </c>
      <c r="S644">
        <v>0</v>
      </c>
      <c r="T644">
        <v>0</v>
      </c>
      <c r="U644">
        <f t="array" ref="U644:AD644">[1]!'8424.TW-ChipsField3,ChipsField1,ChipsField25,CashAndStockDividend,CashDividendYieldRate,ProfitFourSeason,ProfitSingle,CName,ExchangeIndustry,CompanyPos'</f>
        <v>0</v>
      </c>
      <c r="V644">
        <v>1</v>
      </c>
      <c r="W644" t="str">
        <v>2022/06/10</v>
      </c>
      <c r="X644" t="str">
        <v>4.50</v>
      </c>
      <c r="Y644">
        <v>6.64</v>
      </c>
      <c r="Z644" t="str">
        <v>4.70</v>
      </c>
      <c r="AA644" t="str">
        <v>1.22</v>
      </c>
      <c r="AB644" t="str">
        <v>惠普</v>
      </c>
      <c r="AC644" t="str">
        <v>上櫃建材營造</v>
      </c>
      <c r="AD644" t="str">
        <v>台灣最大矽酸鈣板廠</v>
      </c>
      <c r="AE644" t="str">
        <f t="array" ref="AE644:AH644">[1]!'8424.TW-CName,InvestorConferenceDate,DateofMeetingofShareHolders,TradingDate'</f>
        <v>惠普</v>
      </c>
      <c r="AF644" t="str">
        <v>2022/05/17</v>
      </c>
      <c r="AG644" t="str">
        <v>2022/05/20</v>
      </c>
      <c r="AH644" t="str">
        <v>2022/08/01</v>
      </c>
    </row>
    <row r="645" spans="1:34" x14ac:dyDescent="0.3">
      <c r="A645" t="str">
        <f t="array" ref="A645:J645">[1]!'2641.TW-ID,Name,MarketValue,Capital,NetIncomeGrowthRate,OperIncomeGrowthRate,FinancialStatementsTime,TFXRatio,MonthlyNetSalesYoY,RevenueMonth'</f>
        <v>2641</v>
      </c>
      <c r="B645" t="str">
        <v>正德</v>
      </c>
      <c r="C645" t="str">
        <v>40.5</v>
      </c>
      <c r="D645" t="str">
        <v>19.01</v>
      </c>
      <c r="E645" t="str">
        <v>839.64</v>
      </c>
      <c r="F645" t="str">
        <v>583.02</v>
      </c>
      <c r="G645" t="str">
        <v>2022/03</v>
      </c>
      <c r="H645" t="str">
        <v>20.16</v>
      </c>
      <c r="I645" t="str">
        <v>46.52</v>
      </c>
      <c r="J645" t="str">
        <v>2022/06</v>
      </c>
      <c r="K645" t="str">
        <f t="array" ref="K645:T645">[1]!'2641.TW-OperatingProfitRatio,Price,PriceChangeRatio,InOutRatioNumber,Value,YearReturn,MonthReturn,WeekReturn,FinanceBalanceDif,ChipsField2'</f>
        <v>45.08</v>
      </c>
      <c r="L645">
        <v>21.45</v>
      </c>
      <c r="M645">
        <v>1.18</v>
      </c>
      <c r="N645" t="str">
        <v>51.96%</v>
      </c>
      <c r="O645" t="str">
        <v>5846萬</v>
      </c>
      <c r="P645" t="str">
        <v>-28.47</v>
      </c>
      <c r="Q645" t="str">
        <v>+16.89</v>
      </c>
      <c r="R645" t="str">
        <v>+2.88</v>
      </c>
      <c r="S645">
        <v>-215</v>
      </c>
      <c r="T645">
        <v>0</v>
      </c>
      <c r="U645">
        <f t="array" ref="U645:AD645">[1]!'2641.TW-ChipsField3,ChipsField1,ChipsField25,CashAndStockDividend,CashDividendYieldRate,ProfitFourSeason,ProfitSingle,CName,ExchangeIndustry,CompanyPos'</f>
        <v>10</v>
      </c>
      <c r="V645">
        <v>436</v>
      </c>
      <c r="W645" t="str">
        <v>2022/06/20</v>
      </c>
      <c r="X645" t="str">
        <v>0.80</v>
      </c>
      <c r="Y645">
        <v>3.73</v>
      </c>
      <c r="Z645" t="str">
        <v>3.51</v>
      </c>
      <c r="AA645" t="str">
        <v>1.35</v>
      </c>
      <c r="AB645" t="str">
        <v>正德</v>
      </c>
      <c r="AC645" t="str">
        <v>上櫃航運業</v>
      </c>
      <c r="AD645" t="str">
        <v>以亞洲近洋航線為主力之散裝航運業者</v>
      </c>
      <c r="AE645" t="str">
        <f t="array" ref="AE645:AH645">[1]!'2641.TW-CName,InvestorConferenceDate,DateofMeetingofShareHolders,TradingDate'</f>
        <v>正德</v>
      </c>
      <c r="AF645" t="str">
        <v>--</v>
      </c>
      <c r="AG645" t="str">
        <v>2022/05/26</v>
      </c>
      <c r="AH645" t="str">
        <v>2022/08/01</v>
      </c>
    </row>
    <row r="646" spans="1:34" x14ac:dyDescent="0.3">
      <c r="A646" t="str">
        <f t="array" ref="A646:J646">[1]!'2643.TW-ID,Name,MarketValue,Capital,NetIncomeGrowthRate,OperIncomeGrowthRate,FinancialStatementsTime,TFXRatio,MonthlyNetSalesYoY,RevenueMonth'</f>
        <v>2643</v>
      </c>
      <c r="B646" t="str">
        <v>捷迅</v>
      </c>
      <c r="C646" t="str">
        <v>21.7</v>
      </c>
      <c r="D646" t="str">
        <v>3.00</v>
      </c>
      <c r="E646" t="str">
        <v>83.50</v>
      </c>
      <c r="F646" t="str">
        <v>89.52</v>
      </c>
      <c r="G646" t="str">
        <v>2022/03</v>
      </c>
      <c r="H646" t="str">
        <v>21.42</v>
      </c>
      <c r="I646" t="str">
        <v>48.49</v>
      </c>
      <c r="J646" t="str">
        <v>2022/06</v>
      </c>
      <c r="K646" t="str">
        <f t="array" ref="K646:T646">[1]!'2643.TW-OperatingProfitRatio,Price,PriceChangeRatio,InOutRatioNumber,Value,YearReturn,MonthReturn,WeekReturn,FinanceBalanceDif,ChipsField2'</f>
        <v>8.51</v>
      </c>
      <c r="L646">
        <v>72.2</v>
      </c>
      <c r="M646">
        <v>2.27</v>
      </c>
      <c r="N646" t="str">
        <v>61.17%</v>
      </c>
      <c r="O646" t="str">
        <v>740萬</v>
      </c>
      <c r="P646" t="str">
        <v>-14.57</v>
      </c>
      <c r="Q646" t="str">
        <v>+13.70</v>
      </c>
      <c r="R646" t="str">
        <v>+3.44</v>
      </c>
      <c r="S646">
        <v>18</v>
      </c>
      <c r="T646">
        <v>0</v>
      </c>
      <c r="U646">
        <f t="array" ref="U646:AD646">[1]!'2643.TW-ChipsField3,ChipsField1,ChipsField25,CashAndStockDividend,CashDividendYieldRate,ProfitFourSeason,ProfitSingle,CName,ExchangeIndustry,CompanyPos'</f>
        <v>0</v>
      </c>
      <c r="V646">
        <v>18</v>
      </c>
      <c r="W646" t="str">
        <v>2022/08/04</v>
      </c>
      <c r="X646" t="str">
        <v>5.00</v>
      </c>
      <c r="Y646">
        <v>6.93</v>
      </c>
      <c r="Z646" t="str">
        <v>11.05</v>
      </c>
      <c r="AA646" t="str">
        <v>2.94</v>
      </c>
      <c r="AB646" t="str">
        <v>捷迅</v>
      </c>
      <c r="AC646" t="str">
        <v>上櫃航運業</v>
      </c>
      <c r="AD646" t="str">
        <v>台灣承攬航空貨運、海運與報關業務之物流業者</v>
      </c>
      <c r="AE646" t="str">
        <f t="array" ref="AE646:AH646">[1]!'2643.TW-CName,InvestorConferenceDate,DateofMeetingofShareHolders,TradingDate'</f>
        <v>捷迅</v>
      </c>
      <c r="AF646" t="str">
        <v>2022/08/04</v>
      </c>
      <c r="AG646" t="str">
        <v>2022/06/24</v>
      </c>
      <c r="AH646" t="str">
        <v>2022/08/01</v>
      </c>
    </row>
    <row r="647" spans="1:34" x14ac:dyDescent="0.3">
      <c r="A647" t="str">
        <f t="array" ref="A647:J647">[1]!'5601.TW-ID,Name,MarketValue,Capital,NetIncomeGrowthRate,OperIncomeGrowthRate,FinancialStatementsTime,TFXRatio,MonthlyNetSalesYoY,RevenueMonth'</f>
        <v>5601</v>
      </c>
      <c r="B647" t="str">
        <v>台聯櫃</v>
      </c>
      <c r="C647" t="str">
        <v>24.3</v>
      </c>
      <c r="D647" t="str">
        <v>6.48</v>
      </c>
      <c r="E647" t="str">
        <v>99.94</v>
      </c>
      <c r="F647" t="str">
        <v>103.16</v>
      </c>
      <c r="G647" t="str">
        <v>2022/03</v>
      </c>
      <c r="H647" t="str">
        <v>-0.53</v>
      </c>
      <c r="I647" t="str">
        <v>11.49</v>
      </c>
      <c r="J647" t="str">
        <v>2022/06</v>
      </c>
      <c r="K647" t="str">
        <f t="array" ref="K647:T647">[1]!'5601.TW-OperatingProfitRatio,Price,PriceChangeRatio,InOutRatioNumber,Value,YearReturn,MonthReturn,WeekReturn,FinanceBalanceDif,ChipsField2'</f>
        <v>37.17</v>
      </c>
      <c r="L647">
        <v>37.549999999999997</v>
      </c>
      <c r="M647">
        <v>2.74</v>
      </c>
      <c r="N647" t="str">
        <v>87.50%</v>
      </c>
      <c r="O647" t="str">
        <v>29.8萬</v>
      </c>
      <c r="P647" t="str">
        <v>+34.27</v>
      </c>
      <c r="Q647" t="str">
        <v>+2.46</v>
      </c>
      <c r="R647" t="str">
        <v>+5.77</v>
      </c>
      <c r="S647">
        <v>0</v>
      </c>
      <c r="T647">
        <v>0</v>
      </c>
      <c r="U647">
        <f t="array" ref="U647:AD647">[1]!'5601.TW-ChipsField3,ChipsField1,ChipsField25,CashAndStockDividend,CashDividendYieldRate,ProfitFourSeason,ProfitSingle,CName,ExchangeIndustry,CompanyPos'</f>
        <v>0</v>
      </c>
      <c r="V647">
        <v>0</v>
      </c>
      <c r="W647" t="str">
        <v>2022/06/24</v>
      </c>
      <c r="X647" t="str">
        <v>0.26</v>
      </c>
      <c r="Y647">
        <v>0.69</v>
      </c>
      <c r="Z647" t="str">
        <v>0.33</v>
      </c>
      <c r="AA647" t="str">
        <v>0.10</v>
      </c>
      <c r="AB647" t="str">
        <v>台聯櫃</v>
      </c>
      <c r="AC647" t="str">
        <v>上櫃航運業</v>
      </c>
      <c r="AD647" t="str">
        <v>台灣經營貨櫃集散站之業者</v>
      </c>
      <c r="AE647" t="str">
        <f t="array" ref="AE647:AH647">[1]!'5601.TW-CName,InvestorConferenceDate,DateofMeetingofShareHolders,TradingDate'</f>
        <v>台聯櫃</v>
      </c>
      <c r="AF647" t="str">
        <v>--</v>
      </c>
      <c r="AG647" t="str">
        <v>2022/06/08</v>
      </c>
      <c r="AH647" t="str">
        <v>2022/08/01</v>
      </c>
    </row>
    <row r="648" spans="1:34" x14ac:dyDescent="0.3">
      <c r="A648" t="str">
        <f t="array" ref="A648:J648">[1]!'5603.TW-ID,Name,MarketValue,Capital,NetIncomeGrowthRate,OperIncomeGrowthRate,FinancialStatementsTime,TFXRatio,MonthlyNetSalesYoY,RevenueMonth'</f>
        <v>5603</v>
      </c>
      <c r="B648" t="str">
        <v>陸海</v>
      </c>
      <c r="C648" t="str">
        <v>32.1</v>
      </c>
      <c r="D648" t="str">
        <v>8.07</v>
      </c>
      <c r="E648" t="str">
        <v>189.24</v>
      </c>
      <c r="F648" t="str">
        <v>36.59</v>
      </c>
      <c r="G648" t="str">
        <v>2022/03</v>
      </c>
      <c r="H648" t="str">
        <v>2.68</v>
      </c>
      <c r="I648" t="str">
        <v>23.74</v>
      </c>
      <c r="J648" t="str">
        <v>2022/06</v>
      </c>
      <c r="K648" t="str">
        <f t="array" ref="K648:T648">[1]!'5603.TW-OperatingProfitRatio,Price,PriceChangeRatio,InOutRatioNumber,Value,YearReturn,MonthReturn,WeekReturn,FinanceBalanceDif,ChipsField2'</f>
        <v>8.45</v>
      </c>
      <c r="L648">
        <v>39.799999999999997</v>
      </c>
      <c r="M648">
        <v>1.02</v>
      </c>
      <c r="N648" t="str">
        <v>53.55%</v>
      </c>
      <c r="O648" t="str">
        <v>1136萬</v>
      </c>
      <c r="P648" t="str">
        <v>+38.52</v>
      </c>
      <c r="Q648" t="str">
        <v>+10.40</v>
      </c>
      <c r="R648" t="str">
        <v>+0.38</v>
      </c>
      <c r="S648">
        <v>22</v>
      </c>
      <c r="T648">
        <v>0</v>
      </c>
      <c r="U648">
        <f t="array" ref="U648:AD648">[1]!'5603.TW-ChipsField3,ChipsField1,ChipsField25,CashAndStockDividend,CashDividendYieldRate,ProfitFourSeason,ProfitSingle,CName,ExchangeIndustry,CompanyPos'</f>
        <v>1</v>
      </c>
      <c r="V648">
        <v>-5</v>
      </c>
      <c r="W648" t="str">
        <v>--</v>
      </c>
      <c r="X648" t="str">
        <v>7.00</v>
      </c>
      <c r="Y648">
        <v>17.59</v>
      </c>
      <c r="Z648" t="str">
        <v>9.46</v>
      </c>
      <c r="AA648" t="str">
        <v>0.48</v>
      </c>
      <c r="AB648" t="str">
        <v>陸海</v>
      </c>
      <c r="AC648" t="str">
        <v>上櫃航運業</v>
      </c>
      <c r="AD648" t="str">
        <v>從事內陸貨櫃運輸、裝卸及重機件運輸、吊裝業務之業者</v>
      </c>
      <c r="AE648" t="str">
        <f t="array" ref="AE648:AH648">[1]!'5603.TW-CName,InvestorConferenceDate,DateofMeetingofShareHolders,TradingDate'</f>
        <v>陸海</v>
      </c>
      <c r="AF648" t="str">
        <v>--</v>
      </c>
      <c r="AG648" t="str">
        <v>2022/06/27</v>
      </c>
      <c r="AH648" t="str">
        <v>2022/08/01</v>
      </c>
    </row>
    <row r="649" spans="1:34" x14ac:dyDescent="0.3">
      <c r="A649" t="str">
        <f t="array" ref="A649:J649">[1]!'5609.TW-ID,Name,MarketValue,Capital,NetIncomeGrowthRate,OperIncomeGrowthRate,FinancialStatementsTime,TFXRatio,MonthlyNetSalesYoY,RevenueMonth'</f>
        <v>5609</v>
      </c>
      <c r="B649" t="str">
        <v>中菲行</v>
      </c>
      <c r="C649" t="str">
        <v>101.7</v>
      </c>
      <c r="D649" t="str">
        <v>13.61</v>
      </c>
      <c r="E649" t="str">
        <v>109.11</v>
      </c>
      <c r="F649" t="str">
        <v>110.28</v>
      </c>
      <c r="G649" t="str">
        <v>2022/03</v>
      </c>
      <c r="H649" t="str">
        <v>-4.71</v>
      </c>
      <c r="I649" t="str">
        <v>25.32</v>
      </c>
      <c r="J649" t="str">
        <v>2022/06</v>
      </c>
      <c r="K649" t="str">
        <f t="array" ref="K649:T649">[1]!'5609.TW-OperatingProfitRatio,Price,PriceChangeRatio,InOutRatioNumber,Value,YearReturn,MonthReturn,WeekReturn,FinanceBalanceDif,ChipsField2'</f>
        <v>6.65</v>
      </c>
      <c r="L649">
        <v>74.7</v>
      </c>
      <c r="M649">
        <v>0.27</v>
      </c>
      <c r="N649" t="str">
        <v>32.43%</v>
      </c>
      <c r="O649" t="str">
        <v>1504萬</v>
      </c>
      <c r="P649" t="str">
        <v>-11.59</v>
      </c>
      <c r="Q649" t="str">
        <v>+10.67</v>
      </c>
      <c r="R649" t="str">
        <v>+1.91</v>
      </c>
      <c r="S649">
        <v>-19</v>
      </c>
      <c r="T649">
        <v>0</v>
      </c>
      <c r="U649">
        <f t="array" ref="U649:AD649">[1]!'5609.TW-ChipsField3,ChipsField1,ChipsField25,CashAndStockDividend,CashDividendYieldRate,ProfitFourSeason,ProfitSingle,CName,ExchangeIndustry,CompanyPos'</f>
        <v>16</v>
      </c>
      <c r="V649">
        <v>98</v>
      </c>
      <c r="W649" t="str">
        <v>2022/06/16</v>
      </c>
      <c r="X649" t="str">
        <v>10.20</v>
      </c>
      <c r="Y649">
        <v>13.65</v>
      </c>
      <c r="Z649" t="str">
        <v>19.68</v>
      </c>
      <c r="AA649" t="str">
        <v>4.54</v>
      </c>
      <c r="AB649" t="str">
        <v>中菲行</v>
      </c>
      <c r="AC649" t="str">
        <v>上櫃航運業</v>
      </c>
      <c r="AD649" t="str">
        <v>台灣空運及海運貨運承攬商</v>
      </c>
      <c r="AE649" t="str">
        <f t="array" ref="AE649:AH649">[1]!'5609.TW-CName,InvestorConferenceDate,DateofMeetingofShareHolders,TradingDate'</f>
        <v>中菲行</v>
      </c>
      <c r="AF649" t="str">
        <v>--</v>
      </c>
      <c r="AG649" t="str">
        <v>2022/06/08</v>
      </c>
      <c r="AH649" t="str">
        <v>2022/08/01</v>
      </c>
    </row>
    <row r="650" spans="1:34" x14ac:dyDescent="0.3">
      <c r="A650" t="str">
        <f t="array" ref="A650:J650">[1]!'1259.TW-ID,Name,MarketValue,Capital,NetIncomeGrowthRate,OperIncomeGrowthRate,FinancialStatementsTime,TFXRatio,MonthlyNetSalesYoY,RevenueMonth'</f>
        <v>1259</v>
      </c>
      <c r="B650" t="str">
        <v>安心</v>
      </c>
      <c r="C650" t="str">
        <v>23.1</v>
      </c>
      <c r="D650" t="str">
        <v>3.24</v>
      </c>
      <c r="E650" t="str">
        <v>-53.53</v>
      </c>
      <c r="F650" t="str">
        <v>-7.83</v>
      </c>
      <c r="G650" t="str">
        <v>2022/03</v>
      </c>
      <c r="H650" t="str">
        <v>0.04</v>
      </c>
      <c r="I650" t="str">
        <v>35.74</v>
      </c>
      <c r="J650" t="str">
        <v>2022/06</v>
      </c>
      <c r="K650" t="str">
        <f t="array" ref="K650:T650">[1]!'1259.TW-OperatingProfitRatio,Price,PriceChangeRatio,InOutRatioNumber,Value,YearReturn,MonthReturn,WeekReturn,FinanceBalanceDif,ChipsField2'</f>
        <v>1.18</v>
      </c>
      <c r="L650">
        <v>71.3</v>
      </c>
      <c r="M650">
        <v>-0.14000000000000001</v>
      </c>
      <c r="N650" t="str">
        <v>42.86%</v>
      </c>
      <c r="O650" t="str">
        <v>49.9萬</v>
      </c>
      <c r="P650" t="str">
        <v>+10.22</v>
      </c>
      <c r="Q650" t="str">
        <v>+5.63</v>
      </c>
      <c r="R650" t="str">
        <v>+1.28</v>
      </c>
      <c r="S650">
        <v>0</v>
      </c>
      <c r="T650">
        <v>0</v>
      </c>
      <c r="U650">
        <f t="array" ref="U650:AD650">[1]!'1259.TW-ChipsField3,ChipsField1,ChipsField25,CashAndStockDividend,CashDividendYieldRate,ProfitFourSeason,ProfitSingle,CName,ExchangeIndustry,CompanyPos'</f>
        <v>0</v>
      </c>
      <c r="V650">
        <v>-1</v>
      </c>
      <c r="W650" t="str">
        <v>2022/03/16</v>
      </c>
      <c r="X650" t="str">
        <v>2.30</v>
      </c>
      <c r="Y650">
        <v>3.23</v>
      </c>
      <c r="Z650" t="str">
        <v>2.84</v>
      </c>
      <c r="AA650" t="str">
        <v>0.41</v>
      </c>
      <c r="AB650" t="str">
        <v>安心</v>
      </c>
      <c r="AC650" t="str">
        <v>上櫃觀光</v>
      </c>
      <c r="AD650" t="str">
        <v>東元旗下，以摩斯為速食餐飲連鎖品牌</v>
      </c>
      <c r="AE650" t="str">
        <f t="array" ref="AE650:AH650">[1]!'1259.TW-CName,InvestorConferenceDate,DateofMeetingofShareHolders,TradingDate'</f>
        <v>安心</v>
      </c>
      <c r="AF650" t="str">
        <v>2021/12/30</v>
      </c>
      <c r="AG650" t="str">
        <v>2022/05/31</v>
      </c>
      <c r="AH650" t="str">
        <v>2022/08/01</v>
      </c>
    </row>
    <row r="651" spans="1:34" x14ac:dyDescent="0.3">
      <c r="A651" t="str">
        <f t="array" ref="A651:J651">[1]!'1268.TW-ID,Name,MarketValue,Capital,NetIncomeGrowthRate,OperIncomeGrowthRate,FinancialStatementsTime,TFXRatio,MonthlyNetSalesYoY,RevenueMonth'</f>
        <v>1268</v>
      </c>
      <c r="B651" t="str">
        <v>漢來美食</v>
      </c>
      <c r="C651" t="str">
        <v>45.7</v>
      </c>
      <c r="D651" t="str">
        <v>4.27</v>
      </c>
      <c r="E651" t="str">
        <v>-43.91</v>
      </c>
      <c r="F651" t="str">
        <v>-40.79</v>
      </c>
      <c r="G651" t="str">
        <v>2022/03</v>
      </c>
      <c r="H651" t="str">
        <v>33.14</v>
      </c>
      <c r="I651" t="str">
        <v>254.06</v>
      </c>
      <c r="J651" t="str">
        <v>2022/06</v>
      </c>
      <c r="K651" t="str">
        <f t="array" ref="K651:T651">[1]!'1268.TW-OperatingProfitRatio,Price,PriceChangeRatio,InOutRatioNumber,Value,YearReturn,MonthReturn,WeekReturn,FinanceBalanceDif,ChipsField2'</f>
        <v>5.21</v>
      </c>
      <c r="L651">
        <v>107</v>
      </c>
      <c r="M651">
        <v>0</v>
      </c>
      <c r="N651" t="str">
        <v>83.33%</v>
      </c>
      <c r="O651" t="str">
        <v>64.0萬</v>
      </c>
      <c r="P651" t="str">
        <v>-15.99</v>
      </c>
      <c r="Q651" t="str">
        <v>+3.88</v>
      </c>
      <c r="R651" t="str">
        <v>+0.47</v>
      </c>
      <c r="S651">
        <v>0</v>
      </c>
      <c r="T651">
        <v>0</v>
      </c>
      <c r="U651">
        <f t="array" ref="U651:AD651">[1]!'1268.TW-ChipsField3,ChipsField1,ChipsField25,CashAndStockDividend,CashDividendYieldRate,ProfitFourSeason,ProfitSingle,CName,ExchangeIndustry,CompanyPos'</f>
        <v>0</v>
      </c>
      <c r="V651">
        <v>0</v>
      </c>
      <c r="W651" t="str">
        <v>--</v>
      </c>
      <c r="X651" t="str">
        <v>3.00</v>
      </c>
      <c r="Y651">
        <v>2.8</v>
      </c>
      <c r="Z651" t="str">
        <v>1.09</v>
      </c>
      <c r="AA651" t="str">
        <v>1.01</v>
      </c>
      <c r="AB651" t="str">
        <v>漢來美食</v>
      </c>
      <c r="AC651" t="str">
        <v>上櫃觀光</v>
      </c>
      <c r="AD651" t="str">
        <v>創始於高雄，為南台灣餐飲龍頭</v>
      </c>
      <c r="AE651" t="str">
        <f t="array" ref="AE651:AH651">[1]!'1268.TW-CName,InvestorConferenceDate,DateofMeetingofShareHolders,TradingDate'</f>
        <v>漢來美食</v>
      </c>
      <c r="AF651" t="str">
        <v>--</v>
      </c>
      <c r="AG651" t="str">
        <v>2022/05/26</v>
      </c>
      <c r="AH651" t="str">
        <v>2022/08/01</v>
      </c>
    </row>
    <row r="652" spans="1:34" x14ac:dyDescent="0.3">
      <c r="A652" t="str">
        <f t="array" ref="A652:J652">[1]!'2718.TW-ID,Name,MarketValue,Capital,NetIncomeGrowthRate,OperIncomeGrowthRate,FinancialStatementsTime,TFXRatio,MonthlyNetSalesYoY,RevenueMonth'</f>
        <v>2718</v>
      </c>
      <c r="B652" t="str">
        <v>晶悅</v>
      </c>
      <c r="C652" t="str">
        <v>27.1</v>
      </c>
      <c r="D652" t="str">
        <v>8.46</v>
      </c>
      <c r="E652" t="str">
        <v>-51.25</v>
      </c>
      <c r="F652" t="str">
        <v>-36.66</v>
      </c>
      <c r="G652" t="str">
        <v>2022/03</v>
      </c>
      <c r="H652" t="str">
        <v>-50.80</v>
      </c>
      <c r="I652" t="str">
        <v>1919.25</v>
      </c>
      <c r="J652" t="str">
        <v>2022/06</v>
      </c>
      <c r="K652" t="str">
        <f t="array" ref="K652:T652">[1]!'2718.TW-OperatingProfitRatio,Price,PriceChangeRatio,InOutRatioNumber,Value,YearReturn,MonthReturn,WeekReturn,FinanceBalanceDif,ChipsField2'</f>
        <v>-43.85</v>
      </c>
      <c r="L652">
        <v>32</v>
      </c>
      <c r="M652">
        <v>0.31</v>
      </c>
      <c r="N652" t="str">
        <v>75.00%</v>
      </c>
      <c r="O652" t="str">
        <v>12.8萬</v>
      </c>
      <c r="P652" t="str">
        <v>+9.59</v>
      </c>
      <c r="Q652" t="str">
        <v>+6.67</v>
      </c>
      <c r="R652" t="str">
        <v>+4.75</v>
      </c>
      <c r="S652">
        <v>0</v>
      </c>
      <c r="T652">
        <v>0</v>
      </c>
      <c r="U652">
        <f t="array" ref="U652:AD652">[1]!'2718.TW-ChipsField3,ChipsField1,ChipsField25,CashAndStockDividend,CashDividendYieldRate,ProfitFourSeason,ProfitSingle,CName,ExchangeIndustry,CompanyPos'</f>
        <v>0</v>
      </c>
      <c r="V652">
        <v>0</v>
      </c>
      <c r="W652" t="str">
        <v>--</v>
      </c>
      <c r="X652" t="str">
        <v>0.00</v>
      </c>
      <c r="Y652">
        <v>0</v>
      </c>
      <c r="Z652" t="str">
        <v>-0.57</v>
      </c>
      <c r="AA652" t="str">
        <v>-0.12</v>
      </c>
      <c r="AB652" t="str">
        <v>晶悅</v>
      </c>
      <c r="AC652" t="str">
        <v>上櫃觀光</v>
      </c>
      <c r="AD652" t="str">
        <v>轉型為營建商</v>
      </c>
      <c r="AE652" t="str">
        <f t="array" ref="AE652:AH652">[1]!'2718.TW-CName,InvestorConferenceDate,DateofMeetingofShareHolders,TradingDate'</f>
        <v>晶悅</v>
      </c>
      <c r="AF652" t="str">
        <v>--</v>
      </c>
      <c r="AG652" t="str">
        <v>2022/05/20</v>
      </c>
      <c r="AH652" t="str">
        <v>2022/08/01</v>
      </c>
    </row>
    <row r="653" spans="1:34" x14ac:dyDescent="0.3">
      <c r="A653" t="str">
        <f t="array" ref="A653:J653">[1]!'2719.TW-ID,Name,MarketValue,Capital,NetIncomeGrowthRate,OperIncomeGrowthRate,FinancialStatementsTime,TFXRatio,MonthlyNetSalesYoY,RevenueMonth'</f>
        <v>2719</v>
      </c>
      <c r="B653" t="str">
        <v>燦星旅</v>
      </c>
      <c r="C653" t="str">
        <v>--</v>
      </c>
      <c r="D653" t="str">
        <v>1.87</v>
      </c>
      <c r="E653" t="str">
        <v>44.77</v>
      </c>
      <c r="F653" t="str">
        <v>37.42</v>
      </c>
      <c r="G653" t="str">
        <v>2022/03</v>
      </c>
      <c r="H653" t="str">
        <v>-8.71</v>
      </c>
      <c r="I653" t="str">
        <v>591.75</v>
      </c>
      <c r="J653" t="str">
        <v>2022/06</v>
      </c>
      <c r="K653" t="str">
        <f t="array" ref="K653:T653">[1]!'2719.TW-OperatingProfitRatio,Price,PriceChangeRatio,InOutRatioNumber,Value,YearReturn,MonthReturn,WeekReturn,FinanceBalanceDif,ChipsField2'</f>
        <v>-189.37</v>
      </c>
      <c r="L653">
        <v>23.25</v>
      </c>
      <c r="M653">
        <v>-8.64</v>
      </c>
      <c r="N653" t="str">
        <v>0.00%</v>
      </c>
      <c r="O653" t="str">
        <v>19.7萬</v>
      </c>
      <c r="P653" t="str">
        <v>-1.62</v>
      </c>
      <c r="Q653" t="str">
        <v>-5.26</v>
      </c>
      <c r="R653" t="str">
        <v>-8.65</v>
      </c>
      <c r="S653">
        <v>0</v>
      </c>
      <c r="T653">
        <v>0</v>
      </c>
      <c r="U653">
        <f t="array" ref="U653:AD653">[1]!'2719.TW-ChipsField3,ChipsField1,ChipsField25,CashAndStockDividend,CashDividendYieldRate,ProfitFourSeason,ProfitSingle,CName,ExchangeIndustry,CompanyPos'</f>
        <v>0</v>
      </c>
      <c r="V653">
        <v>0</v>
      </c>
      <c r="W653" t="str">
        <v>--</v>
      </c>
      <c r="X653" t="str">
        <v>0.00</v>
      </c>
      <c r="Y653">
        <v>0</v>
      </c>
      <c r="Z653" t="str">
        <v>-1.08</v>
      </c>
      <c r="AA653" t="str">
        <v>-0.24</v>
      </c>
      <c r="AB653" t="str">
        <v>燦星旅</v>
      </c>
      <c r="AC653" t="str">
        <v>上櫃觀光</v>
      </c>
      <c r="AD653" t="str">
        <v>燦坤旗下旅遊公司</v>
      </c>
      <c r="AE653" t="str">
        <f t="array" ref="AE653:AH653">[1]!'2719.TW-CName,InvestorConferenceDate,DateofMeetingofShareHolders,TradingDate'</f>
        <v>燦星旅</v>
      </c>
      <c r="AF653" t="str">
        <v>--</v>
      </c>
      <c r="AG653" t="str">
        <v>2022/06/28</v>
      </c>
      <c r="AH653" t="str">
        <v>2022/08/01</v>
      </c>
    </row>
    <row r="654" spans="1:34" x14ac:dyDescent="0.3">
      <c r="A654" t="str">
        <f t="array" ref="A654:J654">[1]!'2724.TW-ID,Name,MarketValue,Capital,NetIncomeGrowthRate,OperIncomeGrowthRate,FinancialStatementsTime,TFXRatio,MonthlyNetSalesYoY,RevenueMonth'</f>
        <v>2724</v>
      </c>
      <c r="B654" t="str">
        <v>富驛-KY</v>
      </c>
      <c r="C654" t="str">
        <v>8.9</v>
      </c>
      <c r="D654" t="str">
        <v>5.97</v>
      </c>
      <c r="E654" t="str">
        <v>-300.96</v>
      </c>
      <c r="F654" t="str">
        <v>-298.67</v>
      </c>
      <c r="G654" t="str">
        <v>2022/03</v>
      </c>
      <c r="H654" t="str">
        <v>-11.43</v>
      </c>
      <c r="I654" t="str">
        <v>-44.83</v>
      </c>
      <c r="J654" t="str">
        <v>2022/06</v>
      </c>
      <c r="K654" t="str">
        <f t="array" ref="K654:T654">[1]!'2724.TW-OperatingProfitRatio,Price,PriceChangeRatio,InOutRatioNumber,Value,YearReturn,MonthReturn,WeekReturn,FinanceBalanceDif,ChipsField2'</f>
        <v>-86.09</v>
      </c>
      <c r="L654" t="str">
        <v>--</v>
      </c>
      <c r="M654" t="str">
        <v>--</v>
      </c>
      <c r="N654" t="str">
        <v>--</v>
      </c>
      <c r="O654" t="str">
        <v>--</v>
      </c>
      <c r="P654" t="str">
        <v>+32.98</v>
      </c>
      <c r="Q654" t="str">
        <v>-2.28</v>
      </c>
      <c r="R654" t="str">
        <v>+2.39</v>
      </c>
      <c r="S654">
        <v>0</v>
      </c>
      <c r="T654">
        <v>0</v>
      </c>
      <c r="U654">
        <f t="array" ref="U654:AD654">[1]!'2724.TW-ChipsField3,ChipsField1,ChipsField25,CashAndStockDividend,CashDividendYieldRate,ProfitFourSeason,ProfitSingle,CName,ExchangeIndustry,CompanyPos'</f>
        <v>0</v>
      </c>
      <c r="V654">
        <v>0</v>
      </c>
      <c r="W654" t="str">
        <v>--</v>
      </c>
      <c r="X654" t="str">
        <v>0.00</v>
      </c>
      <c r="Y654">
        <v>0</v>
      </c>
      <c r="Z654" t="str">
        <v>-0.89</v>
      </c>
      <c r="AA654" t="str">
        <v>-0.30</v>
      </c>
      <c r="AB654" t="str">
        <v>富驛-KY</v>
      </c>
      <c r="AC654" t="str">
        <v>上櫃觀光</v>
      </c>
      <c r="AD654" t="str">
        <v>大陸連鎖時尚商務酒店第一品牌</v>
      </c>
      <c r="AE654" t="str">
        <f t="array" ref="AE654:AH654">[1]!'2724.TW-CName,InvestorConferenceDate,DateofMeetingofShareHolders,TradingDate'</f>
        <v>富驛-KY</v>
      </c>
      <c r="AF654" t="str">
        <v>2021/11/29</v>
      </c>
      <c r="AG654" t="str">
        <v>2022/06/24</v>
      </c>
      <c r="AH654" t="str">
        <v>2022/08/01</v>
      </c>
    </row>
    <row r="655" spans="1:34" x14ac:dyDescent="0.3">
      <c r="A655" t="str">
        <f t="array" ref="A655:J655">[1]!'2726.TW-ID,Name,MarketValue,Capital,NetIncomeGrowthRate,OperIncomeGrowthRate,FinancialStatementsTime,TFXRatio,MonthlyNetSalesYoY,RevenueMonth'</f>
        <v>2726</v>
      </c>
      <c r="B655" t="str">
        <v>雅茗-KY</v>
      </c>
      <c r="C655" t="str">
        <v>9.4</v>
      </c>
      <c r="D655" t="str">
        <v>3.58</v>
      </c>
      <c r="E655" t="str">
        <v>-98.65</v>
      </c>
      <c r="F655" t="str">
        <v>-251.03</v>
      </c>
      <c r="G655" t="str">
        <v>2022/03</v>
      </c>
      <c r="H655" t="str">
        <v>29.18</v>
      </c>
      <c r="I655" t="str">
        <v>-47.75</v>
      </c>
      <c r="J655" t="str">
        <v>2022/06</v>
      </c>
      <c r="K655" t="str">
        <f t="array" ref="K655:T655">[1]!'2726.TW-OperatingProfitRatio,Price,PriceChangeRatio,InOutRatioNumber,Value,YearReturn,MonthReturn,WeekReturn,FinanceBalanceDif,ChipsField2'</f>
        <v>-16.29</v>
      </c>
      <c r="L655">
        <v>26.15</v>
      </c>
      <c r="M655">
        <v>0.19</v>
      </c>
      <c r="N655" t="str">
        <v>25.93%</v>
      </c>
      <c r="O655" t="str">
        <v>142萬</v>
      </c>
      <c r="P655" t="str">
        <v>-60.91</v>
      </c>
      <c r="Q655" t="str">
        <v>+1.16</v>
      </c>
      <c r="R655" t="str">
        <v>+8.96</v>
      </c>
      <c r="S655">
        <v>-4</v>
      </c>
      <c r="T655">
        <v>0</v>
      </c>
      <c r="U655">
        <f t="array" ref="U655:AD655">[1]!'2726.TW-ChipsField3,ChipsField1,ChipsField25,CashAndStockDividend,CashDividendYieldRate,ProfitFourSeason,ProfitSingle,CName,ExchangeIndustry,CompanyPos'</f>
        <v>0</v>
      </c>
      <c r="V655">
        <v>-4</v>
      </c>
      <c r="W655" t="str">
        <v>--</v>
      </c>
      <c r="X655" t="str">
        <v>0.00</v>
      </c>
      <c r="Y655">
        <v>0</v>
      </c>
      <c r="Z655" t="str">
        <v>-3.18</v>
      </c>
      <c r="AA655" t="str">
        <v>0.04</v>
      </c>
      <c r="AB655" t="str">
        <v>雅茗-KY</v>
      </c>
      <c r="AC655" t="str">
        <v>上櫃觀光</v>
      </c>
      <c r="AD655" t="str">
        <v>在大陸以快樂檸檬品牌知名的台商茶飲料業者</v>
      </c>
      <c r="AE655" t="str">
        <f t="array" ref="AE655:AH655">[1]!'2726.TW-CName,InvestorConferenceDate,DateofMeetingofShareHolders,TradingDate'</f>
        <v>雅茗-KY</v>
      </c>
      <c r="AF655" t="str">
        <v>2021/11/22</v>
      </c>
      <c r="AG655" t="str">
        <v>2022/06/15</v>
      </c>
      <c r="AH655" t="str">
        <v>2022/08/01</v>
      </c>
    </row>
    <row r="656" spans="1:34" x14ac:dyDescent="0.3">
      <c r="A656" t="str">
        <f t="array" ref="A656:J656">[1]!'2729.TW-ID,Name,MarketValue,Capital,NetIncomeGrowthRate,OperIncomeGrowthRate,FinancialStatementsTime,TFXRatio,MonthlyNetSalesYoY,RevenueMonth'</f>
        <v>2729</v>
      </c>
      <c r="B656" t="str">
        <v>瓦城</v>
      </c>
      <c r="C656" t="str">
        <v>54.4</v>
      </c>
      <c r="D656" t="str">
        <v>2.33</v>
      </c>
      <c r="E656" t="str">
        <v>-46.98</v>
      </c>
      <c r="F656" t="str">
        <v>-45.97</v>
      </c>
      <c r="G656" t="str">
        <v>2022/03</v>
      </c>
      <c r="H656" t="str">
        <v>19.41</v>
      </c>
      <c r="I656" t="str">
        <v>41.61</v>
      </c>
      <c r="J656" t="str">
        <v>2022/06</v>
      </c>
      <c r="K656" t="str">
        <f t="array" ref="K656:T656">[1]!'2729.TW-OperatingProfitRatio,Price,PriceChangeRatio,InOutRatioNumber,Value,YearReturn,MonthReturn,WeekReturn,FinanceBalanceDif,ChipsField2'</f>
        <v>7.25</v>
      </c>
      <c r="L656">
        <v>234</v>
      </c>
      <c r="M656">
        <v>1.74</v>
      </c>
      <c r="N656" t="str">
        <v>44.93%</v>
      </c>
      <c r="O656" t="str">
        <v>1609萬</v>
      </c>
      <c r="P656" t="str">
        <v>+0.76</v>
      </c>
      <c r="Q656" t="str">
        <v>+8.58</v>
      </c>
      <c r="R656" t="str">
        <v>+6.12</v>
      </c>
      <c r="S656">
        <v>0</v>
      </c>
      <c r="T656">
        <v>0</v>
      </c>
      <c r="U656">
        <f t="array" ref="U656:AD656">[1]!'2729.TW-ChipsField3,ChipsField1,ChipsField25,CashAndStockDividend,CashDividendYieldRate,ProfitFourSeason,ProfitSingle,CName,ExchangeIndustry,CompanyPos'</f>
        <v>0</v>
      </c>
      <c r="V656">
        <v>1</v>
      </c>
      <c r="W656" t="str">
        <v>2022/08/18</v>
      </c>
      <c r="X656" t="str">
        <v>7.15</v>
      </c>
      <c r="Y656">
        <v>3.06</v>
      </c>
      <c r="Z656" t="str">
        <v>4.48</v>
      </c>
      <c r="AA656" t="str">
        <v>2.89</v>
      </c>
      <c r="AB656" t="str">
        <v>瓦城</v>
      </c>
      <c r="AC656" t="str">
        <v>上櫃觀光</v>
      </c>
      <c r="AD656" t="str">
        <v>泰式料理連鎖餐廳</v>
      </c>
      <c r="AE656" t="str">
        <f t="array" ref="AE656:AH656">[1]!'2729.TW-CName,InvestorConferenceDate,DateofMeetingofShareHolders,TradingDate'</f>
        <v>瓦城</v>
      </c>
      <c r="AF656" t="str">
        <v>2022/04/19</v>
      </c>
      <c r="AG656" t="str">
        <v>2022/06/27</v>
      </c>
      <c r="AH656" t="str">
        <v>2022/08/01</v>
      </c>
    </row>
    <row r="657" spans="1:34" x14ac:dyDescent="0.3">
      <c r="A657" t="str">
        <f t="array" ref="A657:J657">[1]!'2732.TW-ID,Name,MarketValue,Capital,NetIncomeGrowthRate,OperIncomeGrowthRate,FinancialStatementsTime,TFXRatio,MonthlyNetSalesYoY,RevenueMonth'</f>
        <v>2732</v>
      </c>
      <c r="B657" t="str">
        <v>六角</v>
      </c>
      <c r="C657" t="str">
        <v>46.2</v>
      </c>
      <c r="D657" t="str">
        <v>4.60</v>
      </c>
      <c r="E657" t="str">
        <v>28.63</v>
      </c>
      <c r="F657" t="str">
        <v>-8.94</v>
      </c>
      <c r="G657" t="str">
        <v>2022/03</v>
      </c>
      <c r="H657" t="str">
        <v>22.22</v>
      </c>
      <c r="I657" t="str">
        <v>27.15</v>
      </c>
      <c r="J657" t="str">
        <v>2022/06</v>
      </c>
      <c r="K657" t="str">
        <f t="array" ref="K657:T657">[1]!'2732.TW-OperatingProfitRatio,Price,PriceChangeRatio,InOutRatioNumber,Value,YearReturn,MonthReturn,WeekReturn,FinanceBalanceDif,ChipsField2'</f>
        <v>4.00</v>
      </c>
      <c r="L657">
        <v>100.5</v>
      </c>
      <c r="M657">
        <v>0</v>
      </c>
      <c r="N657" t="str">
        <v>53.12%</v>
      </c>
      <c r="O657" t="str">
        <v>324萬</v>
      </c>
      <c r="P657" t="str">
        <v>-7.91</v>
      </c>
      <c r="Q657" t="str">
        <v>+9.96</v>
      </c>
      <c r="R657" t="str">
        <v>-0.50</v>
      </c>
      <c r="S657">
        <v>8</v>
      </c>
      <c r="T657">
        <v>0</v>
      </c>
      <c r="U657">
        <f t="array" ref="U657:AD657">[1]!'2732.TW-ChipsField3,ChipsField1,ChipsField25,CashAndStockDividend,CashDividendYieldRate,ProfitFourSeason,ProfitSingle,CName,ExchangeIndustry,CompanyPos'</f>
        <v>0</v>
      </c>
      <c r="V657">
        <v>8</v>
      </c>
      <c r="W657" t="str">
        <v>2022/04/07</v>
      </c>
      <c r="X657" t="str">
        <v>2.34</v>
      </c>
      <c r="Y657">
        <v>2.33</v>
      </c>
      <c r="Z657" t="str">
        <v>3.36</v>
      </c>
      <c r="AA657" t="str">
        <v>0.85</v>
      </c>
      <c r="AB657" t="str">
        <v>六角</v>
      </c>
      <c r="AC657" t="str">
        <v>上櫃觀光</v>
      </c>
      <c r="AD657" t="str">
        <v>在全球80個城市擁有門市據點的外帶式茶飲與甜品供應商</v>
      </c>
      <c r="AE657" t="str">
        <f t="array" ref="AE657:AH657">[1]!'2732.TW-CName,InvestorConferenceDate,DateofMeetingofShareHolders,TradingDate'</f>
        <v>六角</v>
      </c>
      <c r="AF657" t="str">
        <v>2021/04/14</v>
      </c>
      <c r="AG657" t="str">
        <v>2022/06/09</v>
      </c>
      <c r="AH657" t="str">
        <v>2022/08/01</v>
      </c>
    </row>
    <row r="658" spans="1:34" x14ac:dyDescent="0.3">
      <c r="A658" t="str">
        <f t="array" ref="A658:J658">[1]!'2734.TW-ID,Name,MarketValue,Capital,NetIncomeGrowthRate,OperIncomeGrowthRate,FinancialStatementsTime,TFXRatio,MonthlyNetSalesYoY,RevenueMonth'</f>
        <v>2734</v>
      </c>
      <c r="B658" t="str">
        <v>易飛網</v>
      </c>
      <c r="C658" t="str">
        <v>13.3</v>
      </c>
      <c r="D658" t="str">
        <v>3.73</v>
      </c>
      <c r="E658" t="str">
        <v>-41.03</v>
      </c>
      <c r="F658" t="str">
        <v>1.50</v>
      </c>
      <c r="G658" t="str">
        <v>2022/03</v>
      </c>
      <c r="H658" t="str">
        <v>19.12</v>
      </c>
      <c r="I658" t="str">
        <v>193.54</v>
      </c>
      <c r="J658" t="str">
        <v>2022/06</v>
      </c>
      <c r="K658" t="str">
        <f t="array" ref="K658:T658">[1]!'2734.TW-OperatingProfitRatio,Price,PriceChangeRatio,InOutRatioNumber,Value,YearReturn,MonthReturn,WeekReturn,FinanceBalanceDif,ChipsField2'</f>
        <v>-54.03</v>
      </c>
      <c r="L658">
        <v>35.799999999999997</v>
      </c>
      <c r="M658">
        <v>-1.51</v>
      </c>
      <c r="N658" t="str">
        <v>25.91%</v>
      </c>
      <c r="O658" t="str">
        <v>991萬</v>
      </c>
      <c r="P658" t="str">
        <v>+36.38</v>
      </c>
      <c r="Q658" t="str">
        <v>+5.14</v>
      </c>
      <c r="R658" t="str">
        <v>-4.53</v>
      </c>
      <c r="S658">
        <v>0</v>
      </c>
      <c r="T658">
        <v>0</v>
      </c>
      <c r="U658">
        <f t="array" ref="U658:AD658">[1]!'2734.TW-ChipsField3,ChipsField1,ChipsField25,CashAndStockDividend,CashDividendYieldRate,ProfitFourSeason,ProfitSingle,CName,ExchangeIndustry,CompanyPos'</f>
        <v>0</v>
      </c>
      <c r="V658">
        <v>-9</v>
      </c>
      <c r="W658" t="str">
        <v>--</v>
      </c>
      <c r="X658" t="str">
        <v>0.00</v>
      </c>
      <c r="Y658">
        <v>0</v>
      </c>
      <c r="Z658" t="str">
        <v>-2.41</v>
      </c>
      <c r="AA658" t="str">
        <v>-0.55</v>
      </c>
      <c r="AB658" t="str">
        <v>易飛網</v>
      </c>
      <c r="AC658" t="str">
        <v>上櫃觀光</v>
      </c>
      <c r="AD658" t="str">
        <v>聚焦於線上服務的旅遊業者</v>
      </c>
      <c r="AE658" t="str">
        <f t="array" ref="AE658:AH658">[1]!'2734.TW-CName,InvestorConferenceDate,DateofMeetingofShareHolders,TradingDate'</f>
        <v>易飛網</v>
      </c>
      <c r="AF658" t="str">
        <v>--</v>
      </c>
      <c r="AG658" t="str">
        <v>2022/06/29</v>
      </c>
      <c r="AH658" t="str">
        <v>2022/08/01</v>
      </c>
    </row>
    <row r="659" spans="1:34" x14ac:dyDescent="0.3">
      <c r="A659" t="str">
        <f t="array" ref="A659:J659">[1]!'2736.TW-ID,Name,MarketValue,Capital,NetIncomeGrowthRate,OperIncomeGrowthRate,FinancialStatementsTime,TFXRatio,MonthlyNetSalesYoY,RevenueMonth'</f>
        <v>2736</v>
      </c>
      <c r="B659" t="str">
        <v>富野</v>
      </c>
      <c r="C659" t="str">
        <v>13.4</v>
      </c>
      <c r="D659" t="str">
        <v>4.90</v>
      </c>
      <c r="E659" t="str">
        <v>4.86</v>
      </c>
      <c r="F659" t="str">
        <v>11.13</v>
      </c>
      <c r="G659" t="str">
        <v>2022/03</v>
      </c>
      <c r="H659" t="str">
        <v>96.02</v>
      </c>
      <c r="I659" t="str">
        <v>572.19</v>
      </c>
      <c r="J659" t="str">
        <v>2022/06</v>
      </c>
      <c r="K659" t="str">
        <f t="array" ref="K659:T659">[1]!'2736.TW-OperatingProfitRatio,Price,PriceChangeRatio,InOutRatioNumber,Value,YearReturn,MonthReturn,WeekReturn,FinanceBalanceDif,ChipsField2'</f>
        <v>18.54</v>
      </c>
      <c r="L659">
        <v>27.25</v>
      </c>
      <c r="M659">
        <v>0</v>
      </c>
      <c r="N659" t="str">
        <v>47.37%</v>
      </c>
      <c r="O659" t="str">
        <v>7514萬</v>
      </c>
      <c r="P659" t="str">
        <v>+57.29</v>
      </c>
      <c r="Q659" t="str">
        <v>+10.10</v>
      </c>
      <c r="R659" t="str">
        <v>+0.93</v>
      </c>
      <c r="S659">
        <v>-213</v>
      </c>
      <c r="T659">
        <v>0</v>
      </c>
      <c r="U659">
        <f t="array" ref="U659:AD659">[1]!'2736.TW-ChipsField3,ChipsField1,ChipsField25,CashAndStockDividend,CashDividendYieldRate,ProfitFourSeason,ProfitSingle,CName,ExchangeIndustry,CompanyPos'</f>
        <v>0</v>
      </c>
      <c r="V659">
        <v>618</v>
      </c>
      <c r="W659" t="str">
        <v>--</v>
      </c>
      <c r="X659" t="str">
        <v>0.00</v>
      </c>
      <c r="Y659">
        <v>0</v>
      </c>
      <c r="Z659" t="str">
        <v>-0.67</v>
      </c>
      <c r="AA659" t="str">
        <v>0.48</v>
      </c>
      <c r="AB659" t="str">
        <v>富野</v>
      </c>
      <c r="AC659" t="str">
        <v>上櫃觀光</v>
      </c>
      <c r="AD659" t="str">
        <v>台東縣知本溫泉區的知名溫泉飯店</v>
      </c>
      <c r="AE659" t="str">
        <f t="array" ref="AE659:AH659">[1]!'2736.TW-CName,InvestorConferenceDate,DateofMeetingofShareHolders,TradingDate'</f>
        <v>富野</v>
      </c>
      <c r="AF659" t="str">
        <v>--</v>
      </c>
      <c r="AG659" t="str">
        <v>2022/05/23</v>
      </c>
      <c r="AH659" t="str">
        <v>2022/08/01</v>
      </c>
    </row>
    <row r="660" spans="1:34" x14ac:dyDescent="0.3">
      <c r="A660" t="str">
        <f t="array" ref="A660:J660">[1]!'2740.TW-ID,Name,MarketValue,Capital,NetIncomeGrowthRate,OperIncomeGrowthRate,FinancialStatementsTime,TFXRatio,MonthlyNetSalesYoY,RevenueMonth'</f>
        <v>2740</v>
      </c>
      <c r="B660" t="str">
        <v>天蔥</v>
      </c>
      <c r="C660" t="str">
        <v>7.6</v>
      </c>
      <c r="D660" t="str">
        <v>2.02</v>
      </c>
      <c r="E660" t="str">
        <v>-0.42</v>
      </c>
      <c r="F660" t="str">
        <v>-2.32</v>
      </c>
      <c r="G660" t="str">
        <v>2022/03</v>
      </c>
      <c r="H660" t="str">
        <v>28.09</v>
      </c>
      <c r="I660" t="str">
        <v>49.78</v>
      </c>
      <c r="J660" t="str">
        <v>2022/06</v>
      </c>
      <c r="K660" t="str">
        <f t="array" ref="K660:T660">[1]!'2740.TW-OperatingProfitRatio,Price,PriceChangeRatio,InOutRatioNumber,Value,YearReturn,MonthReturn,WeekReturn,FinanceBalanceDif,ChipsField2'</f>
        <v>-32.90</v>
      </c>
      <c r="L660" t="str">
        <v>--</v>
      </c>
      <c r="M660" t="str">
        <v>--</v>
      </c>
      <c r="N660" t="str">
        <v>--</v>
      </c>
      <c r="O660" t="str">
        <v>--</v>
      </c>
      <c r="P660" t="str">
        <v>+67.41</v>
      </c>
      <c r="Q660" t="str">
        <v>+22.95</v>
      </c>
      <c r="R660" t="str">
        <v>+4.17</v>
      </c>
      <c r="S660">
        <v>0</v>
      </c>
      <c r="T660">
        <v>0</v>
      </c>
      <c r="U660">
        <f t="array" ref="U660:AD660">[1]!'2740.TW-ChipsField3,ChipsField1,ChipsField25,CashAndStockDividend,CashDividendYieldRate,ProfitFourSeason,ProfitSingle,CName,ExchangeIndustry,CompanyPos'</f>
        <v>0</v>
      </c>
      <c r="V660">
        <v>0</v>
      </c>
      <c r="W660" t="str">
        <v>--</v>
      </c>
      <c r="X660" t="str">
        <v>0.00</v>
      </c>
      <c r="Y660">
        <v>0</v>
      </c>
      <c r="Z660" t="str">
        <v>-2.65</v>
      </c>
      <c r="AA660" t="str">
        <v>-0.65</v>
      </c>
      <c r="AB660" t="str">
        <v>天蔥</v>
      </c>
      <c r="AC660" t="str">
        <v>上櫃觀光</v>
      </c>
      <c r="AD660" t="str">
        <v>創始於台北天母地區的西式牛排連鎖餐廳</v>
      </c>
      <c r="AE660" t="str">
        <f t="array" ref="AE660:AH660">[1]!'2740.TW-CName,InvestorConferenceDate,DateofMeetingofShareHolders,TradingDate'</f>
        <v>天蔥</v>
      </c>
      <c r="AF660" t="str">
        <v>--</v>
      </c>
      <c r="AG660" t="str">
        <v>2022/07/28</v>
      </c>
      <c r="AH660" t="str">
        <v>2022/08/01</v>
      </c>
    </row>
    <row r="661" spans="1:34" x14ac:dyDescent="0.3">
      <c r="A661" t="str">
        <f t="array" ref="A661:J661">[1]!'2743.TW-ID,Name,MarketValue,Capital,NetIncomeGrowthRate,OperIncomeGrowthRate,FinancialStatementsTime,TFXRatio,MonthlyNetSalesYoY,RevenueMonth'</f>
        <v>2743</v>
      </c>
      <c r="B661" t="str">
        <v>山富</v>
      </c>
      <c r="C661" t="str">
        <v>19.9</v>
      </c>
      <c r="D661" t="str">
        <v>3.20</v>
      </c>
      <c r="E661" t="str">
        <v>-38.78</v>
      </c>
      <c r="F661" t="str">
        <v>28.60</v>
      </c>
      <c r="G661" t="str">
        <v>2022/03</v>
      </c>
      <c r="H661" t="str">
        <v>-13.78</v>
      </c>
      <c r="I661" t="str">
        <v>60.07</v>
      </c>
      <c r="J661" t="str">
        <v>2022/06</v>
      </c>
      <c r="K661" t="str">
        <f t="array" ref="K661:T661">[1]!'2743.TW-OperatingProfitRatio,Price,PriceChangeRatio,InOutRatioNumber,Value,YearReturn,MonthReturn,WeekReturn,FinanceBalanceDif,ChipsField2'</f>
        <v>-33.21</v>
      </c>
      <c r="L661">
        <v>62.1</v>
      </c>
      <c r="M661">
        <v>-2.66</v>
      </c>
      <c r="N661" t="str">
        <v>39.41%</v>
      </c>
      <c r="O661" t="str">
        <v>8472萬</v>
      </c>
      <c r="P661" t="str">
        <v>+168.25</v>
      </c>
      <c r="Q661" t="str">
        <v>+6.15</v>
      </c>
      <c r="R661" t="str">
        <v>+0.98</v>
      </c>
      <c r="S661">
        <v>-132</v>
      </c>
      <c r="T661">
        <v>0</v>
      </c>
      <c r="U661">
        <f t="array" ref="U661:AD661">[1]!'2743.TW-ChipsField3,ChipsField1,ChipsField25,CashAndStockDividend,CashDividendYieldRate,ProfitFourSeason,ProfitSingle,CName,ExchangeIndustry,CompanyPos'</f>
        <v>0</v>
      </c>
      <c r="V661">
        <v>302</v>
      </c>
      <c r="W661" t="str">
        <v>--</v>
      </c>
      <c r="X661" t="str">
        <v>0.00</v>
      </c>
      <c r="Y661">
        <v>0</v>
      </c>
      <c r="Z661" t="str">
        <v>-1.83</v>
      </c>
      <c r="AA661" t="str">
        <v>-0.67</v>
      </c>
      <c r="AB661" t="str">
        <v>山富</v>
      </c>
      <c r="AC661" t="str">
        <v>上櫃觀光</v>
      </c>
      <c r="AD661" t="str">
        <v>年出團達12000團以上之知名旅行社</v>
      </c>
      <c r="AE661" t="str">
        <f t="array" ref="AE661:AH661">[1]!'2743.TW-CName,InvestorConferenceDate,DateofMeetingofShareHolders,TradingDate'</f>
        <v>山富</v>
      </c>
      <c r="AF661" t="str">
        <v>--</v>
      </c>
      <c r="AG661" t="str">
        <v>2022/06/08</v>
      </c>
      <c r="AH661" t="str">
        <v>2022/08/01</v>
      </c>
    </row>
    <row r="662" spans="1:34" x14ac:dyDescent="0.3">
      <c r="A662" t="str">
        <f t="array" ref="A662:J662">[1]!'2745.TW-ID,Name,MarketValue,Capital,NetIncomeGrowthRate,OperIncomeGrowthRate,FinancialStatementsTime,TFXRatio,MonthlyNetSalesYoY,RevenueMonth'</f>
        <v>2745</v>
      </c>
      <c r="B662" t="str">
        <v>五福</v>
      </c>
      <c r="C662" t="str">
        <v>12.2</v>
      </c>
      <c r="D662" t="str">
        <v>2.93</v>
      </c>
      <c r="E662" t="str">
        <v>51.72</v>
      </c>
      <c r="F662" t="str">
        <v>37.03</v>
      </c>
      <c r="G662" t="str">
        <v>2022/03</v>
      </c>
      <c r="H662" t="str">
        <v>6.23</v>
      </c>
      <c r="I662" t="str">
        <v>410.42</v>
      </c>
      <c r="J662" t="str">
        <v>2022/06</v>
      </c>
      <c r="K662" t="str">
        <f t="array" ref="K662:T662">[1]!'2745.TW-OperatingProfitRatio,Price,PriceChangeRatio,InOutRatioNumber,Value,YearReturn,MonthReturn,WeekReturn,FinanceBalanceDif,ChipsField2'</f>
        <v>-97.97</v>
      </c>
      <c r="L662">
        <v>41.75</v>
      </c>
      <c r="M662">
        <v>-3.36</v>
      </c>
      <c r="N662" t="str">
        <v>29.47%</v>
      </c>
      <c r="O662" t="str">
        <v>882萬</v>
      </c>
      <c r="P662" t="str">
        <v>+70.06</v>
      </c>
      <c r="Q662" t="str">
        <v>+3.09</v>
      </c>
      <c r="R662" t="str">
        <v>-5.11</v>
      </c>
      <c r="S662">
        <v>0</v>
      </c>
      <c r="T662">
        <v>0</v>
      </c>
      <c r="U662">
        <f t="array" ref="U662:AD662">[1]!'2745.TW-ChipsField3,ChipsField1,ChipsField25,CashAndStockDividend,CashDividendYieldRate,ProfitFourSeason,ProfitSingle,CName,ExchangeIndustry,CompanyPos'</f>
        <v>0</v>
      </c>
      <c r="V662">
        <v>-18</v>
      </c>
      <c r="W662" t="str">
        <v>--</v>
      </c>
      <c r="X662" t="str">
        <v>0.00</v>
      </c>
      <c r="Y662">
        <v>0</v>
      </c>
      <c r="Z662" t="str">
        <v>-3.50</v>
      </c>
      <c r="AA662" t="str">
        <v>-0.85</v>
      </c>
      <c r="AB662" t="str">
        <v>五福</v>
      </c>
      <c r="AC662" t="str">
        <v>上櫃觀光</v>
      </c>
      <c r="AD662" t="str">
        <v>所在地源自於高雄的國內前五大旅行社</v>
      </c>
      <c r="AE662" t="str">
        <f t="array" ref="AE662:AH662">[1]!'2745.TW-CName,InvestorConferenceDate,DateofMeetingofShareHolders,TradingDate'</f>
        <v>五福</v>
      </c>
      <c r="AF662" t="str">
        <v>--</v>
      </c>
      <c r="AG662" t="str">
        <v>2022/06/27</v>
      </c>
      <c r="AH662" t="str">
        <v>2022/08/01</v>
      </c>
    </row>
    <row r="663" spans="1:34" x14ac:dyDescent="0.3">
      <c r="A663" t="str">
        <f t="array" ref="A663:J663">[1]!'2752.TW-ID,Name,MarketValue,Capital,NetIncomeGrowthRate,OperIncomeGrowthRate,FinancialStatementsTime,TFXRatio,MonthlyNetSalesYoY,RevenueMonth'</f>
        <v>2752</v>
      </c>
      <c r="B663" t="str">
        <v>豆府</v>
      </c>
      <c r="C663" t="str">
        <v>34.8</v>
      </c>
      <c r="D663" t="str">
        <v>2.30</v>
      </c>
      <c r="E663" t="str">
        <v>2.08</v>
      </c>
      <c r="F663" t="str">
        <v>2.61</v>
      </c>
      <c r="G663" t="str">
        <v>2022/03</v>
      </c>
      <c r="H663" t="str">
        <v>28.02</v>
      </c>
      <c r="I663" t="str">
        <v>199.81</v>
      </c>
      <c r="J663" t="str">
        <v>2022/06</v>
      </c>
      <c r="K663" t="str">
        <f t="array" ref="K663:T663">[1]!'2752.TW-OperatingProfitRatio,Price,PriceChangeRatio,InOutRatioNumber,Value,YearReturn,MonthReturn,WeekReturn,FinanceBalanceDif,ChipsField2'</f>
        <v>13.70</v>
      </c>
      <c r="L663">
        <v>151</v>
      </c>
      <c r="M663">
        <v>0.67</v>
      </c>
      <c r="N663" t="str">
        <v>42.86%</v>
      </c>
      <c r="O663" t="str">
        <v>211萬</v>
      </c>
      <c r="P663" t="str">
        <v>+0.54</v>
      </c>
      <c r="Q663" t="str">
        <v>+5.96</v>
      </c>
      <c r="R663" t="str">
        <v>+3.78</v>
      </c>
      <c r="S663">
        <v>0</v>
      </c>
      <c r="T663">
        <v>0</v>
      </c>
      <c r="U663">
        <f t="array" ref="U663:AD663">[1]!'2752.TW-ChipsField3,ChipsField1,ChipsField25,CashAndStockDividend,CashDividendYieldRate,ProfitFourSeason,ProfitSingle,CName,ExchangeIndustry,CompanyPos'</f>
        <v>0</v>
      </c>
      <c r="V663">
        <v>0</v>
      </c>
      <c r="W663" t="str">
        <v>2022/03/25</v>
      </c>
      <c r="X663" t="str">
        <v>5.70</v>
      </c>
      <c r="Y663">
        <v>3.77</v>
      </c>
      <c r="Z663" t="str">
        <v>6.75</v>
      </c>
      <c r="AA663" t="str">
        <v>2.69</v>
      </c>
      <c r="AB663" t="str">
        <v>豆府</v>
      </c>
      <c r="AC663" t="str">
        <v>上櫃觀光</v>
      </c>
      <c r="AD663" t="str">
        <v>台灣規模最大韓式連鎖餐廳集團</v>
      </c>
      <c r="AE663" t="str">
        <f t="array" ref="AE663:AH663">[1]!'2752.TW-CName,InvestorConferenceDate,DateofMeetingofShareHolders,TradingDate'</f>
        <v>豆府</v>
      </c>
      <c r="AF663" t="str">
        <v>--</v>
      </c>
      <c r="AG663" t="str">
        <v>2022/05/27</v>
      </c>
      <c r="AH663" t="str">
        <v>2022/08/01</v>
      </c>
    </row>
    <row r="664" spans="1:34" x14ac:dyDescent="0.3">
      <c r="A664" t="str">
        <f t="array" ref="A664:J664">[1]!'2754.TW-ID,Name,MarketValue,Capital,NetIncomeGrowthRate,OperIncomeGrowthRate,FinancialStatementsTime,TFXRatio,MonthlyNetSalesYoY,RevenueMonth'</f>
        <v>2754</v>
      </c>
      <c r="B664" t="str">
        <v>亞洲藏壽司</v>
      </c>
      <c r="C664" t="str">
        <v>35.5</v>
      </c>
      <c r="D664" t="str">
        <v>4.63</v>
      </c>
      <c r="E664" t="str">
        <v>5.90</v>
      </c>
      <c r="F664" t="str">
        <v>7.54</v>
      </c>
      <c r="G664" t="str">
        <v>2022/03</v>
      </c>
      <c r="H664" t="str">
        <v>32.15</v>
      </c>
      <c r="I664" t="str">
        <v>1189.78</v>
      </c>
      <c r="J664" t="str">
        <v>2022/06</v>
      </c>
      <c r="K664" t="str">
        <f t="array" ref="K664:T664">[1]!'2754.TW-OperatingProfitRatio,Price,PriceChangeRatio,InOutRatioNumber,Value,YearReturn,MonthReturn,WeekReturn,FinanceBalanceDif,ChipsField2'</f>
        <v>8.96</v>
      </c>
      <c r="L664">
        <v>76.8</v>
      </c>
      <c r="M664">
        <v>-0.39</v>
      </c>
      <c r="N664" t="str">
        <v>35.21%</v>
      </c>
      <c r="O664" t="str">
        <v>561萬</v>
      </c>
      <c r="P664" t="str">
        <v>+3.50</v>
      </c>
      <c r="Q664" t="str">
        <v>+4.21</v>
      </c>
      <c r="R664" t="str">
        <v>-0.13</v>
      </c>
      <c r="S664">
        <v>4</v>
      </c>
      <c r="T664">
        <v>0</v>
      </c>
      <c r="U664">
        <f t="array" ref="U664:AD664">[1]!'2754.TW-ChipsField3,ChipsField1,ChipsField25,CashAndStockDividend,CashDividendYieldRate,ProfitFourSeason,ProfitSingle,CName,ExchangeIndustry,CompanyPos'</f>
        <v>0</v>
      </c>
      <c r="V664">
        <v>-1</v>
      </c>
      <c r="W664" t="str">
        <v>2022/08/18</v>
      </c>
      <c r="X664" t="str">
        <v>0.45</v>
      </c>
      <c r="Y664">
        <v>0.59</v>
      </c>
      <c r="Z664" t="str">
        <v>0.56</v>
      </c>
      <c r="AA664" t="str">
        <v>1.35</v>
      </c>
      <c r="AB664" t="str">
        <v>亞洲藏壽司</v>
      </c>
      <c r="AC664" t="str">
        <v>上櫃觀光</v>
      </c>
      <c r="AD664" t="str">
        <v>日式迴轉壽司連鎖店，擁有品牌「藏壽司」</v>
      </c>
      <c r="AE664" t="str">
        <f t="array" ref="AE664:AH664">[1]!'2754.TW-CName,InvestorConferenceDate,DateofMeetingofShareHolders,TradingDate'</f>
        <v>亞洲藏壽司</v>
      </c>
      <c r="AF664" t="str">
        <v>--</v>
      </c>
      <c r="AG664" t="str">
        <v>2022/06/27</v>
      </c>
      <c r="AH664" t="str">
        <v>2022/08/01</v>
      </c>
    </row>
    <row r="665" spans="1:34" x14ac:dyDescent="0.3">
      <c r="A665" t="str">
        <f t="array" ref="A665:J665">[1]!'2755.TW-ID,Name,MarketValue,Capital,NetIncomeGrowthRate,OperIncomeGrowthRate,FinancialStatementsTime,TFXRatio,MonthlyNetSalesYoY,RevenueMonth'</f>
        <v>2755</v>
      </c>
      <c r="B665" t="str">
        <v>揚秦</v>
      </c>
      <c r="C665" t="str">
        <v>14.8</v>
      </c>
      <c r="D665" t="str">
        <v>2.00</v>
      </c>
      <c r="E665" t="str">
        <v>86.99</v>
      </c>
      <c r="F665" t="str">
        <v>75.36</v>
      </c>
      <c r="G665" t="str">
        <v>2022/03</v>
      </c>
      <c r="H665" t="str">
        <v>-0.21</v>
      </c>
      <c r="I665" t="str">
        <v>29.12</v>
      </c>
      <c r="J665" t="str">
        <v>2022/06</v>
      </c>
      <c r="K665" t="str">
        <f t="array" ref="K665:T665">[1]!'2755.TW-OperatingProfitRatio,Price,PriceChangeRatio,InOutRatioNumber,Value,YearReturn,MonthReturn,WeekReturn,FinanceBalanceDif,ChipsField2'</f>
        <v>8.00</v>
      </c>
      <c r="L665" t="str">
        <v>--</v>
      </c>
      <c r="M665" t="str">
        <v>--</v>
      </c>
      <c r="N665" t="str">
        <v>--</v>
      </c>
      <c r="O665" t="str">
        <v>--</v>
      </c>
      <c r="P665" t="str">
        <v>+30.20</v>
      </c>
      <c r="Q665" t="str">
        <v>+2.20</v>
      </c>
      <c r="R665" t="str">
        <v>+3.78</v>
      </c>
      <c r="S665">
        <v>0</v>
      </c>
      <c r="T665">
        <v>0</v>
      </c>
      <c r="U665">
        <f t="array" ref="U665:AD665">[1]!'2755.TW-ChipsField3,ChipsField1,ChipsField25,CashAndStockDividend,CashDividendYieldRate,ProfitFourSeason,ProfitSingle,CName,ExchangeIndustry,CompanyPos'</f>
        <v>0</v>
      </c>
      <c r="V665">
        <v>0</v>
      </c>
      <c r="W665" t="str">
        <v>--</v>
      </c>
      <c r="X665" t="str">
        <v>3.00</v>
      </c>
      <c r="Y665">
        <v>4.04</v>
      </c>
      <c r="Z665" t="str">
        <v>4.31</v>
      </c>
      <c r="AA665" t="str">
        <v>1.42</v>
      </c>
      <c r="AB665" t="str">
        <v>揚秦</v>
      </c>
      <c r="AC665" t="str">
        <v>上櫃觀光</v>
      </c>
      <c r="AD665" t="str">
        <v>連鎖.直營門市餐飲經營者，擁有品牌「麥味登」</v>
      </c>
      <c r="AE665" t="str">
        <f t="array" ref="AE665:AH665">[1]!'2755.TW-CName,InvestorConferenceDate,DateofMeetingofShareHolders,TradingDate'</f>
        <v>揚秦</v>
      </c>
      <c r="AF665" t="str">
        <v>--</v>
      </c>
      <c r="AG665" t="str">
        <v>2022/06/22</v>
      </c>
      <c r="AH665" t="str">
        <v>2022/08/01</v>
      </c>
    </row>
    <row r="666" spans="1:34" x14ac:dyDescent="0.3">
      <c r="A666" t="str">
        <f t="array" ref="A666:J666">[1]!'2756.TW-ID,Name,MarketValue,Capital,NetIncomeGrowthRate,OperIncomeGrowthRate,FinancialStatementsTime,TFXRatio,MonthlyNetSalesYoY,RevenueMonth'</f>
        <v>2756</v>
      </c>
      <c r="B666" t="str">
        <v>聯發國際</v>
      </c>
      <c r="C666" t="str">
        <v>15.7</v>
      </c>
      <c r="D666" t="str">
        <v>1.70</v>
      </c>
      <c r="E666" t="str">
        <v>33.53</v>
      </c>
      <c r="F666" t="str">
        <v>-4.09</v>
      </c>
      <c r="G666" t="str">
        <v>2022/03</v>
      </c>
      <c r="H666" t="str">
        <v>-26.93</v>
      </c>
      <c r="I666" t="str">
        <v>-17.24</v>
      </c>
      <c r="J666" t="str">
        <v>2022/06</v>
      </c>
      <c r="K666" t="str">
        <f t="array" ref="K666:T666">[1]!'2756.TW-OperatingProfitRatio,Price,PriceChangeRatio,InOutRatioNumber,Value,YearReturn,MonthReturn,WeekReturn,FinanceBalanceDif,ChipsField2'</f>
        <v>15.62</v>
      </c>
      <c r="L666">
        <v>92.2</v>
      </c>
      <c r="M666">
        <v>0.11</v>
      </c>
      <c r="N666" t="str">
        <v>17.39%</v>
      </c>
      <c r="O666" t="str">
        <v>213萬</v>
      </c>
      <c r="P666" t="str">
        <v>--</v>
      </c>
      <c r="Q666" t="str">
        <v>-10.49</v>
      </c>
      <c r="R666" t="str">
        <v>-1.91</v>
      </c>
      <c r="S666">
        <v>0</v>
      </c>
      <c r="T666">
        <v>0</v>
      </c>
      <c r="U666">
        <f t="array" ref="U666:AD666">[1]!'2756.TW-ChipsField3,ChipsField1,ChipsField25,CashAndStockDividend,CashDividendYieldRate,ProfitFourSeason,ProfitSingle,CName,ExchangeIndustry,CompanyPos'</f>
        <v>0</v>
      </c>
      <c r="V666">
        <v>0</v>
      </c>
      <c r="W666" t="str">
        <v>2022/03/24</v>
      </c>
      <c r="X666" t="str">
        <v>4.00</v>
      </c>
      <c r="Y666">
        <v>6.51</v>
      </c>
      <c r="Z666" t="str">
        <v>8.02</v>
      </c>
      <c r="AA666" t="str">
        <v>1.20</v>
      </c>
      <c r="AB666" t="str">
        <v>聯發國際</v>
      </c>
      <c r="AC666" t="str">
        <v>上櫃觀光</v>
      </c>
      <c r="AD666" t="str">
        <v>茶飲連鎖店，擁有品牌「歇腳亭」</v>
      </c>
      <c r="AE666" t="str">
        <f t="array" ref="AE666:AH666">[1]!'2756.TW-CName,InvestorConferenceDate,DateofMeetingofShareHolders,TradingDate'</f>
        <v>聯發國際</v>
      </c>
      <c r="AF666" t="str">
        <v>2021/01/06</v>
      </c>
      <c r="AG666" t="str">
        <v>2022/05/26</v>
      </c>
      <c r="AH666" t="str">
        <v>2022/08/01</v>
      </c>
    </row>
    <row r="667" spans="1:34" x14ac:dyDescent="0.3">
      <c r="A667" t="str">
        <f t="array" ref="A667:J667">[1]!'3252.TW-ID,Name,MarketValue,Capital,NetIncomeGrowthRate,OperIncomeGrowthRate,FinancialStatementsTime,TFXRatio,MonthlyNetSalesYoY,RevenueMonth'</f>
        <v>3252</v>
      </c>
      <c r="B667" t="str">
        <v>海灣</v>
      </c>
      <c r="C667" t="str">
        <v>11.6</v>
      </c>
      <c r="D667" t="str">
        <v>5.02</v>
      </c>
      <c r="E667" t="str">
        <v>21.07</v>
      </c>
      <c r="F667" t="str">
        <v>1437.27</v>
      </c>
      <c r="G667" t="str">
        <v>2022/03</v>
      </c>
      <c r="H667" t="str">
        <v>-2.57</v>
      </c>
      <c r="I667" t="str">
        <v>72.25</v>
      </c>
      <c r="J667" t="str">
        <v>2022/06</v>
      </c>
      <c r="K667" t="str">
        <f t="array" ref="K667:T667">[1]!'3252.TW-OperatingProfitRatio,Price,PriceChangeRatio,InOutRatioNumber,Value,YearReturn,MonthReturn,WeekReturn,FinanceBalanceDif,ChipsField2'</f>
        <v>10.81</v>
      </c>
      <c r="L667">
        <v>23.1</v>
      </c>
      <c r="M667">
        <v>-1.7</v>
      </c>
      <c r="N667" t="str">
        <v>39.39%</v>
      </c>
      <c r="O667" t="str">
        <v>871萬</v>
      </c>
      <c r="P667" t="str">
        <v>+34.30</v>
      </c>
      <c r="Q667" t="str">
        <v>+2.21</v>
      </c>
      <c r="R667" t="str">
        <v>+5.72</v>
      </c>
      <c r="S667">
        <v>-8</v>
      </c>
      <c r="T667">
        <v>0</v>
      </c>
      <c r="U667">
        <f t="array" ref="U667:AD667">[1]!'3252.TW-ChipsField3,ChipsField1,ChipsField25,CashAndStockDividend,CashDividendYieldRate,ProfitFourSeason,ProfitSingle,CName,ExchangeIndustry,CompanyPos'</f>
        <v>0</v>
      </c>
      <c r="V667">
        <v>-58</v>
      </c>
      <c r="W667" t="str">
        <v>2022/08/05</v>
      </c>
      <c r="X667" t="str">
        <v>0.50</v>
      </c>
      <c r="Y667">
        <v>2.16</v>
      </c>
      <c r="Z667" t="str">
        <v>0.78</v>
      </c>
      <c r="AA667" t="str">
        <v>0.22</v>
      </c>
      <c r="AB667" t="str">
        <v>海灣</v>
      </c>
      <c r="AC667" t="str">
        <v>上櫃觀光</v>
      </c>
      <c r="AD667" t="str">
        <v>知名海邊渡假飯店</v>
      </c>
      <c r="AE667" t="str">
        <f t="array" ref="AE667:AH667">[1]!'3252.TW-CName,InvestorConferenceDate,DateofMeetingofShareHolders,TradingDate'</f>
        <v>海灣</v>
      </c>
      <c r="AF667" t="str">
        <v>--</v>
      </c>
      <c r="AG667" t="str">
        <v>2022/06/24</v>
      </c>
      <c r="AH667" t="str">
        <v>2022/08/01</v>
      </c>
    </row>
    <row r="668" spans="1:34" x14ac:dyDescent="0.3">
      <c r="A668" t="str">
        <f t="array" ref="A668:J668">[1]!'3522.TW-ID,Name,MarketValue,Capital,NetIncomeGrowthRate,OperIncomeGrowthRate,FinancialStatementsTime,TFXRatio,MonthlyNetSalesYoY,RevenueMonth'</f>
        <v>3522</v>
      </c>
      <c r="B668" t="str">
        <v>御頂</v>
      </c>
      <c r="C668" t="str">
        <v>6.9</v>
      </c>
      <c r="D668" t="str">
        <v>7.11</v>
      </c>
      <c r="E668" t="str">
        <v>223.81</v>
      </c>
      <c r="F668" t="str">
        <v>15.05</v>
      </c>
      <c r="G668" t="str">
        <v>2022/03</v>
      </c>
      <c r="H668" t="str">
        <v>-18.03</v>
      </c>
      <c r="I668" t="str">
        <v>437.21</v>
      </c>
      <c r="J668" t="str">
        <v>2022/06</v>
      </c>
      <c r="K668" t="str">
        <f t="array" ref="K668:T668">[1]!'3522.TW-OperatingProfitRatio,Price,PriceChangeRatio,InOutRatioNumber,Value,YearReturn,MonthReturn,WeekReturn,FinanceBalanceDif,ChipsField2'</f>
        <v>-17.09</v>
      </c>
      <c r="L668">
        <v>9.7100000000000009</v>
      </c>
      <c r="M668">
        <v>-0.72</v>
      </c>
      <c r="N668" t="str">
        <v>17.39%</v>
      </c>
      <c r="O668" t="str">
        <v>44.7萬</v>
      </c>
      <c r="P668" t="str">
        <v>-24.14</v>
      </c>
      <c r="Q668" t="str">
        <v>-3.86</v>
      </c>
      <c r="R668" t="str">
        <v>-1.92</v>
      </c>
      <c r="S668">
        <v>0</v>
      </c>
      <c r="T668">
        <v>0</v>
      </c>
      <c r="U668">
        <f t="array" ref="U668:AD668">[1]!'3522.TW-ChipsField3,ChipsField1,ChipsField25,CashAndStockDividend,CashDividendYieldRate,ProfitFourSeason,ProfitSingle,CName,ExchangeIndustry,CompanyPos'</f>
        <v>0</v>
      </c>
      <c r="V668">
        <v>-8</v>
      </c>
      <c r="W668" t="str">
        <v>--</v>
      </c>
      <c r="X668" t="str">
        <v>0.00</v>
      </c>
      <c r="Y668">
        <v>0</v>
      </c>
      <c r="Z668" t="str">
        <v>-5.62</v>
      </c>
      <c r="AA668" t="str">
        <v>0.57</v>
      </c>
      <c r="AB668" t="str">
        <v>御頂</v>
      </c>
      <c r="AC668" t="str">
        <v>上櫃觀光</v>
      </c>
      <c r="AD668" t="str">
        <v>連鎖餐飲事業，擁有頂鮮餐廳及晶宴會館</v>
      </c>
      <c r="AE668" t="str">
        <f t="array" ref="AE668:AH668">[1]!'3522.TW-CName,InvestorConferenceDate,DateofMeetingofShareHolders,TradingDate'</f>
        <v>御頂</v>
      </c>
      <c r="AF668" t="str">
        <v>--</v>
      </c>
      <c r="AG668" t="str">
        <v>2022/05/23</v>
      </c>
      <c r="AH668" t="str">
        <v>2022/08/01</v>
      </c>
    </row>
    <row r="669" spans="1:34" x14ac:dyDescent="0.3">
      <c r="A669" t="str">
        <f t="array" ref="A669:J669">[1]!'4804.TW-ID,Name,MarketValue,Capital,NetIncomeGrowthRate,OperIncomeGrowthRate,FinancialStatementsTime,TFXRatio,MonthlyNetSalesYoY,RevenueMonth'</f>
        <v>4804</v>
      </c>
      <c r="B669" t="str">
        <v>大略-KY</v>
      </c>
      <c r="C669" t="str">
        <v>5.0</v>
      </c>
      <c r="D669" t="str">
        <v>4.53</v>
      </c>
      <c r="E669" t="str">
        <v>-220.44</v>
      </c>
      <c r="F669" t="str">
        <v>-297.09</v>
      </c>
      <c r="G669" t="str">
        <v>2022/03</v>
      </c>
      <c r="H669" t="str">
        <v>-12.57</v>
      </c>
      <c r="I669" t="str">
        <v>-49.51</v>
      </c>
      <c r="J669" t="str">
        <v>2022/06</v>
      </c>
      <c r="K669" t="str">
        <f t="array" ref="K669:T669">[1]!'4804.TW-OperatingProfitRatio,Price,PriceChangeRatio,InOutRatioNumber,Value,YearReturn,MonthReturn,WeekReturn,FinanceBalanceDif,ChipsField2'</f>
        <v>-56.97</v>
      </c>
      <c r="L669">
        <v>11.1</v>
      </c>
      <c r="M669">
        <v>-1.33</v>
      </c>
      <c r="N669" t="str">
        <v>40.05%</v>
      </c>
      <c r="O669" t="str">
        <v>457萬</v>
      </c>
      <c r="P669" t="str">
        <v>+11.67</v>
      </c>
      <c r="Q669" t="str">
        <v>+0.45</v>
      </c>
      <c r="R669" t="str">
        <v>-3.06</v>
      </c>
      <c r="S669">
        <v>51</v>
      </c>
      <c r="T669">
        <v>0</v>
      </c>
      <c r="U669">
        <f t="array" ref="U669:AD669">[1]!'4804.TW-ChipsField3,ChipsField1,ChipsField25,CashAndStockDividend,CashDividendYieldRate,ProfitFourSeason,ProfitSingle,CName,ExchangeIndustry,CompanyPos'</f>
        <v>0</v>
      </c>
      <c r="V669">
        <v>321</v>
      </c>
      <c r="W669" t="str">
        <v>--</v>
      </c>
      <c r="X669" t="str">
        <v>0.00</v>
      </c>
      <c r="Y669">
        <v>0</v>
      </c>
      <c r="Z669" t="str">
        <v>-0.85</v>
      </c>
      <c r="AA669" t="str">
        <v>-0.94</v>
      </c>
      <c r="AB669" t="str">
        <v>大略-KY</v>
      </c>
      <c r="AC669" t="str">
        <v>上櫃觀光</v>
      </c>
      <c r="AD669" t="str">
        <v>大陸知名整合婚禮服務業者，主要品牌是維多利亞婚宴會所</v>
      </c>
      <c r="AE669" t="str">
        <f t="array" ref="AE669:AH669">[1]!'4804.TW-CName,InvestorConferenceDate,DateofMeetingofShareHolders,TradingDate'</f>
        <v>大略-KY</v>
      </c>
      <c r="AF669" t="str">
        <v>--</v>
      </c>
      <c r="AG669" t="str">
        <v>2022/06/21</v>
      </c>
      <c r="AH669" t="str">
        <v>2022/08/01</v>
      </c>
    </row>
    <row r="670" spans="1:34" x14ac:dyDescent="0.3">
      <c r="A670" t="str">
        <f t="array" ref="A670:J670">[1]!'5301.TW-ID,Name,MarketValue,Capital,NetIncomeGrowthRate,OperIncomeGrowthRate,FinancialStatementsTime,TFXRatio,MonthlyNetSalesYoY,RevenueMonth'</f>
        <v>5301</v>
      </c>
      <c r="B670" t="str">
        <v>寶得利</v>
      </c>
      <c r="C670" t="str">
        <v>12.2</v>
      </c>
      <c r="D670" t="str">
        <v>10.46</v>
      </c>
      <c r="E670" t="str">
        <v>72.29</v>
      </c>
      <c r="F670" t="str">
        <v>54.64</v>
      </c>
      <c r="G670" t="str">
        <v>2022/03</v>
      </c>
      <c r="H670" t="str">
        <v>43.02</v>
      </c>
      <c r="I670" t="str">
        <v>373.44</v>
      </c>
      <c r="J670" t="str">
        <v>2022/06</v>
      </c>
      <c r="K670" t="str">
        <f t="array" ref="K670:T670">[1]!'5301.TW-OperatingProfitRatio,Price,PriceChangeRatio,InOutRatioNumber,Value,YearReturn,MonthReturn,WeekReturn,FinanceBalanceDif,ChipsField2'</f>
        <v>-125.87</v>
      </c>
      <c r="L670">
        <v>11.7</v>
      </c>
      <c r="M670">
        <v>-1.27</v>
      </c>
      <c r="N670" t="str">
        <v>7.14%</v>
      </c>
      <c r="O670" t="str">
        <v>75.6萬</v>
      </c>
      <c r="P670" t="str">
        <v>+17.00</v>
      </c>
      <c r="Q670" t="str">
        <v>+4.00</v>
      </c>
      <c r="R670" t="str">
        <v>0.00</v>
      </c>
      <c r="S670">
        <v>0</v>
      </c>
      <c r="T670">
        <v>0</v>
      </c>
      <c r="U670">
        <f t="array" ref="U670:AD670">[1]!'5301.TW-ChipsField3,ChipsField1,ChipsField25,CashAndStockDividend,CashDividendYieldRate,ProfitFourSeason,ProfitSingle,CName,ExchangeIndustry,CompanyPos'</f>
        <v>0</v>
      </c>
      <c r="V670">
        <v>4</v>
      </c>
      <c r="W670" t="str">
        <v>--</v>
      </c>
      <c r="X670" t="str">
        <v>0.00</v>
      </c>
      <c r="Y670">
        <v>0</v>
      </c>
      <c r="Z670" t="str">
        <v>-1.74</v>
      </c>
      <c r="AA670" t="str">
        <v>-0.12</v>
      </c>
      <c r="AB670" t="str">
        <v>寶得利</v>
      </c>
      <c r="AC670" t="str">
        <v>上櫃觀光</v>
      </c>
      <c r="AD670" t="str">
        <v>珠寶精品設計與銷售，並經營旅行社</v>
      </c>
      <c r="AE670" t="str">
        <f t="array" ref="AE670:AH670">[1]!'5301.TW-CName,InvestorConferenceDate,DateofMeetingofShareHolders,TradingDate'</f>
        <v>寶得利</v>
      </c>
      <c r="AF670" t="str">
        <v>--</v>
      </c>
      <c r="AG670" t="str">
        <v>2022/06/29</v>
      </c>
      <c r="AH670" t="str">
        <v>2022/08/01</v>
      </c>
    </row>
    <row r="671" spans="1:34" x14ac:dyDescent="0.3">
      <c r="A671" t="str">
        <f t="array" ref="A671:J671">[1]!'5364.TW-ID,Name,MarketValue,Capital,NetIncomeGrowthRate,OperIncomeGrowthRate,FinancialStatementsTime,TFXRatio,MonthlyNetSalesYoY,RevenueMonth'</f>
        <v>5364</v>
      </c>
      <c r="B671" t="str">
        <v>力麗店</v>
      </c>
      <c r="C671" t="str">
        <v>5.5</v>
      </c>
      <c r="D671" t="str">
        <v>2.88</v>
      </c>
      <c r="E671" t="str">
        <v>-159.41</v>
      </c>
      <c r="F671" t="str">
        <v>51.63</v>
      </c>
      <c r="G671" t="str">
        <v>2022/03</v>
      </c>
      <c r="H671" t="str">
        <v>47.74</v>
      </c>
      <c r="I671" t="str">
        <v>6406.53</v>
      </c>
      <c r="J671" t="str">
        <v>2022/06</v>
      </c>
      <c r="K671" t="str">
        <f t="array" ref="K671:T671">[1]!'5364.TW-OperatingProfitRatio,Price,PriceChangeRatio,InOutRatioNumber,Value,YearReturn,MonthReturn,WeekReturn,FinanceBalanceDif,ChipsField2'</f>
        <v>-1.56</v>
      </c>
      <c r="L671">
        <v>18.899999999999999</v>
      </c>
      <c r="M671">
        <v>2.16</v>
      </c>
      <c r="N671" t="str">
        <v>72.73%</v>
      </c>
      <c r="O671" t="str">
        <v>20.6萬</v>
      </c>
      <c r="P671" t="str">
        <v>-9.13</v>
      </c>
      <c r="Q671" t="str">
        <v>+2.16</v>
      </c>
      <c r="R671" t="str">
        <v>-2.07</v>
      </c>
      <c r="S671">
        <v>0</v>
      </c>
      <c r="T671">
        <v>0</v>
      </c>
      <c r="U671">
        <f t="array" ref="U671:AD671">[1]!'5364.TW-ChipsField3,ChipsField1,ChipsField25,CashAndStockDividend,CashDividendYieldRate,ProfitFourSeason,ProfitSingle,CName,ExchangeIndustry,CompanyPos'</f>
        <v>0</v>
      </c>
      <c r="V671">
        <v>0</v>
      </c>
      <c r="W671" t="str">
        <v>--</v>
      </c>
      <c r="X671" t="str">
        <v>0.00</v>
      </c>
      <c r="Y671">
        <v>0</v>
      </c>
      <c r="Z671" t="str">
        <v>-2.40</v>
      </c>
      <c r="AA671" t="str">
        <v>-0.18</v>
      </c>
      <c r="AB671" t="str">
        <v>力麗店</v>
      </c>
      <c r="AC671" t="str">
        <v>上櫃觀光</v>
      </c>
      <c r="AD671" t="str">
        <v>轉型為以力麗哲園為品牌之飯店經營業者</v>
      </c>
      <c r="AE671" t="str">
        <f t="array" ref="AE671:AH671">[1]!'5364.TW-CName,InvestorConferenceDate,DateofMeetingofShareHolders,TradingDate'</f>
        <v>力麗店</v>
      </c>
      <c r="AF671" t="str">
        <v>--</v>
      </c>
      <c r="AG671" t="str">
        <v>2022/06/23</v>
      </c>
      <c r="AH671" t="str">
        <v>2022/08/01</v>
      </c>
    </row>
    <row r="672" spans="1:34" x14ac:dyDescent="0.3">
      <c r="A672" t="str">
        <f t="array" ref="A672:J672">[1]!'5701.TW-ID,Name,MarketValue,Capital,NetIncomeGrowthRate,OperIncomeGrowthRate,FinancialStatementsTime,TFXRatio,MonthlyNetSalesYoY,RevenueMonth'</f>
        <v>5701</v>
      </c>
      <c r="B672" t="str">
        <v>劍湖山</v>
      </c>
      <c r="C672" t="str">
        <v>9.3</v>
      </c>
      <c r="D672" t="str">
        <v>29.68</v>
      </c>
      <c r="E672" t="str">
        <v>35.03</v>
      </c>
      <c r="F672" t="str">
        <v>55.45</v>
      </c>
      <c r="G672" t="str">
        <v>2022/03</v>
      </c>
      <c r="H672" t="str">
        <v>126.34</v>
      </c>
      <c r="I672" t="str">
        <v>4804.35</v>
      </c>
      <c r="J672" t="str">
        <v>2022/06</v>
      </c>
      <c r="K672" t="str">
        <f t="array" ref="K672:T672">[1]!'5701.TW-OperatingProfitRatio,Price,PriceChangeRatio,InOutRatioNumber,Value,YearReturn,MonthReturn,WeekReturn,FinanceBalanceDif,ChipsField2'</f>
        <v>-8.80</v>
      </c>
      <c r="L672">
        <v>3.13</v>
      </c>
      <c r="M672">
        <v>0.97</v>
      </c>
      <c r="N672" t="str">
        <v>13.75%</v>
      </c>
      <c r="O672" t="str">
        <v>25.7萬</v>
      </c>
      <c r="P672" t="str">
        <v>-16.53</v>
      </c>
      <c r="Q672" t="str">
        <v>0.00</v>
      </c>
      <c r="R672" t="str">
        <v>-3.10</v>
      </c>
      <c r="S672">
        <v>0</v>
      </c>
      <c r="T672">
        <v>0</v>
      </c>
      <c r="U672">
        <f t="array" ref="U672:AD672">[1]!'5701.TW-ChipsField3,ChipsField1,ChipsField25,CashAndStockDividend,CashDividendYieldRate,ProfitFourSeason,ProfitSingle,CName,ExchangeIndustry,CompanyPos'</f>
        <v>0</v>
      </c>
      <c r="V672">
        <v>0</v>
      </c>
      <c r="W672" t="str">
        <v>--</v>
      </c>
      <c r="X672" t="str">
        <v>0.00</v>
      </c>
      <c r="Y672">
        <v>0</v>
      </c>
      <c r="Z672" t="str">
        <v>-0.58</v>
      </c>
      <c r="AA672" t="str">
        <v>-0.07</v>
      </c>
      <c r="AB672" t="str">
        <v>劍湖山</v>
      </c>
      <c r="AC672" t="str">
        <v>上櫃觀光</v>
      </c>
      <c r="AD672" t="str">
        <v>台灣中部地區遊樂園、百貨及飯店業者</v>
      </c>
      <c r="AE672" t="str">
        <f t="array" ref="AE672:AH672">[1]!'5701.TW-CName,InvestorConferenceDate,DateofMeetingofShareHolders,TradingDate'</f>
        <v>劍湖山</v>
      </c>
      <c r="AF672" t="str">
        <v>--</v>
      </c>
      <c r="AG672" t="str">
        <v>2022/06/23</v>
      </c>
      <c r="AH672" t="str">
        <v>2022/08/01</v>
      </c>
    </row>
    <row r="673" spans="1:34" x14ac:dyDescent="0.3">
      <c r="A673" t="str">
        <f t="array" ref="A673:J673">[1]!'5703.TW-ID,Name,MarketValue,Capital,NetIncomeGrowthRate,OperIncomeGrowthRate,FinancialStatementsTime,TFXRatio,MonthlyNetSalesYoY,RevenueMonth'</f>
        <v>5703</v>
      </c>
      <c r="B673" t="str">
        <v>亞都</v>
      </c>
      <c r="C673" t="str">
        <v>10.0</v>
      </c>
      <c r="D673" t="str">
        <v>7.02</v>
      </c>
      <c r="E673" t="str">
        <v>-1.40</v>
      </c>
      <c r="F673" t="str">
        <v>8.31</v>
      </c>
      <c r="G673" t="str">
        <v>2022/03</v>
      </c>
      <c r="H673" t="str">
        <v>-33.80</v>
      </c>
      <c r="I673" t="str">
        <v>83.74</v>
      </c>
      <c r="J673" t="str">
        <v>2022/06</v>
      </c>
      <c r="K673" t="str">
        <f t="array" ref="K673:T673">[1]!'5703.TW-OperatingProfitRatio,Price,PriceChangeRatio,InOutRatioNumber,Value,YearReturn,MonthReturn,WeekReturn,FinanceBalanceDif,ChipsField2'</f>
        <v>-33.51</v>
      </c>
      <c r="L673">
        <v>14.3</v>
      </c>
      <c r="M673">
        <v>-0.69</v>
      </c>
      <c r="N673" t="str">
        <v>33.33%</v>
      </c>
      <c r="O673" t="str">
        <v>4.35萬</v>
      </c>
      <c r="P673" t="str">
        <v>-37.69</v>
      </c>
      <c r="Q673" t="str">
        <v>-23.94</v>
      </c>
      <c r="R673" t="str">
        <v>-1.38</v>
      </c>
      <c r="S673">
        <v>0</v>
      </c>
      <c r="T673">
        <v>0</v>
      </c>
      <c r="U673">
        <f t="array" ref="U673:AD673">[1]!'5703.TW-ChipsField3,ChipsField1,ChipsField25,CashAndStockDividend,CashDividendYieldRate,ProfitFourSeason,ProfitSingle,CName,ExchangeIndustry,CompanyPos'</f>
        <v>0</v>
      </c>
      <c r="V673">
        <v>0</v>
      </c>
      <c r="W673" t="str">
        <v>--</v>
      </c>
      <c r="X673" t="str">
        <v>0.00</v>
      </c>
      <c r="Y673">
        <v>0</v>
      </c>
      <c r="Z673" t="str">
        <v>-1.77</v>
      </c>
      <c r="AA673" t="str">
        <v>-0.32</v>
      </c>
      <c r="AB673" t="str">
        <v>亞都</v>
      </c>
      <c r="AC673" t="str">
        <v>上櫃觀光</v>
      </c>
      <c r="AD673" t="str">
        <v>麗緻集團旗下位於台北中山區之5星級飯店</v>
      </c>
      <c r="AE673" t="str">
        <f t="array" ref="AE673:AH673">[1]!'5703.TW-CName,InvestorConferenceDate,DateofMeetingofShareHolders,TradingDate'</f>
        <v>亞都</v>
      </c>
      <c r="AF673" t="str">
        <v>--</v>
      </c>
      <c r="AG673" t="str">
        <v>2022/06/28</v>
      </c>
      <c r="AH673" t="str">
        <v>2022/08/01</v>
      </c>
    </row>
    <row r="674" spans="1:34" x14ac:dyDescent="0.3">
      <c r="A674" t="str">
        <f t="array" ref="A674:J674">[1]!'5704.TW-ID,Name,MarketValue,Capital,NetIncomeGrowthRate,OperIncomeGrowthRate,FinancialStatementsTime,TFXRatio,MonthlyNetSalesYoY,RevenueMonth'</f>
        <v>5704</v>
      </c>
      <c r="B674" t="str">
        <v>老爺知</v>
      </c>
      <c r="C674" t="str">
        <v>13.5</v>
      </c>
      <c r="D674" t="str">
        <v>3.89</v>
      </c>
      <c r="E674" t="str">
        <v>-7.59</v>
      </c>
      <c r="F674" t="str">
        <v>17.41</v>
      </c>
      <c r="G674" t="str">
        <v>2022/03</v>
      </c>
      <c r="H674" t="str">
        <v>32.56</v>
      </c>
      <c r="I674" t="str">
        <v>1022.53</v>
      </c>
      <c r="J674" t="str">
        <v>2022/06</v>
      </c>
      <c r="K674" t="str">
        <f t="array" ref="K674:T674">[1]!'5704.TW-OperatingProfitRatio,Price,PriceChangeRatio,InOutRatioNumber,Value,YearReturn,MonthReturn,WeekReturn,FinanceBalanceDif,ChipsField2'</f>
        <v>30.97</v>
      </c>
      <c r="L674">
        <v>34.700000000000003</v>
      </c>
      <c r="M674">
        <v>-0.14000000000000001</v>
      </c>
      <c r="N674" t="str">
        <v>48.08%</v>
      </c>
      <c r="O674" t="str">
        <v>183萬</v>
      </c>
      <c r="P674" t="str">
        <v>+12.63</v>
      </c>
      <c r="Q674" t="str">
        <v>+16.87</v>
      </c>
      <c r="R674" t="str">
        <v>+2.36</v>
      </c>
      <c r="S674">
        <v>-2</v>
      </c>
      <c r="T674">
        <v>0</v>
      </c>
      <c r="U674">
        <f t="array" ref="U674:AD674">[1]!'5704.TW-ChipsField3,ChipsField1,ChipsField25,CashAndStockDividend,CashDividendYieldRate,ProfitFourSeason,ProfitSingle,CName,ExchangeIndustry,CompanyPos'</f>
        <v>0</v>
      </c>
      <c r="V674">
        <v>19</v>
      </c>
      <c r="W674" t="str">
        <v>2022/07/22</v>
      </c>
      <c r="X674" t="str">
        <v>1.38</v>
      </c>
      <c r="Y674">
        <v>3.98</v>
      </c>
      <c r="Z674" t="str">
        <v>1.43</v>
      </c>
      <c r="AA674" t="str">
        <v>0.99</v>
      </c>
      <c r="AB674" t="str">
        <v>老爺知</v>
      </c>
      <c r="AC674" t="str">
        <v>上櫃觀光</v>
      </c>
      <c r="AD674" t="str">
        <v>老爺酒店集團旗下，位於台東知本之溫泉飯店</v>
      </c>
      <c r="AE674" t="str">
        <f t="array" ref="AE674:AH674">[1]!'5704.TW-CName,InvestorConferenceDate,DateofMeetingofShareHolders,TradingDate'</f>
        <v>老爺知</v>
      </c>
      <c r="AF674" t="str">
        <v>--</v>
      </c>
      <c r="AG674" t="str">
        <v>2022/08/24</v>
      </c>
      <c r="AH674" t="str">
        <v>2022/08/01</v>
      </c>
    </row>
    <row r="675" spans="1:34" x14ac:dyDescent="0.3">
      <c r="A675" t="str">
        <f t="array" ref="A675:J675">[1]!'8077.TW-ID,Name,MarketValue,Capital,NetIncomeGrowthRate,OperIncomeGrowthRate,FinancialStatementsTime,TFXRatio,MonthlyNetSalesYoY,RevenueMonth'</f>
        <v>8077</v>
      </c>
      <c r="B675" t="str">
        <v>洛碁</v>
      </c>
      <c r="C675" t="str">
        <v>10.6</v>
      </c>
      <c r="D675" t="str">
        <v>10.97</v>
      </c>
      <c r="E675" t="str">
        <v>31.38</v>
      </c>
      <c r="F675" t="str">
        <v>36.49</v>
      </c>
      <c r="G675" t="str">
        <v>2022/03</v>
      </c>
      <c r="H675" t="str">
        <v>-12.75</v>
      </c>
      <c r="I675" t="str">
        <v>160.66</v>
      </c>
      <c r="J675" t="str">
        <v>2022/06</v>
      </c>
      <c r="K675" t="str">
        <f t="array" ref="K675:T675">[1]!'8077.TW-OperatingProfitRatio,Price,PriceChangeRatio,InOutRatioNumber,Value,YearReturn,MonthReturn,WeekReturn,FinanceBalanceDif,ChipsField2'</f>
        <v>-34.20</v>
      </c>
      <c r="L675" t="str">
        <v>--</v>
      </c>
      <c r="M675" t="str">
        <v>--</v>
      </c>
      <c r="N675" t="str">
        <v>--</v>
      </c>
      <c r="O675" t="str">
        <v>--</v>
      </c>
      <c r="P675" t="str">
        <v>-16.71</v>
      </c>
      <c r="Q675" t="str">
        <v>-4.28</v>
      </c>
      <c r="R675" t="str">
        <v>-1.84</v>
      </c>
      <c r="S675">
        <v>0</v>
      </c>
      <c r="T675">
        <v>0</v>
      </c>
      <c r="U675">
        <f t="array" ref="U675:AD675">[1]!'8077.TW-ChipsField3,ChipsField1,ChipsField25,CashAndStockDividend,CashDividendYieldRate,ProfitFourSeason,ProfitSingle,CName,ExchangeIndustry,CompanyPos'</f>
        <v>0</v>
      </c>
      <c r="V675">
        <v>0</v>
      </c>
      <c r="W675" t="str">
        <v>--</v>
      </c>
      <c r="X675" t="str">
        <v>0.00</v>
      </c>
      <c r="Y675">
        <v>0</v>
      </c>
      <c r="Z675" t="str">
        <v>-3.06</v>
      </c>
      <c r="AA675" t="str">
        <v>-0.54</v>
      </c>
      <c r="AB675" t="str">
        <v>洛碁</v>
      </c>
      <c r="AC675" t="str">
        <v>上櫃觀光</v>
      </c>
      <c r="AD675" t="str">
        <v>轉型為飯店經營</v>
      </c>
      <c r="AE675" t="str">
        <f t="array" ref="AE675:AH675">[1]!'8077.TW-CName,InvestorConferenceDate,DateofMeetingofShareHolders,TradingDate'</f>
        <v>洛碁</v>
      </c>
      <c r="AF675" t="str">
        <v>--</v>
      </c>
      <c r="AG675" t="str">
        <v>2022/06/23</v>
      </c>
      <c r="AH675" t="str">
        <v>2022/08/01</v>
      </c>
    </row>
    <row r="676" spans="1:34" x14ac:dyDescent="0.3">
      <c r="A676" t="str">
        <f t="array" ref="A676:J676">[1]!'5820.TW-ID,Name,MarketValue,Capital,NetIncomeGrowthRate,OperIncomeGrowthRate,FinancialStatementsTime,TFXRatio,MonthlyNetSalesYoY,RevenueMonth'</f>
        <v>5820</v>
      </c>
      <c r="B676" t="str">
        <v>日盛金</v>
      </c>
      <c r="C676" t="str">
        <v>439.1</v>
      </c>
      <c r="D676" t="str">
        <v>383.47</v>
      </c>
      <c r="E676" t="str">
        <v>-13.37</v>
      </c>
      <c r="F676" t="str">
        <v>--</v>
      </c>
      <c r="G676" t="str">
        <v>2022/03</v>
      </c>
      <c r="H676" t="str">
        <v>51.86</v>
      </c>
      <c r="I676" t="str">
        <v>-3.08</v>
      </c>
      <c r="J676" t="str">
        <v>2022/06</v>
      </c>
      <c r="K676" t="str">
        <f t="array" ref="K676:T676">[1]!'5820.TW-OperatingProfitRatio,Price,PriceChangeRatio,InOutRatioNumber,Value,YearReturn,MonthReturn,WeekReturn,FinanceBalanceDif,ChipsField2'</f>
        <v>--</v>
      </c>
      <c r="L676" t="str">
        <v>--</v>
      </c>
      <c r="M676" t="str">
        <v>--</v>
      </c>
      <c r="N676" t="str">
        <v>--</v>
      </c>
      <c r="O676" t="str">
        <v>--</v>
      </c>
      <c r="P676" t="str">
        <v>-1.73</v>
      </c>
      <c r="Q676" t="str">
        <v>-0.43</v>
      </c>
      <c r="R676" t="str">
        <v>0.00</v>
      </c>
      <c r="S676">
        <v>1</v>
      </c>
      <c r="T676">
        <v>0</v>
      </c>
      <c r="U676">
        <f t="array" ref="U676:AD676">[1]!'5820.TW-ChipsField3,ChipsField1,ChipsField25,CashAndStockDividend,CashDividendYieldRate,ProfitFourSeason,ProfitSingle,CName,ExchangeIndustry,CompanyPos'</f>
        <v>0</v>
      </c>
      <c r="V676">
        <v>-71</v>
      </c>
      <c r="W676" t="str">
        <v>2022/07/04</v>
      </c>
      <c r="X676" t="str">
        <v>0.70</v>
      </c>
      <c r="Y676">
        <v>6.11</v>
      </c>
      <c r="Z676" t="str">
        <v>1.04</v>
      </c>
      <c r="AA676" t="str">
        <v>0.20</v>
      </c>
      <c r="AB676" t="str">
        <v>日盛金</v>
      </c>
      <c r="AC676" t="str">
        <v>上櫃金融</v>
      </c>
      <c r="AD676" t="str">
        <v>大股東為日本新生銀行及港商建群集團之金控，以證券為主體</v>
      </c>
      <c r="AE676" t="str">
        <f t="array" ref="AE676:AH676">[1]!'5820.TW-CName,InvestorConferenceDate,DateofMeetingofShareHolders,TradingDate'</f>
        <v>日盛金</v>
      </c>
      <c r="AF676" t="str">
        <v>--</v>
      </c>
      <c r="AG676" t="str">
        <v>2022/06/17</v>
      </c>
      <c r="AH676" t="str">
        <v>2022/08/01</v>
      </c>
    </row>
    <row r="677" spans="1:34" x14ac:dyDescent="0.3">
      <c r="A677" t="str">
        <f t="array" ref="A677:J677">[1]!'5864.TW-ID,Name,MarketValue,Capital,NetIncomeGrowthRate,OperIncomeGrowthRate,FinancialStatementsTime,TFXRatio,MonthlyNetSalesYoY,RevenueMonth'</f>
        <v>5864</v>
      </c>
      <c r="B677" t="str">
        <v>致和證</v>
      </c>
      <c r="C677" t="str">
        <v>28.8</v>
      </c>
      <c r="D677" t="str">
        <v>26.68</v>
      </c>
      <c r="E677" t="str">
        <v>-51.77</v>
      </c>
      <c r="F677" t="str">
        <v>-51.64</v>
      </c>
      <c r="G677" t="str">
        <v>2022/03</v>
      </c>
      <c r="H677" t="str">
        <v>-353.31</v>
      </c>
      <c r="I677" t="str">
        <v>-176.77</v>
      </c>
      <c r="J677" t="str">
        <v>2022/06</v>
      </c>
      <c r="K677" t="str">
        <f t="array" ref="K677:T677">[1]!'5864.TW-OperatingProfitRatio,Price,PriceChangeRatio,InOutRatioNumber,Value,YearReturn,MonthReturn,WeekReturn,FinanceBalanceDif,ChipsField2'</f>
        <v>47.06</v>
      </c>
      <c r="L677">
        <v>10.8</v>
      </c>
      <c r="M677">
        <v>3.35</v>
      </c>
      <c r="N677" t="str">
        <v>70.71%</v>
      </c>
      <c r="O677" t="str">
        <v>149萬</v>
      </c>
      <c r="P677" t="str">
        <v>-35.74</v>
      </c>
      <c r="Q677" t="str">
        <v>+2.86</v>
      </c>
      <c r="R677" t="str">
        <v>+4.35</v>
      </c>
      <c r="S677">
        <v>-1</v>
      </c>
      <c r="T677">
        <v>0</v>
      </c>
      <c r="U677">
        <f t="array" ref="U677:AD677">[1]!'5864.TW-ChipsField3,ChipsField1,ChipsField25,CashAndStockDividend,CashDividendYieldRate,ProfitFourSeason,ProfitSingle,CName,ExchangeIndustry,CompanyPos'</f>
        <v>0</v>
      </c>
      <c r="V677">
        <v>-1</v>
      </c>
      <c r="W677" t="str">
        <v>2022/06/17</v>
      </c>
      <c r="X677" t="str">
        <v>1.20</v>
      </c>
      <c r="Y677">
        <v>11.11</v>
      </c>
      <c r="Z677" t="str">
        <v>2.53</v>
      </c>
      <c r="AA677" t="str">
        <v>0.25</v>
      </c>
      <c r="AB677" t="str">
        <v>致和證</v>
      </c>
      <c r="AC677" t="str">
        <v>上櫃金融</v>
      </c>
      <c r="AD677" t="str">
        <v>台灣小型券商</v>
      </c>
      <c r="AE677" t="str">
        <f t="array" ref="AE677:AH677">[1]!'5864.TW-CName,InvestorConferenceDate,DateofMeetingofShareHolders,TradingDate'</f>
        <v>致和證</v>
      </c>
      <c r="AF677" t="str">
        <v>--</v>
      </c>
      <c r="AG677" t="str">
        <v>2022/05/04</v>
      </c>
      <c r="AH677" t="str">
        <v>2022/08/01</v>
      </c>
    </row>
    <row r="678" spans="1:34" x14ac:dyDescent="0.3">
      <c r="A678" t="str">
        <f t="array" ref="A678:J678">[1]!'5878.TW-ID,Name,MarketValue,Capital,NetIncomeGrowthRate,OperIncomeGrowthRate,FinancialStatementsTime,TFXRatio,MonthlyNetSalesYoY,RevenueMonth'</f>
        <v>5878</v>
      </c>
      <c r="B678" t="str">
        <v>台名</v>
      </c>
      <c r="C678" t="str">
        <v>11.8</v>
      </c>
      <c r="D678" t="str">
        <v>2.50</v>
      </c>
      <c r="E678" t="str">
        <v>-23.88</v>
      </c>
      <c r="F678" t="str">
        <v>-16.54</v>
      </c>
      <c r="G678" t="str">
        <v>2022/03</v>
      </c>
      <c r="H678" t="str">
        <v>27.56</v>
      </c>
      <c r="I678" t="str">
        <v>2.64</v>
      </c>
      <c r="J678" t="str">
        <v>2022/06</v>
      </c>
      <c r="K678" t="str">
        <f t="array" ref="K678:T678">[1]!'5878.TW-OperatingProfitRatio,Price,PriceChangeRatio,InOutRatioNumber,Value,YearReturn,MonthReturn,WeekReturn,FinanceBalanceDif,ChipsField2'</f>
        <v>8.38</v>
      </c>
      <c r="L678" t="str">
        <v>--</v>
      </c>
      <c r="M678" t="str">
        <v>--</v>
      </c>
      <c r="N678" t="str">
        <v>--</v>
      </c>
      <c r="O678" t="str">
        <v>--</v>
      </c>
      <c r="P678" t="str">
        <v>+7.47</v>
      </c>
      <c r="Q678" t="str">
        <v>+0.64</v>
      </c>
      <c r="R678" t="str">
        <v>-0.11</v>
      </c>
      <c r="S678">
        <v>0</v>
      </c>
      <c r="T678">
        <v>0</v>
      </c>
      <c r="U678">
        <f t="array" ref="U678:AD678">[1]!'5878.TW-ChipsField3,ChipsField1,ChipsField25,CashAndStockDividend,CashDividendYieldRate,ProfitFourSeason,ProfitSingle,CName,ExchangeIndustry,CompanyPos'</f>
        <v>0</v>
      </c>
      <c r="V678">
        <v>0</v>
      </c>
      <c r="W678" t="str">
        <v>2022/06/14</v>
      </c>
      <c r="X678" t="str">
        <v>3.00</v>
      </c>
      <c r="Y678">
        <v>6.34</v>
      </c>
      <c r="Z678" t="str">
        <v>2.83</v>
      </c>
      <c r="AA678" t="str">
        <v>0.48</v>
      </c>
      <c r="AB678" t="str">
        <v>台名</v>
      </c>
      <c r="AC678" t="str">
        <v>上櫃金融</v>
      </c>
      <c r="AD678" t="str">
        <v>台灣前三大之保險經紀公司</v>
      </c>
      <c r="AE678" t="str">
        <f t="array" ref="AE678:AH678">[1]!'5878.TW-CName,InvestorConferenceDate,DateofMeetingofShareHolders,TradingDate'</f>
        <v>台名</v>
      </c>
      <c r="AF678" t="str">
        <v>--</v>
      </c>
      <c r="AG678" t="str">
        <v>2022/05/26</v>
      </c>
      <c r="AH678" t="str">
        <v>2022/08/01</v>
      </c>
    </row>
    <row r="679" spans="1:34" x14ac:dyDescent="0.3">
      <c r="A679" t="str">
        <f t="array" ref="A679:J679">[1]!'6015.TW-ID,Name,MarketValue,Capital,NetIncomeGrowthRate,OperIncomeGrowthRate,FinancialStatementsTime,TFXRatio,MonthlyNetSalesYoY,RevenueMonth'</f>
        <v>6015</v>
      </c>
      <c r="B679" t="str">
        <v>宏遠證</v>
      </c>
      <c r="C679" t="str">
        <v>39.5</v>
      </c>
      <c r="D679" t="str">
        <v>35.13</v>
      </c>
      <c r="E679" t="str">
        <v>-131.95</v>
      </c>
      <c r="F679" t="str">
        <v>-143.89</v>
      </c>
      <c r="G679" t="str">
        <v>2022/03</v>
      </c>
      <c r="H679" t="str">
        <v>262.71</v>
      </c>
      <c r="I679" t="str">
        <v>-81.72</v>
      </c>
      <c r="J679" t="str">
        <v>2022/06</v>
      </c>
      <c r="K679" t="str">
        <f t="array" ref="K679:T679">[1]!'6015.TW-OperatingProfitRatio,Price,PriceChangeRatio,InOutRatioNumber,Value,YearReturn,MonthReturn,WeekReturn,FinanceBalanceDif,ChipsField2'</f>
        <v>-83.27</v>
      </c>
      <c r="L679">
        <v>11.25</v>
      </c>
      <c r="M679">
        <v>0.45</v>
      </c>
      <c r="N679" t="str">
        <v>47.74%</v>
      </c>
      <c r="O679" t="str">
        <v>695萬</v>
      </c>
      <c r="P679" t="str">
        <v>-38.78</v>
      </c>
      <c r="Q679" t="str">
        <v>+9.71</v>
      </c>
      <c r="R679" t="str">
        <v>-2.05</v>
      </c>
      <c r="S679">
        <v>-38</v>
      </c>
      <c r="T679">
        <v>0</v>
      </c>
      <c r="U679">
        <f t="array" ref="U679:AD679">[1]!'6015.TW-ChipsField3,ChipsField1,ChipsField25,CashAndStockDividend,CashDividendYieldRate,ProfitFourSeason,ProfitSingle,CName,ExchangeIndustry,CompanyPos'</f>
        <v>0</v>
      </c>
      <c r="V679">
        <v>-181</v>
      </c>
      <c r="W679" t="str">
        <v>2022/07/28</v>
      </c>
      <c r="X679" t="str">
        <v>2.40</v>
      </c>
      <c r="Y679">
        <v>21.33</v>
      </c>
      <c r="Z679" t="str">
        <v>2.52</v>
      </c>
      <c r="AA679" t="str">
        <v>-0.30</v>
      </c>
      <c r="AB679" t="str">
        <v>宏遠證</v>
      </c>
      <c r="AC679" t="str">
        <v>上櫃金融</v>
      </c>
      <c r="AD679" t="str">
        <v>三商壽轉投資的小型券商</v>
      </c>
      <c r="AE679" t="str">
        <f t="array" ref="AE679:AH679">[1]!'6015.TW-CName,InvestorConferenceDate,DateofMeetingofShareHolders,TradingDate'</f>
        <v>宏遠證</v>
      </c>
      <c r="AF679" t="str">
        <v>2022/03/31</v>
      </c>
      <c r="AG679" t="str">
        <v>2022/05/27</v>
      </c>
      <c r="AH679" t="str">
        <v>2022/08/01</v>
      </c>
    </row>
    <row r="680" spans="1:34" x14ac:dyDescent="0.3">
      <c r="A680" t="str">
        <f t="array" ref="A680:J680">[1]!'6016.TW-ID,Name,MarketValue,Capital,NetIncomeGrowthRate,OperIncomeGrowthRate,FinancialStatementsTime,TFXRatio,MonthlyNetSalesYoY,RevenueMonth'</f>
        <v>6016</v>
      </c>
      <c r="B680" t="str">
        <v>康和證</v>
      </c>
      <c r="C680" t="str">
        <v>59.3</v>
      </c>
      <c r="D680" t="str">
        <v>59.45</v>
      </c>
      <c r="E680" t="str">
        <v>-149.65</v>
      </c>
      <c r="F680" t="str">
        <v>-131.11</v>
      </c>
      <c r="G680" t="str">
        <v>2022/03</v>
      </c>
      <c r="H680" t="str">
        <v>-71.20</v>
      </c>
      <c r="I680" t="str">
        <v>-90.63</v>
      </c>
      <c r="J680" t="str">
        <v>2022/06</v>
      </c>
      <c r="K680" t="str">
        <f t="array" ref="K680:T680">[1]!'6016.TW-OperatingProfitRatio,Price,PriceChangeRatio,InOutRatioNumber,Value,YearReturn,MonthReturn,WeekReturn,FinanceBalanceDif,ChipsField2'</f>
        <v>-31.18</v>
      </c>
      <c r="L680">
        <v>9.9700000000000006</v>
      </c>
      <c r="M680">
        <v>2.2599999999999998</v>
      </c>
      <c r="N680" t="str">
        <v>67.25%</v>
      </c>
      <c r="O680" t="str">
        <v>676萬</v>
      </c>
      <c r="P680" t="str">
        <v>-21.89</v>
      </c>
      <c r="Q680" t="str">
        <v>-3.24</v>
      </c>
      <c r="R680" t="str">
        <v>+4.40</v>
      </c>
      <c r="S680">
        <v>-6</v>
      </c>
      <c r="T680">
        <v>0</v>
      </c>
      <c r="U680">
        <f t="array" ref="U680:AD680">[1]!'6016.TW-ChipsField3,ChipsField1,ChipsField25,CashAndStockDividend,CashDividendYieldRate,ProfitFourSeason,ProfitSingle,CName,ExchangeIndustry,CompanyPos'</f>
        <v>0</v>
      </c>
      <c r="V680">
        <v>28</v>
      </c>
      <c r="W680" t="str">
        <v>2022/07/12</v>
      </c>
      <c r="X680" t="str">
        <v>1.55</v>
      </c>
      <c r="Y680">
        <v>15.55</v>
      </c>
      <c r="Z680" t="str">
        <v>1.45</v>
      </c>
      <c r="AA680" t="str">
        <v>-0.29</v>
      </c>
      <c r="AB680" t="str">
        <v>康和證</v>
      </c>
      <c r="AC680" t="str">
        <v>上櫃金融</v>
      </c>
      <c r="AD680" t="str">
        <v>台灣綜合型證券商，其中期貨業務市占排名前七大</v>
      </c>
      <c r="AE680" t="str">
        <f t="array" ref="AE680:AH680">[1]!'6016.TW-CName,InvestorConferenceDate,DateofMeetingofShareHolders,TradingDate'</f>
        <v>康和證</v>
      </c>
      <c r="AF680" t="str">
        <v>--</v>
      </c>
      <c r="AG680" t="str">
        <v>2022/06/08</v>
      </c>
      <c r="AH680" t="str">
        <v>2022/08/01</v>
      </c>
    </row>
    <row r="681" spans="1:34" x14ac:dyDescent="0.3">
      <c r="A681" t="str">
        <f t="array" ref="A681:J681">[1]!'6020.TW-ID,Name,MarketValue,Capital,NetIncomeGrowthRate,OperIncomeGrowthRate,FinancialStatementsTime,TFXRatio,MonthlyNetSalesYoY,RevenueMonth'</f>
        <v>6020</v>
      </c>
      <c r="B681" t="str">
        <v>大展證</v>
      </c>
      <c r="C681" t="str">
        <v>48.5</v>
      </c>
      <c r="D681" t="str">
        <v>25.24</v>
      </c>
      <c r="E681" t="str">
        <v>-147.79</v>
      </c>
      <c r="F681" t="str">
        <v>-145.53</v>
      </c>
      <c r="G681" t="str">
        <v>2022/03</v>
      </c>
      <c r="H681" t="str">
        <v>-167.98</v>
      </c>
      <c r="I681" t="str">
        <v>-116.87</v>
      </c>
      <c r="J681" t="str">
        <v>2022/06</v>
      </c>
      <c r="K681" t="str">
        <f t="array" ref="K681:T681">[1]!'6020.TW-OperatingProfitRatio,Price,PriceChangeRatio,InOutRatioNumber,Value,YearReturn,MonthReturn,WeekReturn,FinanceBalanceDif,ChipsField2'</f>
        <v>--</v>
      </c>
      <c r="L681">
        <v>19.2</v>
      </c>
      <c r="M681">
        <v>1.32</v>
      </c>
      <c r="N681" t="str">
        <v>81.82%</v>
      </c>
      <c r="O681" t="str">
        <v>21.0萬</v>
      </c>
      <c r="P681" t="str">
        <v>-0.85</v>
      </c>
      <c r="Q681" t="str">
        <v>+4.35</v>
      </c>
      <c r="R681" t="str">
        <v>+1.05</v>
      </c>
      <c r="S681">
        <v>0</v>
      </c>
      <c r="T681">
        <v>0</v>
      </c>
      <c r="U681">
        <f t="array" ref="U681:AD681">[1]!'6020.TW-ChipsField3,ChipsField1,ChipsField25,CashAndStockDividend,CashDividendYieldRate,ProfitFourSeason,ProfitSingle,CName,ExchangeIndustry,CompanyPos'</f>
        <v>0</v>
      </c>
      <c r="V681">
        <v>1</v>
      </c>
      <c r="W681" t="str">
        <v>2022/04/14</v>
      </c>
      <c r="X681" t="str">
        <v>2.38</v>
      </c>
      <c r="Y681">
        <v>12.4</v>
      </c>
      <c r="Z681" t="str">
        <v>1.67</v>
      </c>
      <c r="AA681" t="str">
        <v>-0.56</v>
      </c>
      <c r="AB681" t="str">
        <v>大展證</v>
      </c>
      <c r="AC681" t="str">
        <v>上櫃金融</v>
      </c>
      <c r="AD681" t="str">
        <v>以大台北地區為營運的區域型券商</v>
      </c>
      <c r="AE681" t="str">
        <f t="array" ref="AE681:AH681">[1]!'6020.TW-CName,InvestorConferenceDate,DateofMeetingofShareHolders,TradingDate'</f>
        <v>大展證</v>
      </c>
      <c r="AF681" t="str">
        <v>2022/07/27</v>
      </c>
      <c r="AG681" t="str">
        <v>2022/06/23</v>
      </c>
      <c r="AH681" t="str">
        <v>2022/08/01</v>
      </c>
    </row>
    <row r="682" spans="1:34" x14ac:dyDescent="0.3">
      <c r="A682" t="str">
        <f t="array" ref="A682:J682">[1]!'6021.TW-ID,Name,MarketValue,Capital,NetIncomeGrowthRate,OperIncomeGrowthRate,FinancialStatementsTime,TFXRatio,MonthlyNetSalesYoY,RevenueMonth'</f>
        <v>6021</v>
      </c>
      <c r="B682" t="str">
        <v>美好證</v>
      </c>
      <c r="C682" t="str">
        <v>60.6</v>
      </c>
      <c r="D682" t="str">
        <v>30.98</v>
      </c>
      <c r="E682" t="str">
        <v>-91.52</v>
      </c>
      <c r="F682" t="str">
        <v>-98.49</v>
      </c>
      <c r="G682" t="str">
        <v>2022/03</v>
      </c>
      <c r="H682" t="str">
        <v>109.52</v>
      </c>
      <c r="I682" t="str">
        <v>-7.38</v>
      </c>
      <c r="J682" t="str">
        <v>2022/06</v>
      </c>
      <c r="K682" t="str">
        <f t="array" ref="K682:T682">[1]!'6021.TW-OperatingProfitRatio,Price,PriceChangeRatio,InOutRatioNumber,Value,YearReturn,MonthReturn,WeekReturn,FinanceBalanceDif,ChipsField2'</f>
        <v>0.30</v>
      </c>
      <c r="L682">
        <v>19.55</v>
      </c>
      <c r="M682">
        <v>0</v>
      </c>
      <c r="N682" t="str">
        <v>0.00%</v>
      </c>
      <c r="O682" t="str">
        <v>1.96萬</v>
      </c>
      <c r="P682" t="str">
        <v>-13.50</v>
      </c>
      <c r="Q682" t="str">
        <v>-2.25</v>
      </c>
      <c r="R682" t="str">
        <v>-2.25</v>
      </c>
      <c r="S682">
        <v>0</v>
      </c>
      <c r="T682">
        <v>0</v>
      </c>
      <c r="U682">
        <f t="array" ref="U682:AD682">[1]!'6021.TW-ChipsField3,ChipsField1,ChipsField25,CashAndStockDividend,CashDividendYieldRate,ProfitFourSeason,ProfitSingle,CName,ExchangeIndustry,CompanyPos'</f>
        <v>0</v>
      </c>
      <c r="V682">
        <v>1</v>
      </c>
      <c r="W682" t="str">
        <v>--</v>
      </c>
      <c r="X682" t="str">
        <v>0.00</v>
      </c>
      <c r="Y682">
        <v>0</v>
      </c>
      <c r="Z682" t="str">
        <v>0.89</v>
      </c>
      <c r="AA682" t="str">
        <v>0.01</v>
      </c>
      <c r="AB682" t="str">
        <v>美好證</v>
      </c>
      <c r="AC682" t="str">
        <v>上櫃金融</v>
      </c>
      <c r="AD682" t="str">
        <v>主要股東為大慶建設之小型券商</v>
      </c>
      <c r="AE682" t="str">
        <f t="array" ref="AE682:AH682">[1]!'6021.TW-CName,InvestorConferenceDate,DateofMeetingofShareHolders,TradingDate'</f>
        <v>美好證</v>
      </c>
      <c r="AF682" t="str">
        <v>2022/06/02</v>
      </c>
      <c r="AG682" t="str">
        <v>2022/06/02</v>
      </c>
      <c r="AH682" t="str">
        <v>2022/08/01</v>
      </c>
    </row>
    <row r="683" spans="1:34" x14ac:dyDescent="0.3">
      <c r="A683" t="str">
        <f t="array" ref="A683:J683">[1]!'6023.TW-ID,Name,MarketValue,Capital,NetIncomeGrowthRate,OperIncomeGrowthRate,FinancialStatementsTime,TFXRatio,MonthlyNetSalesYoY,RevenueMonth'</f>
        <v>6023</v>
      </c>
      <c r="B683" t="str">
        <v>元大期</v>
      </c>
      <c r="C683" t="str">
        <v>138.2</v>
      </c>
      <c r="D683" t="str">
        <v>29.00</v>
      </c>
      <c r="E683" t="str">
        <v>-21.14</v>
      </c>
      <c r="F683" t="str">
        <v>-28.55</v>
      </c>
      <c r="G683" t="str">
        <v>2022/03</v>
      </c>
      <c r="H683" t="str">
        <v>-0.93</v>
      </c>
      <c r="I683" t="str">
        <v>21.74</v>
      </c>
      <c r="J683" t="str">
        <v>2022/06</v>
      </c>
      <c r="K683" t="str">
        <f t="array" ref="K683:T683">[1]!'6023.TW-OperatingProfitRatio,Price,PriceChangeRatio,InOutRatioNumber,Value,YearReturn,MonthReturn,WeekReturn,FinanceBalanceDif,ChipsField2'</f>
        <v>9.34</v>
      </c>
      <c r="L683">
        <v>47.65</v>
      </c>
      <c r="M683">
        <v>0.32</v>
      </c>
      <c r="N683" t="str">
        <v>61.54%</v>
      </c>
      <c r="O683" t="str">
        <v>128萬</v>
      </c>
      <c r="P683" t="str">
        <v>+1.52</v>
      </c>
      <c r="Q683" t="str">
        <v>+4.04</v>
      </c>
      <c r="R683" t="str">
        <v>+1.28</v>
      </c>
      <c r="S683">
        <v>0</v>
      </c>
      <c r="T683">
        <v>0</v>
      </c>
      <c r="U683">
        <f t="array" ref="U683:AD683">[1]!'6023.TW-ChipsField3,ChipsField1,ChipsField25,CashAndStockDividend,CashDividendYieldRate,ProfitFourSeason,ProfitSingle,CName,ExchangeIndustry,CompanyPos'</f>
        <v>0</v>
      </c>
      <c r="V683">
        <v>0</v>
      </c>
      <c r="W683" t="str">
        <v>2022/06/09</v>
      </c>
      <c r="X683" t="str">
        <v>2.30</v>
      </c>
      <c r="Y683">
        <v>4.83</v>
      </c>
      <c r="Z683" t="str">
        <v>2.81</v>
      </c>
      <c r="AA683" t="str">
        <v>0.58</v>
      </c>
      <c r="AB683" t="str">
        <v>元大期</v>
      </c>
      <c r="AC683" t="str">
        <v>上櫃金融</v>
      </c>
      <c r="AD683" t="str">
        <v>台灣最大期貨商，屬元大集團</v>
      </c>
      <c r="AE683" t="str">
        <f t="array" ref="AE683:AH683">[1]!'6023.TW-CName,InvestorConferenceDate,DateofMeetingofShareHolders,TradingDate'</f>
        <v>元大期</v>
      </c>
      <c r="AF683" t="str">
        <v>--</v>
      </c>
      <c r="AG683" t="str">
        <v>2022/05/24</v>
      </c>
      <c r="AH683" t="str">
        <v>2022/08/01</v>
      </c>
    </row>
    <row r="684" spans="1:34" x14ac:dyDescent="0.3">
      <c r="A684" t="str">
        <f t="array" ref="A684:J684">[1]!'6026.TW-ID,Name,MarketValue,Capital,NetIncomeGrowthRate,OperIncomeGrowthRate,FinancialStatementsTime,TFXRatio,MonthlyNetSalesYoY,RevenueMonth'</f>
        <v>6026</v>
      </c>
      <c r="B684" t="str">
        <v>福邦證</v>
      </c>
      <c r="C684" t="str">
        <v>45.2</v>
      </c>
      <c r="D684" t="str">
        <v>30.01</v>
      </c>
      <c r="E684" t="str">
        <v>-64.19</v>
      </c>
      <c r="F684" t="str">
        <v>-54.04</v>
      </c>
      <c r="G684" t="str">
        <v>2022/03</v>
      </c>
      <c r="H684" t="str">
        <v>-260.67</v>
      </c>
      <c r="I684" t="str">
        <v>-164.70</v>
      </c>
      <c r="J684" t="str">
        <v>2022/06</v>
      </c>
      <c r="K684" t="str">
        <f t="array" ref="K684:T684">[1]!'6026.TW-OperatingProfitRatio,Price,PriceChangeRatio,InOutRatioNumber,Value,YearReturn,MonthReturn,WeekReturn,FinanceBalanceDif,ChipsField2'</f>
        <v>60.50</v>
      </c>
      <c r="L684">
        <v>15.05</v>
      </c>
      <c r="M684">
        <v>0.67</v>
      </c>
      <c r="N684" t="str">
        <v>65.65%</v>
      </c>
      <c r="O684" t="str">
        <v>1576萬</v>
      </c>
      <c r="P684" t="str">
        <v>-7.95</v>
      </c>
      <c r="Q684" t="str">
        <v>-1.31</v>
      </c>
      <c r="R684" t="str">
        <v>0.00</v>
      </c>
      <c r="S684">
        <v>49</v>
      </c>
      <c r="T684">
        <v>0</v>
      </c>
      <c r="U684">
        <f t="array" ref="U684:AD684">[1]!'6026.TW-ChipsField3,ChipsField1,ChipsField25,CashAndStockDividend,CashDividendYieldRate,ProfitFourSeason,ProfitSingle,CName,ExchangeIndustry,CompanyPos'</f>
        <v>0</v>
      </c>
      <c r="V684">
        <v>179</v>
      </c>
      <c r="W684" t="str">
        <v>--</v>
      </c>
      <c r="X684" t="str">
        <v>3.28</v>
      </c>
      <c r="Y684">
        <v>21.79</v>
      </c>
      <c r="Z684" t="str">
        <v>4.16</v>
      </c>
      <c r="AA684" t="str">
        <v>0.24</v>
      </c>
      <c r="AB684" t="str">
        <v>福邦證</v>
      </c>
      <c r="AC684" t="str">
        <v>上櫃金融</v>
      </c>
      <c r="AD684" t="str">
        <v>台灣小型綜合證券業務商</v>
      </c>
      <c r="AE684" t="str">
        <f t="array" ref="AE684:AH684">[1]!'6026.TW-CName,InvestorConferenceDate,DateofMeetingofShareHolders,TradingDate'</f>
        <v>福邦證</v>
      </c>
      <c r="AF684" t="str">
        <v>2021/12/03</v>
      </c>
      <c r="AG684" t="str">
        <v>2022/06/30</v>
      </c>
      <c r="AH684" t="str">
        <v>2022/08/01</v>
      </c>
    </row>
    <row r="685" spans="1:34" x14ac:dyDescent="0.3">
      <c r="A685" t="str">
        <f t="array" ref="A685:J685">[1]!'2916.TW-ID,Name,MarketValue,Capital,NetIncomeGrowthRate,OperIncomeGrowthRate,FinancialStatementsTime,TFXRatio,MonthlyNetSalesYoY,RevenueMonth'</f>
        <v>2916</v>
      </c>
      <c r="B685" t="str">
        <v>滿心</v>
      </c>
      <c r="C685" t="str">
        <v>12.0</v>
      </c>
      <c r="D685" t="str">
        <v>5.46</v>
      </c>
      <c r="E685" t="str">
        <v>-4.87</v>
      </c>
      <c r="F685" t="str">
        <v>-5.32</v>
      </c>
      <c r="G685" t="str">
        <v>2022/03</v>
      </c>
      <c r="H685" t="str">
        <v>5.29</v>
      </c>
      <c r="I685" t="str">
        <v>467.79</v>
      </c>
      <c r="J685" t="str">
        <v>2022/06</v>
      </c>
      <c r="K685" t="str">
        <f t="array" ref="K685:T685">[1]!'2916.TW-OperatingProfitRatio,Price,PriceChangeRatio,InOutRatioNumber,Value,YearReturn,MonthReturn,WeekReturn,FinanceBalanceDif,ChipsField2'</f>
        <v>10.27</v>
      </c>
      <c r="L685">
        <v>22.05</v>
      </c>
      <c r="M685">
        <v>0</v>
      </c>
      <c r="N685" t="str">
        <v>37.93%</v>
      </c>
      <c r="O685" t="str">
        <v>70.7萬</v>
      </c>
      <c r="P685" t="str">
        <v>+25.77</v>
      </c>
      <c r="Q685" t="str">
        <v>+7.04</v>
      </c>
      <c r="R685" t="str">
        <v>+0.23</v>
      </c>
      <c r="S685">
        <v>-1</v>
      </c>
      <c r="T685">
        <v>0</v>
      </c>
      <c r="U685">
        <f t="array" ref="U685:AD685">[1]!'2916.TW-ChipsField3,ChipsField1,ChipsField25,CashAndStockDividend,CashDividendYieldRate,ProfitFourSeason,ProfitSingle,CName,ExchangeIndustry,CompanyPos'</f>
        <v>0</v>
      </c>
      <c r="V685">
        <v>0</v>
      </c>
      <c r="W685" t="str">
        <v>2022/06/23</v>
      </c>
      <c r="X685" t="str">
        <v>2.20</v>
      </c>
      <c r="Y685">
        <v>9.98</v>
      </c>
      <c r="Z685" t="str">
        <v>2.49</v>
      </c>
      <c r="AA685" t="str">
        <v>0.67</v>
      </c>
      <c r="AB685" t="str">
        <v>滿心</v>
      </c>
      <c r="AC685" t="str">
        <v>上櫃貿易百貨</v>
      </c>
      <c r="AD685" t="str">
        <v>台灣第二大代理知名品牌服飾廠商</v>
      </c>
      <c r="AE685" t="str">
        <f t="array" ref="AE685:AH685">[1]!'2916.TW-CName,InvestorConferenceDate,DateofMeetingofShareHolders,TradingDate'</f>
        <v>滿心</v>
      </c>
      <c r="AF685" t="str">
        <v>--</v>
      </c>
      <c r="AG685" t="str">
        <v>2022/06/06</v>
      </c>
      <c r="AH685" t="str">
        <v>2022/08/01</v>
      </c>
    </row>
    <row r="686" spans="1:34" x14ac:dyDescent="0.3">
      <c r="A686" t="str">
        <f t="array" ref="A686:J686">[1]!'2924.TW-ID,Name,MarketValue,Capital,NetIncomeGrowthRate,OperIncomeGrowthRate,FinancialStatementsTime,TFXRatio,MonthlyNetSalesYoY,RevenueMonth'</f>
        <v>2924</v>
      </c>
      <c r="B686" t="str">
        <v>東凌-KY</v>
      </c>
      <c r="C686" t="str">
        <v>9.8</v>
      </c>
      <c r="D686" t="str">
        <v>3.28</v>
      </c>
      <c r="E686" t="str">
        <v>-2.31</v>
      </c>
      <c r="F686" t="str">
        <v>-15.65</v>
      </c>
      <c r="G686" t="str">
        <v>2022/03</v>
      </c>
      <c r="H686" t="str">
        <v>99.06</v>
      </c>
      <c r="I686" t="str">
        <v>-54.26</v>
      </c>
      <c r="J686" t="str">
        <v>2022/06</v>
      </c>
      <c r="K686" t="str">
        <f t="array" ref="K686:T686">[1]!'2924.TW-OperatingProfitRatio,Price,PriceChangeRatio,InOutRatioNumber,Value,YearReturn,MonthReturn,WeekReturn,FinanceBalanceDif,ChipsField2'</f>
        <v>-68.01</v>
      </c>
      <c r="L686" t="str">
        <v>--</v>
      </c>
      <c r="M686" t="str">
        <v>--</v>
      </c>
      <c r="N686" t="str">
        <v>--</v>
      </c>
      <c r="O686" t="str">
        <v>--</v>
      </c>
      <c r="P686" t="str">
        <v>+60.43</v>
      </c>
      <c r="Q686" t="str">
        <v>+6.76</v>
      </c>
      <c r="R686" t="str">
        <v>+1.35</v>
      </c>
      <c r="S686">
        <v>0</v>
      </c>
      <c r="T686">
        <v>0</v>
      </c>
      <c r="U686">
        <f t="array" ref="U686:AD686">[1]!'2924.TW-ChipsField3,ChipsField1,ChipsField25,CashAndStockDividend,CashDividendYieldRate,ProfitFourSeason,ProfitSingle,CName,ExchangeIndustry,CompanyPos'</f>
        <v>0</v>
      </c>
      <c r="V686">
        <v>0</v>
      </c>
      <c r="W686" t="str">
        <v>--</v>
      </c>
      <c r="X686" t="str">
        <v>0.00</v>
      </c>
      <c r="Y686">
        <v>0</v>
      </c>
      <c r="Z686" t="str">
        <v>-1.73</v>
      </c>
      <c r="AA686" t="str">
        <v>-0.67</v>
      </c>
      <c r="AB686" t="str">
        <v>東凌-KY</v>
      </c>
      <c r="AC686" t="str">
        <v>上櫃貿易百貨</v>
      </c>
      <c r="AD686" t="str">
        <v>以「黃色小鴨」品牌在兩岸經營嬰童產品</v>
      </c>
      <c r="AE686" t="str">
        <f t="array" ref="AE686:AH686">[1]!'2924.TW-CName,InvestorConferenceDate,DateofMeetingofShareHolders,TradingDate'</f>
        <v>東凌-KY</v>
      </c>
      <c r="AF686" t="str">
        <v>2021/11/30</v>
      </c>
      <c r="AG686" t="str">
        <v>2022/06/20</v>
      </c>
      <c r="AH686" t="str">
        <v>2022/08/01</v>
      </c>
    </row>
    <row r="687" spans="1:34" x14ac:dyDescent="0.3">
      <c r="A687" t="str">
        <f t="array" ref="A687:J687">[1]!'2937.TW-ID,Name,MarketValue,Capital,NetIncomeGrowthRate,OperIncomeGrowthRate,FinancialStatementsTime,TFXRatio,MonthlyNetSalesYoY,RevenueMonth'</f>
        <v>2937</v>
      </c>
      <c r="B687" t="str">
        <v>集雅社</v>
      </c>
      <c r="C687" t="str">
        <v>13.8</v>
      </c>
      <c r="D687" t="str">
        <v>3.67</v>
      </c>
      <c r="E687" t="str">
        <v>62.86</v>
      </c>
      <c r="F687" t="str">
        <v>67.15</v>
      </c>
      <c r="G687" t="str">
        <v>2022/03</v>
      </c>
      <c r="H687" t="str">
        <v>-7.27</v>
      </c>
      <c r="I687" t="str">
        <v>42.53</v>
      </c>
      <c r="J687" t="str">
        <v>2022/06</v>
      </c>
      <c r="K687" t="str">
        <f t="array" ref="K687:T687">[1]!'2937.TW-OperatingProfitRatio,Price,PriceChangeRatio,InOutRatioNumber,Value,YearReturn,MonthReturn,WeekReturn,FinanceBalanceDif,ChipsField2'</f>
        <v>6.59</v>
      </c>
      <c r="L687">
        <v>37.5</v>
      </c>
      <c r="M687">
        <v>0.27</v>
      </c>
      <c r="N687" t="str">
        <v>41.67%</v>
      </c>
      <c r="O687" t="str">
        <v>44.9萬</v>
      </c>
      <c r="P687" t="str">
        <v>+24.60</v>
      </c>
      <c r="Q687" t="str">
        <v>+6.09</v>
      </c>
      <c r="R687" t="str">
        <v>+2.14</v>
      </c>
      <c r="S687">
        <v>0</v>
      </c>
      <c r="T687">
        <v>0</v>
      </c>
      <c r="U687">
        <f t="array" ref="U687:AD687">[1]!'2937.TW-ChipsField3,ChipsField1,ChipsField25,CashAndStockDividend,CashDividendYieldRate,ProfitFourSeason,ProfitSingle,CName,ExchangeIndustry,CompanyPos'</f>
        <v>-5</v>
      </c>
      <c r="V687">
        <v>-3</v>
      </c>
      <c r="W687" t="str">
        <v>2022/07/28</v>
      </c>
      <c r="X687" t="str">
        <v>2.25</v>
      </c>
      <c r="Y687">
        <v>6</v>
      </c>
      <c r="Z687" t="str">
        <v>3.80</v>
      </c>
      <c r="AA687" t="str">
        <v>1.30</v>
      </c>
      <c r="AB687" t="str">
        <v>集雅社</v>
      </c>
      <c r="AC687" t="str">
        <v>上櫃貿易百貨</v>
      </c>
      <c r="AD687" t="str">
        <v>台灣影音家電產品之通路商</v>
      </c>
      <c r="AE687" t="str">
        <f t="array" ref="AE687:AH687">[1]!'2937.TW-CName,InvestorConferenceDate,DateofMeetingofShareHolders,TradingDate'</f>
        <v>集雅社</v>
      </c>
      <c r="AF687" t="str">
        <v>2021/04/28</v>
      </c>
      <c r="AG687" t="str">
        <v>2022/06/15</v>
      </c>
      <c r="AH687" t="str">
        <v>2022/08/01</v>
      </c>
    </row>
    <row r="688" spans="1:34" x14ac:dyDescent="0.3">
      <c r="A688" t="str">
        <f t="array" ref="A688:J688">[1]!'2947.TW-ID,Name,MarketValue,Capital,NetIncomeGrowthRate,OperIncomeGrowthRate,FinancialStatementsTime,TFXRatio,MonthlyNetSalesYoY,RevenueMonth'</f>
        <v>2947</v>
      </c>
      <c r="B688" t="str">
        <v>振宇五金</v>
      </c>
      <c r="C688" t="str">
        <v>20.3</v>
      </c>
      <c r="D688" t="str">
        <v>1.93</v>
      </c>
      <c r="E688" t="str">
        <v>-19.57</v>
      </c>
      <c r="F688" t="str">
        <v>-16.88</v>
      </c>
      <c r="G688" t="str">
        <v>2022/03</v>
      </c>
      <c r="H688" t="str">
        <v>6.63</v>
      </c>
      <c r="I688" t="str">
        <v>10.06</v>
      </c>
      <c r="J688" t="str">
        <v>2022/06</v>
      </c>
      <c r="K688" t="str">
        <f t="array" ref="K688:T688">[1]!'2947.TW-OperatingProfitRatio,Price,PriceChangeRatio,InOutRatioNumber,Value,YearReturn,MonthReturn,WeekReturn,FinanceBalanceDif,ChipsField2'</f>
        <v>7.83</v>
      </c>
      <c r="L688">
        <v>105.5</v>
      </c>
      <c r="M688">
        <v>-1.4</v>
      </c>
      <c r="N688" t="str">
        <v>0.00%</v>
      </c>
      <c r="O688" t="str">
        <v>10.6萬</v>
      </c>
      <c r="P688" t="str">
        <v>--</v>
      </c>
      <c r="Q688" t="str">
        <v>+6.27</v>
      </c>
      <c r="R688" t="str">
        <v>-0.94</v>
      </c>
      <c r="S688">
        <v>0</v>
      </c>
      <c r="T688">
        <v>0</v>
      </c>
      <c r="U688">
        <f t="array" ref="U688:AD688">[1]!'2947.TW-ChipsField3,ChipsField1,ChipsField25,CashAndStockDividend,CashDividendYieldRate,ProfitFourSeason,ProfitSingle,CName,ExchangeIndustry,CompanyPos'</f>
        <v>0</v>
      </c>
      <c r="V688">
        <v>0</v>
      </c>
      <c r="W688" t="str">
        <v>2022/07/07</v>
      </c>
      <c r="X688" t="str">
        <v>3.80</v>
      </c>
      <c r="Y688">
        <v>3.6</v>
      </c>
      <c r="Z688" t="str">
        <v>5.84</v>
      </c>
      <c r="AA688" t="str">
        <v>1.32</v>
      </c>
      <c r="AB688" t="str">
        <v>振宇五金</v>
      </c>
      <c r="AC688" t="str">
        <v>上櫃貿易百貨</v>
      </c>
      <c r="AD688" t="str">
        <v>大型五金修繕專業賣場</v>
      </c>
      <c r="AE688" t="str">
        <f t="array" ref="AE688:AH688">[1]!'2947.TW-CName,InvestorConferenceDate,DateofMeetingofShareHolders,TradingDate'</f>
        <v>振宇五金</v>
      </c>
      <c r="AF688" t="str">
        <v>2022/04/07</v>
      </c>
      <c r="AG688" t="str">
        <v>2022/06/21</v>
      </c>
      <c r="AH688" t="str">
        <v>2022/08/01</v>
      </c>
    </row>
    <row r="689" spans="1:34" x14ac:dyDescent="0.3">
      <c r="A689" t="str">
        <f t="array" ref="A689:J689">[1]!'3171.TW-ID,Name,MarketValue,Capital,NetIncomeGrowthRate,OperIncomeGrowthRate,FinancialStatementsTime,TFXRatio,MonthlyNetSalesYoY,RevenueMonth'</f>
        <v>3171</v>
      </c>
      <c r="B689" t="str">
        <v>新洲</v>
      </c>
      <c r="C689" t="str">
        <v>10.6</v>
      </c>
      <c r="D689" t="str">
        <v>6.67</v>
      </c>
      <c r="E689" t="str">
        <v>-48.74</v>
      </c>
      <c r="F689" t="str">
        <v>-49.91</v>
      </c>
      <c r="G689" t="str">
        <v>2022/03</v>
      </c>
      <c r="H689" t="str">
        <v>-3.76</v>
      </c>
      <c r="I689" t="str">
        <v>-8.70</v>
      </c>
      <c r="J689" t="str">
        <v>2022/06</v>
      </c>
      <c r="K689" t="str">
        <f t="array" ref="K689:T689">[1]!'3171.TW-OperatingProfitRatio,Price,PriceChangeRatio,InOutRatioNumber,Value,YearReturn,MonthReturn,WeekReturn,FinanceBalanceDif,ChipsField2'</f>
        <v>3.77</v>
      </c>
      <c r="L689">
        <v>15.95</v>
      </c>
      <c r="M689">
        <v>0.31</v>
      </c>
      <c r="N689" t="str">
        <v>30.77%</v>
      </c>
      <c r="O689" t="str">
        <v>20.7萬</v>
      </c>
      <c r="P689" t="str">
        <v>-23.17</v>
      </c>
      <c r="Q689" t="str">
        <v>-1.25</v>
      </c>
      <c r="R689" t="str">
        <v>+0.31</v>
      </c>
      <c r="S689">
        <v>0</v>
      </c>
      <c r="T689">
        <v>0</v>
      </c>
      <c r="U689">
        <f t="array" ref="U689:AD689">[1]!'3171.TW-ChipsField3,ChipsField1,ChipsField25,CashAndStockDividend,CashDividendYieldRate,ProfitFourSeason,ProfitSingle,CName,ExchangeIndustry,CompanyPos'</f>
        <v>0</v>
      </c>
      <c r="V689">
        <v>1</v>
      </c>
      <c r="W689" t="str">
        <v>2022/07/12</v>
      </c>
      <c r="X689" t="str">
        <v>1.57</v>
      </c>
      <c r="Y689">
        <v>9.84</v>
      </c>
      <c r="Z689" t="str">
        <v>1.42</v>
      </c>
      <c r="AA689" t="str">
        <v>0.23</v>
      </c>
      <c r="AB689" t="str">
        <v>新洲</v>
      </c>
      <c r="AC689" t="str">
        <v>上櫃貿易百貨</v>
      </c>
      <c r="AD689" t="str">
        <v>炎洲集團旗下的包材企業</v>
      </c>
      <c r="AE689" t="str">
        <f t="array" ref="AE689:AH689">[1]!'3171.TW-CName,InvestorConferenceDate,DateofMeetingofShareHolders,TradingDate'</f>
        <v>新洲</v>
      </c>
      <c r="AF689" t="str">
        <v>--</v>
      </c>
      <c r="AG689" t="str">
        <v>2022/06/14</v>
      </c>
      <c r="AH689" t="str">
        <v>2022/08/01</v>
      </c>
    </row>
    <row r="690" spans="1:34" x14ac:dyDescent="0.3">
      <c r="A690" t="str">
        <f t="array" ref="A690:J690">[1]!'5902.TW-ID,Name,MarketValue,Capital,NetIncomeGrowthRate,OperIncomeGrowthRate,FinancialStatementsTime,TFXRatio,MonthlyNetSalesYoY,RevenueMonth'</f>
        <v>5902</v>
      </c>
      <c r="B690" t="str">
        <v>德記</v>
      </c>
      <c r="C690" t="str">
        <v>33.5</v>
      </c>
      <c r="D690" t="str">
        <v>9.45</v>
      </c>
      <c r="E690" t="str">
        <v>61.02</v>
      </c>
      <c r="F690" t="str">
        <v>66.25</v>
      </c>
      <c r="G690" t="str">
        <v>2022/03</v>
      </c>
      <c r="H690" t="str">
        <v>14.34</v>
      </c>
      <c r="I690" t="str">
        <v>29.08</v>
      </c>
      <c r="J690" t="str">
        <v>2022/06</v>
      </c>
      <c r="K690" t="str">
        <f t="array" ref="K690:T690">[1]!'5902.TW-OperatingProfitRatio,Price,PriceChangeRatio,InOutRatioNumber,Value,YearReturn,MonthReturn,WeekReturn,FinanceBalanceDif,ChipsField2'</f>
        <v>11.25</v>
      </c>
      <c r="L690">
        <v>35.4</v>
      </c>
      <c r="M690">
        <v>-0.7</v>
      </c>
      <c r="N690" t="str">
        <v>35.38%</v>
      </c>
      <c r="O690" t="str">
        <v>506萬</v>
      </c>
      <c r="P690" t="str">
        <v>+30.49</v>
      </c>
      <c r="Q690" t="str">
        <v>+34.09</v>
      </c>
      <c r="R690" t="str">
        <v>+9.26</v>
      </c>
      <c r="S690">
        <v>-14</v>
      </c>
      <c r="T690">
        <v>0</v>
      </c>
      <c r="U690">
        <f t="array" ref="U690:AD690">[1]!'5902.TW-ChipsField3,ChipsField1,ChipsField25,CashAndStockDividend,CashDividendYieldRate,ProfitFourSeason,ProfitSingle,CName,ExchangeIndustry,CompanyPos'</f>
        <v>0</v>
      </c>
      <c r="V690">
        <v>113</v>
      </c>
      <c r="W690" t="str">
        <v>2022/06/14</v>
      </c>
      <c r="X690" t="str">
        <v>1.20</v>
      </c>
      <c r="Y690">
        <v>3.39</v>
      </c>
      <c r="Z690" t="str">
        <v>1.78</v>
      </c>
      <c r="AA690" t="str">
        <v>0.55</v>
      </c>
      <c r="AB690" t="str">
        <v>德記</v>
      </c>
      <c r="AC690" t="str">
        <v>上櫃貿易百貨</v>
      </c>
      <c r="AD690" t="str">
        <v>統一集團旗下貿易商，旗下自有品牌為「開喜」系列茶飲</v>
      </c>
      <c r="AE690" t="str">
        <f t="array" ref="AE690:AH690">[1]!'5902.TW-CName,InvestorConferenceDate,DateofMeetingofShareHolders,TradingDate'</f>
        <v>德記</v>
      </c>
      <c r="AF690" t="str">
        <v>--</v>
      </c>
      <c r="AG690" t="str">
        <v>2022/05/25</v>
      </c>
      <c r="AH690" t="str">
        <v>2022/08/01</v>
      </c>
    </row>
    <row r="691" spans="1:34" x14ac:dyDescent="0.3">
      <c r="A691" t="str">
        <f t="array" ref="A691:J691">[1]!'5903.TW-ID,Name,MarketValue,Capital,NetIncomeGrowthRate,OperIncomeGrowthRate,FinancialStatementsTime,TFXRatio,MonthlyNetSalesYoY,RevenueMonth'</f>
        <v>5903</v>
      </c>
      <c r="B691" t="str">
        <v>全家</v>
      </c>
      <c r="C691" t="str">
        <v>417.4</v>
      </c>
      <c r="D691" t="str">
        <v>22.32</v>
      </c>
      <c r="E691" t="str">
        <v>-46.83</v>
      </c>
      <c r="F691" t="str">
        <v>-46.28</v>
      </c>
      <c r="G691" t="str">
        <v>2022/03</v>
      </c>
      <c r="H691" t="str">
        <v>1.14</v>
      </c>
      <c r="I691" t="str">
        <v>18.92</v>
      </c>
      <c r="J691" t="str">
        <v>2022/06</v>
      </c>
      <c r="K691" t="str">
        <f t="array" ref="K691:T691">[1]!'5903.TW-OperatingProfitRatio,Price,PriceChangeRatio,InOutRatioNumber,Value,YearReturn,MonthReturn,WeekReturn,FinanceBalanceDif,ChipsField2'</f>
        <v>1.07</v>
      </c>
      <c r="L691" t="str">
        <v>--</v>
      </c>
      <c r="M691" t="str">
        <v>--</v>
      </c>
      <c r="N691" t="str">
        <v>--</v>
      </c>
      <c r="O691" t="str">
        <v>--</v>
      </c>
      <c r="P691" t="str">
        <v>-27.43</v>
      </c>
      <c r="Q691" t="str">
        <v>-2.09</v>
      </c>
      <c r="R691" t="str">
        <v>-1.06</v>
      </c>
      <c r="S691">
        <v>1</v>
      </c>
      <c r="T691">
        <v>0</v>
      </c>
      <c r="U691">
        <f t="array" ref="U691:AD691">[1]!'5903.TW-ChipsField3,ChipsField1,ChipsField25,CashAndStockDividend,CashDividendYieldRate,ProfitFourSeason,ProfitSingle,CName,ExchangeIndustry,CompanyPos'</f>
        <v>1</v>
      </c>
      <c r="V691">
        <v>2</v>
      </c>
      <c r="W691" t="str">
        <v>2022/08/03</v>
      </c>
      <c r="X691" t="str">
        <v>4.70</v>
      </c>
      <c r="Y691">
        <v>2.5099999999999998</v>
      </c>
      <c r="Z691" t="str">
        <v>5.36</v>
      </c>
      <c r="AA691" t="str">
        <v>0.76</v>
      </c>
      <c r="AB691" t="str">
        <v>全家</v>
      </c>
      <c r="AC691" t="str">
        <v>上櫃貿易百貨</v>
      </c>
      <c r="AD691" t="str">
        <v>台灣第二大連鎖便利商店</v>
      </c>
      <c r="AE691" t="str">
        <f t="array" ref="AE691:AH691">[1]!'5903.TW-CName,InvestorConferenceDate,DateofMeetingofShareHolders,TradingDate'</f>
        <v>全家</v>
      </c>
      <c r="AF691" t="str">
        <v>2022/03/29</v>
      </c>
      <c r="AG691" t="str">
        <v>2022/06/17</v>
      </c>
      <c r="AH691" t="str">
        <v>2022/08/01</v>
      </c>
    </row>
    <row r="692" spans="1:34" x14ac:dyDescent="0.3">
      <c r="A692" t="str">
        <f t="array" ref="A692:J692">[1]!'5904.TW-ID,Name,MarketValue,Capital,NetIncomeGrowthRate,OperIncomeGrowthRate,FinancialStatementsTime,TFXRatio,MonthlyNetSalesYoY,RevenueMonth'</f>
        <v>5904</v>
      </c>
      <c r="B692" t="str">
        <v>寶雅</v>
      </c>
      <c r="C692" t="str">
        <v>381.5</v>
      </c>
      <c r="D692" t="str">
        <v>10.22</v>
      </c>
      <c r="E692" t="str">
        <v>-11.14</v>
      </c>
      <c r="F692" t="str">
        <v>-8.78</v>
      </c>
      <c r="G692" t="str">
        <v>2022/06</v>
      </c>
      <c r="H692" t="str">
        <v>10.82</v>
      </c>
      <c r="I692" t="str">
        <v>46.29</v>
      </c>
      <c r="J692" t="str">
        <v>2022/06</v>
      </c>
      <c r="K692" t="str">
        <f t="array" ref="K692:T692">[1]!'5904.TW-OperatingProfitRatio,Price,PriceChangeRatio,InOutRatioNumber,Value,YearReturn,MonthReturn,WeekReturn,FinanceBalanceDif,ChipsField2'</f>
        <v>11.20</v>
      </c>
      <c r="L692" t="str">
        <v>--</v>
      </c>
      <c r="M692" t="str">
        <v>--</v>
      </c>
      <c r="N692" t="str">
        <v>--</v>
      </c>
      <c r="O692" t="str">
        <v>--</v>
      </c>
      <c r="P692" t="str">
        <v>-26.99</v>
      </c>
      <c r="Q692" t="str">
        <v>+20.27</v>
      </c>
      <c r="R692" t="str">
        <v>+2.88</v>
      </c>
      <c r="S692">
        <v>-40</v>
      </c>
      <c r="T692">
        <v>6</v>
      </c>
      <c r="U692">
        <f t="array" ref="U692:AD692">[1]!'5904.TW-ChipsField3,ChipsField1,ChipsField25,CashAndStockDividend,CashDividendYieldRate,ProfitFourSeason,ProfitSingle,CName,ExchangeIndustry,CompanyPos'</f>
        <v>15</v>
      </c>
      <c r="V692">
        <v>399</v>
      </c>
      <c r="W692" t="str">
        <v>2022/07/20</v>
      </c>
      <c r="X692" t="str">
        <v>11.10</v>
      </c>
      <c r="Y692">
        <v>2.96</v>
      </c>
      <c r="Z692" t="str">
        <v>17.25</v>
      </c>
      <c r="AA692" t="str">
        <v>2.84</v>
      </c>
      <c r="AB692" t="str">
        <v>寶雅</v>
      </c>
      <c r="AC692" t="str">
        <v>上櫃貿易百貨</v>
      </c>
      <c r="AD692" t="str">
        <v>台灣二線城市最大美妝及生活用品百貨</v>
      </c>
      <c r="AE692" t="str">
        <f t="array" ref="AE692:AH692">[1]!'5904.TW-CName,InvestorConferenceDate,DateofMeetingofShareHolders,TradingDate'</f>
        <v>寶雅</v>
      </c>
      <c r="AF692" t="str">
        <v>2022/01/05</v>
      </c>
      <c r="AG692" t="str">
        <v>2022/06/21</v>
      </c>
      <c r="AH692" t="str">
        <v>2022/08/01</v>
      </c>
    </row>
    <row r="693" spans="1:34" x14ac:dyDescent="0.3">
      <c r="A693" t="str">
        <f t="array" ref="A693:J693">[1]!'5905.TW-ID,Name,MarketValue,Capital,NetIncomeGrowthRate,OperIncomeGrowthRate,FinancialStatementsTime,TFXRatio,MonthlyNetSalesYoY,RevenueMonth'</f>
        <v>5905</v>
      </c>
      <c r="B693" t="str">
        <v>南仁湖</v>
      </c>
      <c r="C693" t="str">
        <v>30.0</v>
      </c>
      <c r="D693" t="str">
        <v>24.98</v>
      </c>
      <c r="E693" t="str">
        <v>-116.09</v>
      </c>
      <c r="F693" t="str">
        <v>-109.60</v>
      </c>
      <c r="G693" t="str">
        <v>2022/03</v>
      </c>
      <c r="H693" t="str">
        <v>47.47</v>
      </c>
      <c r="I693" t="str">
        <v>243.63</v>
      </c>
      <c r="J693" t="str">
        <v>2022/06</v>
      </c>
      <c r="K693" t="str">
        <f t="array" ref="K693:T693">[1]!'5905.TW-OperatingProfitRatio,Price,PriceChangeRatio,InOutRatioNumber,Value,YearReturn,MonthReturn,WeekReturn,FinanceBalanceDif,ChipsField2'</f>
        <v>-21.54</v>
      </c>
      <c r="L693">
        <v>12</v>
      </c>
      <c r="M693">
        <v>-0.41</v>
      </c>
      <c r="N693" t="str">
        <v>33.70%</v>
      </c>
      <c r="O693" t="str">
        <v>445萬</v>
      </c>
      <c r="P693" t="str">
        <v>-32.79</v>
      </c>
      <c r="Q693" t="str">
        <v>+4.35</v>
      </c>
      <c r="R693" t="str">
        <v>-0.41</v>
      </c>
      <c r="S693">
        <v>7</v>
      </c>
      <c r="T693">
        <v>0</v>
      </c>
      <c r="U693">
        <f t="array" ref="U693:AD693">[1]!'5905.TW-ChipsField3,ChipsField1,ChipsField25,CashAndStockDividend,CashDividendYieldRate,ProfitFourSeason,ProfitSingle,CName,ExchangeIndustry,CompanyPos'</f>
        <v>0</v>
      </c>
      <c r="V693">
        <v>17</v>
      </c>
      <c r="W693" t="str">
        <v>--</v>
      </c>
      <c r="X693" t="str">
        <v>0.00</v>
      </c>
      <c r="Y693">
        <v>0</v>
      </c>
      <c r="Z693" t="str">
        <v>-0.92</v>
      </c>
      <c r="AA693" t="str">
        <v>-0.28</v>
      </c>
      <c r="AB693" t="str">
        <v>南仁湖</v>
      </c>
      <c r="AC693" t="str">
        <v>上櫃貿易百貨</v>
      </c>
      <c r="AD693" t="str">
        <v>高速公路休息站及海生館、小墾丁渡假村之經營業者</v>
      </c>
      <c r="AE693" t="str">
        <f t="array" ref="AE693:AH693">[1]!'5905.TW-CName,InvestorConferenceDate,DateofMeetingofShareHolders,TradingDate'</f>
        <v>南仁湖</v>
      </c>
      <c r="AF693" t="str">
        <v>--</v>
      </c>
      <c r="AG693" t="str">
        <v>2022/06/22</v>
      </c>
      <c r="AH693" t="str">
        <v>2022/08/01</v>
      </c>
    </row>
    <row r="694" spans="1:34" x14ac:dyDescent="0.3">
      <c r="A694" t="str">
        <f t="array" ref="A694:J694">[1]!'6195.TW-ID,Name,MarketValue,Capital,NetIncomeGrowthRate,OperIncomeGrowthRate,FinancialStatementsTime,TFXRatio,MonthlyNetSalesYoY,RevenueMonth'</f>
        <v>6195</v>
      </c>
      <c r="B694" t="str">
        <v>詩肯</v>
      </c>
      <c r="C694" t="str">
        <v>24.3</v>
      </c>
      <c r="D694" t="str">
        <v>5.02</v>
      </c>
      <c r="E694" t="str">
        <v>-17.97</v>
      </c>
      <c r="F694" t="str">
        <v>-14.85</v>
      </c>
      <c r="G694" t="str">
        <v>2022/03</v>
      </c>
      <c r="H694" t="str">
        <v>12.34</v>
      </c>
      <c r="I694" t="str">
        <v>56.11</v>
      </c>
      <c r="J694" t="str">
        <v>2022/06</v>
      </c>
      <c r="K694" t="str">
        <f t="array" ref="K694:T694">[1]!'6195.TW-OperatingProfitRatio,Price,PriceChangeRatio,InOutRatioNumber,Value,YearReturn,MonthReturn,WeekReturn,FinanceBalanceDif,ChipsField2'</f>
        <v>15.22</v>
      </c>
      <c r="L694">
        <v>48.35</v>
      </c>
      <c r="M694">
        <v>2</v>
      </c>
      <c r="N694" t="str">
        <v>76.39%</v>
      </c>
      <c r="O694" t="str">
        <v>346萬</v>
      </c>
      <c r="P694" t="str">
        <v>+0.95</v>
      </c>
      <c r="Q694" t="str">
        <v>+10.97</v>
      </c>
      <c r="R694" t="str">
        <v>+6.73</v>
      </c>
      <c r="S694">
        <v>1</v>
      </c>
      <c r="T694">
        <v>0</v>
      </c>
      <c r="U694">
        <f t="array" ref="U694:AD694">[1]!'6195.TW-ChipsField3,ChipsField1,ChipsField25,CashAndStockDividend,CashDividendYieldRate,ProfitFourSeason,ProfitSingle,CName,ExchangeIndustry,CompanyPos'</f>
        <v>0</v>
      </c>
      <c r="V694">
        <v>8</v>
      </c>
      <c r="W694" t="str">
        <v>2022/07/11</v>
      </c>
      <c r="X694" t="str">
        <v>4.40</v>
      </c>
      <c r="Y694">
        <v>9.1</v>
      </c>
      <c r="Z694" t="str">
        <v>5.19</v>
      </c>
      <c r="AA694" t="str">
        <v>1.59</v>
      </c>
      <c r="AB694" t="str">
        <v>詩肯</v>
      </c>
      <c r="AC694" t="str">
        <v>上櫃貿易百貨</v>
      </c>
      <c r="AD694" t="str">
        <v>台灣最大連鎖家具品牌通路商</v>
      </c>
      <c r="AE694" t="str">
        <f t="array" ref="AE694:AH694">[1]!'6195.TW-CName,InvestorConferenceDate,DateofMeetingofShareHolders,TradingDate'</f>
        <v>詩肯</v>
      </c>
      <c r="AF694" t="str">
        <v>--</v>
      </c>
      <c r="AG694" t="str">
        <v>2022/06/23</v>
      </c>
      <c r="AH694" t="str">
        <v>2022/08/01</v>
      </c>
    </row>
    <row r="695" spans="1:34" x14ac:dyDescent="0.3">
      <c r="A695" t="str">
        <f t="array" ref="A695:J695">[1]!'6728.TW-ID,Name,MarketValue,Capital,NetIncomeGrowthRate,OperIncomeGrowthRate,FinancialStatementsTime,TFXRatio,MonthlyNetSalesYoY,RevenueMonth'</f>
        <v>6728</v>
      </c>
      <c r="B695" t="str">
        <v>上洋</v>
      </c>
      <c r="C695" t="str">
        <v>37.4</v>
      </c>
      <c r="D695" t="str">
        <v>2.30</v>
      </c>
      <c r="E695" t="str">
        <v>146.27</v>
      </c>
      <c r="F695" t="str">
        <v>127.20</v>
      </c>
      <c r="G695" t="str">
        <v>2022/03</v>
      </c>
      <c r="H695" t="str">
        <v>5.55</v>
      </c>
      <c r="I695" t="str">
        <v>54.52</v>
      </c>
      <c r="J695" t="str">
        <v>2022/06</v>
      </c>
      <c r="K695" t="str">
        <f t="array" ref="K695:T695">[1]!'6728.TW-OperatingProfitRatio,Price,PriceChangeRatio,InOutRatioNumber,Value,YearReturn,MonthReturn,WeekReturn,FinanceBalanceDif,ChipsField2'</f>
        <v>18.11</v>
      </c>
      <c r="L695">
        <v>162.5</v>
      </c>
      <c r="M695">
        <v>1.25</v>
      </c>
      <c r="N695" t="str">
        <v>77.27%</v>
      </c>
      <c r="O695" t="str">
        <v>358萬</v>
      </c>
      <c r="P695" t="str">
        <v>+132.45</v>
      </c>
      <c r="Q695" t="str">
        <v>+19.05</v>
      </c>
      <c r="R695" t="str">
        <v>+8.33</v>
      </c>
      <c r="S695">
        <v>0</v>
      </c>
      <c r="T695">
        <v>0</v>
      </c>
      <c r="U695">
        <f t="array" ref="U695:AD695">[1]!'6728.TW-ChipsField3,ChipsField1,ChipsField25,CashAndStockDividend,CashDividendYieldRate,ProfitFourSeason,ProfitSingle,CName,ExchangeIndustry,CompanyPos'</f>
        <v>-1</v>
      </c>
      <c r="V695">
        <v>-7</v>
      </c>
      <c r="W695" t="str">
        <v>2022/08/24</v>
      </c>
      <c r="X695" t="str">
        <v>9.00</v>
      </c>
      <c r="Y695">
        <v>5.54</v>
      </c>
      <c r="Z695" t="str">
        <v>13.94</v>
      </c>
      <c r="AA695" t="str">
        <v>3.72</v>
      </c>
      <c r="AB695" t="str">
        <v>上洋</v>
      </c>
      <c r="AC695" t="str">
        <v>上櫃貿易百貨</v>
      </c>
      <c r="AD695" t="str">
        <v>商用洗衣設備與家電產品代理商</v>
      </c>
      <c r="AE695" t="str">
        <f t="array" ref="AE695:AH695">[1]!'6728.TW-CName,InvestorConferenceDate,DateofMeetingofShareHolders,TradingDate'</f>
        <v>上洋</v>
      </c>
      <c r="AF695" t="str">
        <v>2022/05/06</v>
      </c>
      <c r="AG695" t="str">
        <v>2022/06/22</v>
      </c>
      <c r="AH695" t="str">
        <v>2022/08/01</v>
      </c>
    </row>
    <row r="696" spans="1:34" x14ac:dyDescent="0.3">
      <c r="A696" t="str">
        <f t="array" ref="A696:J696">[1]!'8066.TW-ID,Name,MarketValue,Capital,NetIncomeGrowthRate,OperIncomeGrowthRate,FinancialStatementsTime,TFXRatio,MonthlyNetSalesYoY,RevenueMonth'</f>
        <v>8066</v>
      </c>
      <c r="B696" t="str">
        <v>來思達</v>
      </c>
      <c r="C696" t="str">
        <v>8.2</v>
      </c>
      <c r="D696" t="str">
        <v>3.02</v>
      </c>
      <c r="E696" t="str">
        <v>-36.15</v>
      </c>
      <c r="F696" t="str">
        <v>-11.97</v>
      </c>
      <c r="G696" t="str">
        <v>2022/03</v>
      </c>
      <c r="H696" t="str">
        <v>2.12</v>
      </c>
      <c r="I696" t="str">
        <v>-4.87</v>
      </c>
      <c r="J696" t="str">
        <v>2022/06</v>
      </c>
      <c r="K696" t="str">
        <f t="array" ref="K696:T696">[1]!'8066.TW-OperatingProfitRatio,Price,PriceChangeRatio,InOutRatioNumber,Value,YearReturn,MonthReturn,WeekReturn,FinanceBalanceDif,ChipsField2'</f>
        <v>2.88</v>
      </c>
      <c r="L696">
        <v>27.3</v>
      </c>
      <c r="M696">
        <v>0.55000000000000004</v>
      </c>
      <c r="N696" t="str">
        <v>6.25%</v>
      </c>
      <c r="O696" t="str">
        <v>165萬</v>
      </c>
      <c r="P696" t="str">
        <v>-35.39</v>
      </c>
      <c r="Q696" t="str">
        <v>+7.27</v>
      </c>
      <c r="R696" t="str">
        <v>+5.61</v>
      </c>
      <c r="S696">
        <v>0</v>
      </c>
      <c r="T696">
        <v>0</v>
      </c>
      <c r="U696">
        <f t="array" ref="U696:AD696">[1]!'8066.TW-ChipsField3,ChipsField1,ChipsField25,CashAndStockDividend,CashDividendYieldRate,ProfitFourSeason,ProfitSingle,CName,ExchangeIndustry,CompanyPos'</f>
        <v>0</v>
      </c>
      <c r="V696">
        <v>-1</v>
      </c>
      <c r="W696" t="str">
        <v>2022/06/29</v>
      </c>
      <c r="X696" t="str">
        <v>1.00</v>
      </c>
      <c r="Y696">
        <v>3.66</v>
      </c>
      <c r="Z696" t="str">
        <v>0.96</v>
      </c>
      <c r="AA696" t="str">
        <v>0.32</v>
      </c>
      <c r="AB696" t="str">
        <v>來思達</v>
      </c>
      <c r="AC696" t="str">
        <v>上櫃貿易百貨</v>
      </c>
      <c r="AD696" t="str">
        <v>擁有自有品牌之B2B傢俱商，為美國進口傢俱前五名廠商</v>
      </c>
      <c r="AE696" t="str">
        <f t="array" ref="AE696:AH696">[1]!'8066.TW-CName,InvestorConferenceDate,DateofMeetingofShareHolders,TradingDate'</f>
        <v>來思達</v>
      </c>
      <c r="AF696" t="str">
        <v>--</v>
      </c>
      <c r="AG696" t="str">
        <v>2022/05/31</v>
      </c>
      <c r="AH696" t="str">
        <v>2022/08/01</v>
      </c>
    </row>
    <row r="697" spans="1:34" x14ac:dyDescent="0.3">
      <c r="A697" t="str">
        <f t="array" ref="A697:J697">[1]!'8433.TW-ID,Name,MarketValue,Capital,NetIncomeGrowthRate,OperIncomeGrowthRate,FinancialStatementsTime,TFXRatio,MonthlyNetSalesYoY,RevenueMonth'</f>
        <v>8433</v>
      </c>
      <c r="B697" t="str">
        <v>弘帆</v>
      </c>
      <c r="C697" t="str">
        <v>33.5</v>
      </c>
      <c r="D697" t="str">
        <v>5.21</v>
      </c>
      <c r="E697" t="str">
        <v>118.38</v>
      </c>
      <c r="F697" t="str">
        <v>39.05</v>
      </c>
      <c r="G697" t="str">
        <v>2022/03</v>
      </c>
      <c r="H697" t="str">
        <v>37.11</v>
      </c>
      <c r="I697" t="str">
        <v>72.97</v>
      </c>
      <c r="J697" t="str">
        <v>2022/06</v>
      </c>
      <c r="K697" t="str">
        <f t="array" ref="K697:T697">[1]!'8433.TW-OperatingProfitRatio,Price,PriceChangeRatio,InOutRatioNumber,Value,YearReturn,MonthReturn,WeekReturn,FinanceBalanceDif,ChipsField2'</f>
        <v>8.82</v>
      </c>
      <c r="L697">
        <v>64.400000000000006</v>
      </c>
      <c r="M697">
        <v>2.5499999999999998</v>
      </c>
      <c r="N697" t="str">
        <v>68.23%</v>
      </c>
      <c r="O697" t="str">
        <v>1261萬</v>
      </c>
      <c r="P697" t="str">
        <v>+60.57</v>
      </c>
      <c r="Q697" t="str">
        <v>+32.73</v>
      </c>
      <c r="R697" t="str">
        <v>-3.59</v>
      </c>
      <c r="S697">
        <v>7</v>
      </c>
      <c r="T697">
        <v>0</v>
      </c>
      <c r="U697">
        <f t="array" ref="U697:AD697">[1]!'8433.TW-ChipsField3,ChipsField1,ChipsField25,CashAndStockDividend,CashDividendYieldRate,ProfitFourSeason,ProfitSingle,CName,ExchangeIndustry,CompanyPos'</f>
        <v>4</v>
      </c>
      <c r="V697">
        <v>125</v>
      </c>
      <c r="W697" t="str">
        <v>2022/07/12</v>
      </c>
      <c r="X697" t="str">
        <v>2.50</v>
      </c>
      <c r="Y697">
        <v>3.88</v>
      </c>
      <c r="Z697" t="str">
        <v>4.89</v>
      </c>
      <c r="AA697" t="str">
        <v>1.63</v>
      </c>
      <c r="AB697" t="str">
        <v>弘帆</v>
      </c>
      <c r="AC697" t="str">
        <v>上櫃貿易百貨</v>
      </c>
      <c r="AD697" t="str">
        <v>全方位女性與孩童配件飾品供應商，產品外銷歐美為主</v>
      </c>
      <c r="AE697" t="str">
        <f t="array" ref="AE697:AH697">[1]!'8433.TW-CName,InvestorConferenceDate,DateofMeetingofShareHolders,TradingDate'</f>
        <v>弘帆</v>
      </c>
      <c r="AF697" t="str">
        <v>--</v>
      </c>
      <c r="AG697" t="str">
        <v>2022/06/24</v>
      </c>
      <c r="AH697" t="str">
        <v>2022/08/01</v>
      </c>
    </row>
    <row r="698" spans="1:34" x14ac:dyDescent="0.3">
      <c r="A698" t="str">
        <f t="array" ref="A698:J698">[1]!'8941.TW-ID,Name,MarketValue,Capital,NetIncomeGrowthRate,OperIncomeGrowthRate,FinancialStatementsTime,TFXRatio,MonthlyNetSalesYoY,RevenueMonth'</f>
        <v>8941</v>
      </c>
      <c r="B698" t="str">
        <v>關中</v>
      </c>
      <c r="C698" t="str">
        <v>18.1</v>
      </c>
      <c r="D698" t="str">
        <v>3.04</v>
      </c>
      <c r="E698" t="str">
        <v>575.43</v>
      </c>
      <c r="F698" t="str">
        <v>3350.06</v>
      </c>
      <c r="G698" t="str">
        <v>2022/03</v>
      </c>
      <c r="H698" t="str">
        <v>9.51</v>
      </c>
      <c r="I698" t="str">
        <v>50.41</v>
      </c>
      <c r="J698" t="str">
        <v>2022/06</v>
      </c>
      <c r="K698" t="str">
        <f t="array" ref="K698:T698">[1]!'8941.TW-OperatingProfitRatio,Price,PriceChangeRatio,InOutRatioNumber,Value,YearReturn,MonthReturn,WeekReturn,FinanceBalanceDif,ChipsField2'</f>
        <v>3.53</v>
      </c>
      <c r="L698">
        <v>59.4</v>
      </c>
      <c r="M698">
        <v>10</v>
      </c>
      <c r="N698" t="str">
        <v>88.07%</v>
      </c>
      <c r="O698" t="str">
        <v>4620萬</v>
      </c>
      <c r="P698" t="str">
        <v>+74.59</v>
      </c>
      <c r="Q698" t="str">
        <v>+56.38</v>
      </c>
      <c r="R698" t="str">
        <v>+3.66</v>
      </c>
      <c r="S698">
        <v>-8</v>
      </c>
      <c r="T698">
        <v>0</v>
      </c>
      <c r="U698">
        <f t="array" ref="U698:AD698">[1]!'8941.TW-ChipsField3,ChipsField1,ChipsField25,CashAndStockDividend,CashDividendYieldRate,ProfitFourSeason,ProfitSingle,CName,ExchangeIndustry,CompanyPos'</f>
        <v>0</v>
      </c>
      <c r="V698">
        <v>-3</v>
      </c>
      <c r="W698" t="str">
        <v>2022/07/14</v>
      </c>
      <c r="X698" t="str">
        <v>3.00</v>
      </c>
      <c r="Y698">
        <v>5.05</v>
      </c>
      <c r="Z698" t="str">
        <v>5.22</v>
      </c>
      <c r="AA698" t="str">
        <v>1.35</v>
      </c>
      <c r="AB698" t="str">
        <v>關中</v>
      </c>
      <c r="AC698" t="str">
        <v>上櫃貿易百貨</v>
      </c>
      <c r="AD698" t="str">
        <v>以生產烤肉爐、節能熱水器為主製造商</v>
      </c>
      <c r="AE698" t="str">
        <f t="array" ref="AE698:AH698">[1]!'8941.TW-CName,InvestorConferenceDate,DateofMeetingofShareHolders,TradingDate'</f>
        <v>關中</v>
      </c>
      <c r="AF698" t="str">
        <v>2021/12/30</v>
      </c>
      <c r="AG698" t="str">
        <v>2022/06/22</v>
      </c>
      <c r="AH698" t="str">
        <v>2022/08/01</v>
      </c>
    </row>
    <row r="699" spans="1:34" x14ac:dyDescent="0.3">
      <c r="A699" t="str">
        <f t="array" ref="A699:J699">[1]!'9960.TW-ID,Name,MarketValue,Capital,NetIncomeGrowthRate,OperIncomeGrowthRate,FinancialStatementsTime,TFXRatio,MonthlyNetSalesYoY,RevenueMonth'</f>
        <v>9960</v>
      </c>
      <c r="B699" t="str">
        <v>邁達康</v>
      </c>
      <c r="C699" t="str">
        <v>9.0</v>
      </c>
      <c r="D699" t="str">
        <v>3.36</v>
      </c>
      <c r="E699" t="str">
        <v>-13.30</v>
      </c>
      <c r="F699" t="str">
        <v>-44.32</v>
      </c>
      <c r="G699" t="str">
        <v>2022/03</v>
      </c>
      <c r="H699" t="str">
        <v>48.07</v>
      </c>
      <c r="I699" t="str">
        <v>75.13</v>
      </c>
      <c r="J699" t="str">
        <v>2022/06</v>
      </c>
      <c r="K699" t="str">
        <f t="array" ref="K699:T699">[1]!'9960.TW-OperatingProfitRatio,Price,PriceChangeRatio,InOutRatioNumber,Value,YearReturn,MonthReturn,WeekReturn,FinanceBalanceDif,ChipsField2'</f>
        <v>11.10</v>
      </c>
      <c r="L699">
        <v>26.8</v>
      </c>
      <c r="M699">
        <v>-0.19</v>
      </c>
      <c r="N699" t="str">
        <v>61.54%</v>
      </c>
      <c r="O699" t="str">
        <v>69.6萬</v>
      </c>
      <c r="P699" t="str">
        <v>+1.34</v>
      </c>
      <c r="Q699" t="str">
        <v>+4.69</v>
      </c>
      <c r="R699" t="str">
        <v>-0.19</v>
      </c>
      <c r="S699">
        <v>0</v>
      </c>
      <c r="T699">
        <v>0</v>
      </c>
      <c r="U699">
        <f t="array" ref="U699:AD699">[1]!'9960.TW-ChipsField3,ChipsField1,ChipsField25,CashAndStockDividend,CashDividendYieldRate,ProfitFourSeason,ProfitSingle,CName,ExchangeIndustry,CompanyPos'</f>
        <v>0</v>
      </c>
      <c r="V699">
        <v>0</v>
      </c>
      <c r="W699" t="str">
        <v>2022/08/11</v>
      </c>
      <c r="X699" t="str">
        <v>1.70</v>
      </c>
      <c r="Y699">
        <v>6.34</v>
      </c>
      <c r="Z699" t="str">
        <v>2.45</v>
      </c>
      <c r="AA699" t="str">
        <v>0.57</v>
      </c>
      <c r="AB699" t="str">
        <v>邁達康</v>
      </c>
      <c r="AC699" t="str">
        <v>上櫃貿易百貨</v>
      </c>
      <c r="AD699" t="str">
        <v>台灣最大的高爾夫球銷售網站</v>
      </c>
      <c r="AE699" t="str">
        <f t="array" ref="AE699:AH699">[1]!'9960.TW-CName,InvestorConferenceDate,DateofMeetingofShareHolders,TradingDate'</f>
        <v>邁達康</v>
      </c>
      <c r="AF699" t="str">
        <v>--</v>
      </c>
      <c r="AG699" t="str">
        <v>2022/06/16</v>
      </c>
      <c r="AH699" t="str">
        <v>2022/08/01</v>
      </c>
    </row>
    <row r="700" spans="1:34" x14ac:dyDescent="0.3">
      <c r="A700" t="str">
        <f t="array" ref="A700:J700">[1]!'8908.TW-ID,Name,MarketValue,Capital,NetIncomeGrowthRate,OperIncomeGrowthRate,FinancialStatementsTime,TFXRatio,MonthlyNetSalesYoY,RevenueMonth'</f>
        <v>8908</v>
      </c>
      <c r="B700" t="str">
        <v>欣雄</v>
      </c>
      <c r="C700" t="str">
        <v>177.9</v>
      </c>
      <c r="D700" t="str">
        <v>22.41</v>
      </c>
      <c r="E700" t="str">
        <v>-0.95</v>
      </c>
      <c r="F700" t="str">
        <v>-3.51</v>
      </c>
      <c r="G700" t="str">
        <v>2022/03</v>
      </c>
      <c r="H700" t="str">
        <v>-2.61</v>
      </c>
      <c r="I700" t="str">
        <v>9.02</v>
      </c>
      <c r="J700" t="str">
        <v>2022/06</v>
      </c>
      <c r="K700" t="str">
        <f t="array" ref="K700:T700">[1]!'8908.TW-OperatingProfitRatio,Price,PriceChangeRatio,InOutRatioNumber,Value,YearReturn,MonthReturn,WeekReturn,FinanceBalanceDif,ChipsField2'</f>
        <v>7.51</v>
      </c>
      <c r="L700">
        <v>79.400000000000006</v>
      </c>
      <c r="M700">
        <v>-0.13</v>
      </c>
      <c r="N700" t="str">
        <v>14.81%</v>
      </c>
      <c r="O700" t="str">
        <v>223萬</v>
      </c>
      <c r="P700" t="str">
        <v>+65.19</v>
      </c>
      <c r="Q700" t="str">
        <v>-4.68</v>
      </c>
      <c r="R700" t="str">
        <v>-1.00</v>
      </c>
      <c r="S700">
        <v>0</v>
      </c>
      <c r="T700">
        <v>0</v>
      </c>
      <c r="U700">
        <f t="array" ref="U700:AD700">[1]!'8908.TW-ChipsField3,ChipsField1,ChipsField25,CashAndStockDividend,CashDividendYieldRate,ProfitFourSeason,ProfitSingle,CName,ExchangeIndustry,CompanyPos'</f>
        <v>0</v>
      </c>
      <c r="V700">
        <v>0</v>
      </c>
      <c r="W700" t="str">
        <v>2022/04/07</v>
      </c>
      <c r="X700" t="str">
        <v>1.90</v>
      </c>
      <c r="Y700">
        <v>2.39</v>
      </c>
      <c r="Z700" t="str">
        <v>2.21</v>
      </c>
      <c r="AA700" t="str">
        <v>0.45</v>
      </c>
      <c r="AB700" t="str">
        <v>欣雄</v>
      </c>
      <c r="AC700" t="str">
        <v>上櫃油電燃氣</v>
      </c>
      <c r="AD700" t="str">
        <v>主要經營高雄市鳳山、大寮等13區之天然氣業者</v>
      </c>
      <c r="AE700" t="str">
        <f t="array" ref="AE700:AH700">[1]!'8908.TW-CName,InvestorConferenceDate,DateofMeetingofShareHolders,TradingDate'</f>
        <v>欣雄</v>
      </c>
      <c r="AF700" t="str">
        <v>--</v>
      </c>
      <c r="AG700" t="str">
        <v>2022/06/08</v>
      </c>
      <c r="AH700" t="str">
        <v>2022/08/01</v>
      </c>
    </row>
    <row r="701" spans="1:34" x14ac:dyDescent="0.3">
      <c r="A701" t="str">
        <f t="array" ref="A701:J701">[1]!'8917.TW-ID,Name,MarketValue,Capital,NetIncomeGrowthRate,OperIncomeGrowthRate,FinancialStatementsTime,TFXRatio,MonthlyNetSalesYoY,RevenueMonth'</f>
        <v>8917</v>
      </c>
      <c r="B701" t="str">
        <v>欣泰</v>
      </c>
      <c r="C701" t="str">
        <v>136.9</v>
      </c>
      <c r="D701" t="str">
        <v>14.79</v>
      </c>
      <c r="E701" t="str">
        <v>17.25</v>
      </c>
      <c r="F701" t="str">
        <v>17.27</v>
      </c>
      <c r="G701" t="str">
        <v>2022/03</v>
      </c>
      <c r="H701" t="str">
        <v>-6.51</v>
      </c>
      <c r="I701" t="str">
        <v>15.06</v>
      </c>
      <c r="J701" t="str">
        <v>2022/06</v>
      </c>
      <c r="K701" t="str">
        <f t="array" ref="K701:T701">[1]!'8917.TW-OperatingProfitRatio,Price,PriceChangeRatio,InOutRatioNumber,Value,YearReturn,MonthReturn,WeekReturn,FinanceBalanceDif,ChipsField2'</f>
        <v>18.95</v>
      </c>
      <c r="L701">
        <v>92.6</v>
      </c>
      <c r="M701">
        <v>0</v>
      </c>
      <c r="N701" t="str">
        <v>0.00%</v>
      </c>
      <c r="O701" t="str">
        <v>27.8萬</v>
      </c>
      <c r="P701" t="str">
        <v>+32.13</v>
      </c>
      <c r="Q701" t="str">
        <v>+1.76</v>
      </c>
      <c r="R701" t="str">
        <v>+1.54</v>
      </c>
      <c r="S701">
        <v>0</v>
      </c>
      <c r="T701">
        <v>0</v>
      </c>
      <c r="U701">
        <f t="array" ref="U701:AD701">[1]!'8917.TW-ChipsField3,ChipsField1,ChipsField25,CashAndStockDividend,CashDividendYieldRate,ProfitFourSeason,ProfitSingle,CName,ExchangeIndustry,CompanyPos'</f>
        <v>0</v>
      </c>
      <c r="V701">
        <v>0</v>
      </c>
      <c r="W701" t="str">
        <v>2022/08/11</v>
      </c>
      <c r="X701" t="str">
        <v>2.10</v>
      </c>
      <c r="Y701">
        <v>2.27</v>
      </c>
      <c r="Z701" t="str">
        <v>2.37</v>
      </c>
      <c r="AA701" t="str">
        <v>0.72</v>
      </c>
      <c r="AB701" t="str">
        <v>欣泰</v>
      </c>
      <c r="AC701" t="str">
        <v>上櫃油電燃氣</v>
      </c>
      <c r="AD701" t="str">
        <v>主要經營新北市樹林、土城等9區之天然氣業者</v>
      </c>
      <c r="AE701" t="str">
        <f t="array" ref="AE701:AH701">[1]!'8917.TW-CName,InvestorConferenceDate,DateofMeetingofShareHolders,TradingDate'</f>
        <v>欣泰</v>
      </c>
      <c r="AF701" t="str">
        <v>--</v>
      </c>
      <c r="AG701" t="str">
        <v>2022/06/22</v>
      </c>
      <c r="AH701" t="str">
        <v>2022/08/01</v>
      </c>
    </row>
    <row r="702" spans="1:34" x14ac:dyDescent="0.3">
      <c r="A702" t="str">
        <f t="array" ref="A702:J702">[1]!'8927.TW-ID,Name,MarketValue,Capital,NetIncomeGrowthRate,OperIncomeGrowthRate,FinancialStatementsTime,TFXRatio,MonthlyNetSalesYoY,RevenueMonth'</f>
        <v>8927</v>
      </c>
      <c r="B702" t="str">
        <v>北基</v>
      </c>
      <c r="C702" t="str">
        <v>96.0</v>
      </c>
      <c r="D702" t="str">
        <v>25.08</v>
      </c>
      <c r="E702" t="str">
        <v>-51.46</v>
      </c>
      <c r="F702" t="str">
        <v>-2.74</v>
      </c>
      <c r="G702" t="str">
        <v>2022/03</v>
      </c>
      <c r="H702" t="str">
        <v>5.41</v>
      </c>
      <c r="I702" t="str">
        <v>53.73</v>
      </c>
      <c r="J702" t="str">
        <v>2022/06</v>
      </c>
      <c r="K702" t="str">
        <f t="array" ref="K702:T702">[1]!'8927.TW-OperatingProfitRatio,Price,PriceChangeRatio,InOutRatioNumber,Value,YearReturn,MonthReturn,WeekReturn,FinanceBalanceDif,ChipsField2'</f>
        <v>2.26</v>
      </c>
      <c r="L702">
        <v>38.75</v>
      </c>
      <c r="M702">
        <v>0.13</v>
      </c>
      <c r="N702" t="str">
        <v>35.94%</v>
      </c>
      <c r="O702" t="str">
        <v>2991萬</v>
      </c>
      <c r="P702" t="str">
        <v>+3.61</v>
      </c>
      <c r="Q702" t="str">
        <v>+15.33</v>
      </c>
      <c r="R702" t="str">
        <v>+8.54</v>
      </c>
      <c r="S702">
        <v>-235</v>
      </c>
      <c r="T702">
        <v>0</v>
      </c>
      <c r="U702">
        <f t="array" ref="U702:AD702">[1]!'8927.TW-ChipsField3,ChipsField1,ChipsField25,CashAndStockDividend,CashDividendYieldRate,ProfitFourSeason,ProfitSingle,CName,ExchangeIndustry,CompanyPos'</f>
        <v>-53</v>
      </c>
      <c r="V702">
        <v>-120</v>
      </c>
      <c r="W702" t="str">
        <v>--</v>
      </c>
      <c r="X702" t="str">
        <v>1.47</v>
      </c>
      <c r="Y702">
        <v>3.79</v>
      </c>
      <c r="Z702" t="str">
        <v>0.54</v>
      </c>
      <c r="AA702" t="str">
        <v>0.08</v>
      </c>
      <c r="AB702" t="str">
        <v>北基</v>
      </c>
      <c r="AC702" t="str">
        <v>上櫃油電燃氣</v>
      </c>
      <c r="AD702" t="str">
        <v>國內加油站經營商，擁有近40個據點</v>
      </c>
      <c r="AE702" t="str">
        <f t="array" ref="AE702:AH702">[1]!'8927.TW-CName,InvestorConferenceDate,DateofMeetingofShareHolders,TradingDate'</f>
        <v>北基</v>
      </c>
      <c r="AF702" t="str">
        <v>2021/05/19</v>
      </c>
      <c r="AG702" t="str">
        <v>2022/06/23</v>
      </c>
      <c r="AH702" t="str">
        <v>2022/08/01</v>
      </c>
    </row>
    <row r="703" spans="1:34" x14ac:dyDescent="0.3">
      <c r="A703" t="str">
        <f t="array" ref="A703:J703">[1]!'8931.TW-ID,Name,MarketValue,Capital,NetIncomeGrowthRate,OperIncomeGrowthRate,FinancialStatementsTime,TFXRatio,MonthlyNetSalesYoY,RevenueMonth'</f>
        <v>8931</v>
      </c>
      <c r="B703" t="str">
        <v>大汽電</v>
      </c>
      <c r="C703" t="str">
        <v>35.3</v>
      </c>
      <c r="D703" t="str">
        <v>12.23</v>
      </c>
      <c r="E703" t="str">
        <v>-72.12</v>
      </c>
      <c r="F703" t="str">
        <v>-71.40</v>
      </c>
      <c r="G703" t="str">
        <v>2022/03</v>
      </c>
      <c r="H703" t="str">
        <v>28.20</v>
      </c>
      <c r="I703" t="str">
        <v>2.31</v>
      </c>
      <c r="J703" t="str">
        <v>2022/06</v>
      </c>
      <c r="K703" t="str">
        <f t="array" ref="K703:T703">[1]!'8931.TW-OperatingProfitRatio,Price,PriceChangeRatio,InOutRatioNumber,Value,YearReturn,MonthReturn,WeekReturn,FinanceBalanceDif,ChipsField2'</f>
        <v>3.09</v>
      </c>
      <c r="L703">
        <v>28.85</v>
      </c>
      <c r="M703">
        <v>0.17</v>
      </c>
      <c r="N703" t="str">
        <v>57.89%</v>
      </c>
      <c r="O703" t="str">
        <v>110萬</v>
      </c>
      <c r="P703" t="str">
        <v>+4.17</v>
      </c>
      <c r="Q703" t="str">
        <v>+1.41</v>
      </c>
      <c r="R703" t="str">
        <v>-0.17</v>
      </c>
      <c r="S703">
        <v>5</v>
      </c>
      <c r="T703">
        <v>0</v>
      </c>
      <c r="U703">
        <f t="array" ref="U703:AD703">[1]!'8931.TW-ChipsField3,ChipsField1,ChipsField25,CashAndStockDividend,CashDividendYieldRate,ProfitFourSeason,ProfitSingle,CName,ExchangeIndustry,CompanyPos'</f>
        <v>0</v>
      </c>
      <c r="V703">
        <v>0</v>
      </c>
      <c r="W703" t="str">
        <v>2022/07/21</v>
      </c>
      <c r="X703" t="str">
        <v>1.50</v>
      </c>
      <c r="Y703">
        <v>5.2</v>
      </c>
      <c r="Z703" t="str">
        <v>1.17</v>
      </c>
      <c r="AA703" t="str">
        <v>0.09</v>
      </c>
      <c r="AB703" t="str">
        <v>大汽電</v>
      </c>
      <c r="AC703" t="str">
        <v>上櫃油電燃氣</v>
      </c>
      <c r="AD703" t="str">
        <v>設於大園工業區內之汽電共生公司</v>
      </c>
      <c r="AE703" t="str">
        <f t="array" ref="AE703:AH703">[1]!'8931.TW-CName,InvestorConferenceDate,DateofMeetingofShareHolders,TradingDate'</f>
        <v>大汽電</v>
      </c>
      <c r="AF703" t="str">
        <v>2022/05/27</v>
      </c>
      <c r="AG703" t="str">
        <v>2022/06/16</v>
      </c>
      <c r="AH703" t="str">
        <v>2022/08/01</v>
      </c>
    </row>
    <row r="704" spans="1:34" x14ac:dyDescent="0.3">
      <c r="A704" t="str">
        <f t="array" ref="A704:J704">[1]!'1584.TW-ID,Name,MarketValue,Capital,NetIncomeGrowthRate,OperIncomeGrowthRate,FinancialStatementsTime,TFXRatio,MonthlyNetSalesYoY,RevenueMonth'</f>
        <v>1584</v>
      </c>
      <c r="B704" t="str">
        <v>精剛</v>
      </c>
      <c r="C704" t="str">
        <v>26.6</v>
      </c>
      <c r="D704" t="str">
        <v>12.25</v>
      </c>
      <c r="E704" t="str">
        <v>596.98</v>
      </c>
      <c r="F704" t="str">
        <v>464.64</v>
      </c>
      <c r="G704" t="str">
        <v>2022/03</v>
      </c>
      <c r="H704" t="str">
        <v>15.65</v>
      </c>
      <c r="I704" t="str">
        <v>102.52</v>
      </c>
      <c r="J704" t="str">
        <v>2022/06</v>
      </c>
      <c r="K704" t="str">
        <f t="array" ref="K704:T704">[1]!'1584.TW-OperatingProfitRatio,Price,PriceChangeRatio,InOutRatioNumber,Value,YearReturn,MonthReturn,WeekReturn,FinanceBalanceDif,ChipsField2'</f>
        <v>8.13</v>
      </c>
      <c r="L704">
        <v>21.7</v>
      </c>
      <c r="M704">
        <v>5.08</v>
      </c>
      <c r="N704" t="str">
        <v>57.36%</v>
      </c>
      <c r="O704" t="str">
        <v>1.24億</v>
      </c>
      <c r="P704" t="str">
        <v>+49.53</v>
      </c>
      <c r="Q704" t="str">
        <v>+27.27</v>
      </c>
      <c r="R704" t="str">
        <v>+10.15</v>
      </c>
      <c r="S704">
        <v>-104</v>
      </c>
      <c r="T704">
        <v>0</v>
      </c>
      <c r="U704">
        <f t="array" ref="U704:AD704">[1]!'1584.TW-ChipsField3,ChipsField1,ChipsField25,CashAndStockDividend,CashDividendYieldRate,ProfitFourSeason,ProfitSingle,CName,ExchangeIndustry,CompanyPos'</f>
        <v>0</v>
      </c>
      <c r="V704">
        <v>821</v>
      </c>
      <c r="W704" t="str">
        <v>2022/06/14</v>
      </c>
      <c r="X704" t="str">
        <v>0.20</v>
      </c>
      <c r="Y704">
        <v>0.92</v>
      </c>
      <c r="Z704" t="str">
        <v>0.68</v>
      </c>
      <c r="AA704" t="str">
        <v>0.27</v>
      </c>
      <c r="AB704" t="str">
        <v>精剛</v>
      </c>
      <c r="AC704" t="str">
        <v>上櫃其他</v>
      </c>
      <c r="AD704" t="str">
        <v>榮剛旗下合金鋼廠</v>
      </c>
      <c r="AE704" t="str">
        <f t="array" ref="AE704:AH704">[1]!'1584.TW-CName,InvestorConferenceDate,DateofMeetingofShareHolders,TradingDate'</f>
        <v>精剛</v>
      </c>
      <c r="AF704" t="str">
        <v>2021/11/30</v>
      </c>
      <c r="AG704" t="str">
        <v>2022/05/26</v>
      </c>
      <c r="AH704" t="str">
        <v>2022/08/01</v>
      </c>
    </row>
    <row r="705" spans="1:34" x14ac:dyDescent="0.3">
      <c r="A705" t="str">
        <f t="array" ref="A705:J705">[1]!'2221.TW-ID,Name,MarketValue,Capital,NetIncomeGrowthRate,OperIncomeGrowthRate,FinancialStatementsTime,TFXRatio,MonthlyNetSalesYoY,RevenueMonth'</f>
        <v>2221</v>
      </c>
      <c r="B705" t="str">
        <v>大甲</v>
      </c>
      <c r="C705" t="str">
        <v>14.1</v>
      </c>
      <c r="D705" t="str">
        <v>4.23</v>
      </c>
      <c r="E705" t="str">
        <v>219.23</v>
      </c>
      <c r="F705" t="str">
        <v>146.05</v>
      </c>
      <c r="G705" t="str">
        <v>2022/03</v>
      </c>
      <c r="H705" t="str">
        <v>14.56</v>
      </c>
      <c r="I705" t="str">
        <v>2.55</v>
      </c>
      <c r="J705" t="str">
        <v>2022/06</v>
      </c>
      <c r="K705" t="str">
        <f t="array" ref="K705:T705">[1]!'2221.TW-OperatingProfitRatio,Price,PriceChangeRatio,InOutRatioNumber,Value,YearReturn,MonthReturn,WeekReturn,FinanceBalanceDif,ChipsField2'</f>
        <v>16.36</v>
      </c>
      <c r="L705">
        <v>33.25</v>
      </c>
      <c r="M705">
        <v>4.8899999999999997</v>
      </c>
      <c r="N705" t="str">
        <v>57.20%</v>
      </c>
      <c r="O705" t="str">
        <v>891萬</v>
      </c>
      <c r="P705" t="str">
        <v>+23.05</v>
      </c>
      <c r="Q705" t="str">
        <v>+12.05</v>
      </c>
      <c r="R705" t="str">
        <v>+3.91</v>
      </c>
      <c r="S705">
        <v>2</v>
      </c>
      <c r="T705">
        <v>0</v>
      </c>
      <c r="U705">
        <f t="array" ref="U705:AD705">[1]!'2221.TW-ChipsField3,ChipsField1,ChipsField25,CashAndStockDividend,CashDividendYieldRate,ProfitFourSeason,ProfitSingle,CName,ExchangeIndustry,CompanyPos'</f>
        <v>0</v>
      </c>
      <c r="V705">
        <v>0</v>
      </c>
      <c r="W705" t="str">
        <v>2022/07/12</v>
      </c>
      <c r="X705" t="str">
        <v>3.00</v>
      </c>
      <c r="Y705">
        <v>9.02</v>
      </c>
      <c r="Z705" t="str">
        <v>5.21</v>
      </c>
      <c r="AA705" t="str">
        <v>1.34</v>
      </c>
      <c r="AB705" t="str">
        <v>大甲</v>
      </c>
      <c r="AC705" t="str">
        <v>上櫃其他</v>
      </c>
      <c r="AD705" t="str">
        <v>台灣最大不鏽鋼焊接管配件廠，客戶以化工廠為主</v>
      </c>
      <c r="AE705" t="str">
        <f t="array" ref="AE705:AH705">[1]!'2221.TW-CName,InvestorConferenceDate,DateofMeetingofShareHolders,TradingDate'</f>
        <v>大甲</v>
      </c>
      <c r="AF705" t="str">
        <v>2021/12/17</v>
      </c>
      <c r="AG705" t="str">
        <v>2022/06/27</v>
      </c>
      <c r="AH705" t="str">
        <v>2022/08/01</v>
      </c>
    </row>
    <row r="706" spans="1:34" x14ac:dyDescent="0.3">
      <c r="A706" t="str">
        <f t="array" ref="A706:J706">[1]!'2640.TW-ID,Name,MarketValue,Capital,NetIncomeGrowthRate,OperIncomeGrowthRate,FinancialStatementsTime,TFXRatio,MonthlyNetSalesYoY,RevenueMonth'</f>
        <v>2640</v>
      </c>
      <c r="B706" t="str">
        <v>大車隊</v>
      </c>
      <c r="C706" t="str">
        <v>46.2</v>
      </c>
      <c r="D706" t="str">
        <v>5.93</v>
      </c>
      <c r="E706" t="str">
        <v>21.22</v>
      </c>
      <c r="F706" t="str">
        <v>23.05</v>
      </c>
      <c r="G706" t="str">
        <v>2022/03</v>
      </c>
      <c r="H706" t="str">
        <v>1.41</v>
      </c>
      <c r="I706" t="str">
        <v>43.21</v>
      </c>
      <c r="J706" t="str">
        <v>2022/06</v>
      </c>
      <c r="K706" t="str">
        <f t="array" ref="K706:T706">[1]!'2640.TW-OperatingProfitRatio,Price,PriceChangeRatio,InOutRatioNumber,Value,YearReturn,MonthReturn,WeekReturn,FinanceBalanceDif,ChipsField2'</f>
        <v>20.36</v>
      </c>
      <c r="L706">
        <v>77.900000000000006</v>
      </c>
      <c r="M706">
        <v>-0.13</v>
      </c>
      <c r="N706" t="str">
        <v>48.00%</v>
      </c>
      <c r="O706" t="str">
        <v>195萬</v>
      </c>
      <c r="P706" t="str">
        <v>+4.83</v>
      </c>
      <c r="Q706" t="str">
        <v>+4.71</v>
      </c>
      <c r="R706" t="str">
        <v>-0.53</v>
      </c>
      <c r="S706">
        <v>-1</v>
      </c>
      <c r="T706">
        <v>-8</v>
      </c>
      <c r="U706">
        <f t="array" ref="U706:AD706">[1]!'2640.TW-ChipsField3,ChipsField1,ChipsField25,CashAndStockDividend,CashDividendYieldRate,ProfitFourSeason,ProfitSingle,CName,ExchangeIndustry,CompanyPos'</f>
        <v>0</v>
      </c>
      <c r="V706">
        <v>0</v>
      </c>
      <c r="W706" t="str">
        <v>2022/07/28</v>
      </c>
      <c r="X706" t="str">
        <v>3.50</v>
      </c>
      <c r="Y706">
        <v>4.49</v>
      </c>
      <c r="Z706" t="str">
        <v>4.53</v>
      </c>
      <c r="AA706" t="str">
        <v>1.78</v>
      </c>
      <c r="AB706" t="str">
        <v>大車隊</v>
      </c>
      <c r="AC706" t="str">
        <v>上櫃其他</v>
      </c>
      <c r="AD706" t="str">
        <v>台灣計程車車隊龍頭企業</v>
      </c>
      <c r="AE706" t="str">
        <f t="array" ref="AE706:AH706">[1]!'2640.TW-CName,InvestorConferenceDate,DateofMeetingofShareHolders,TradingDate'</f>
        <v>大車隊</v>
      </c>
      <c r="AF706" t="str">
        <v>2022/07/06</v>
      </c>
      <c r="AG706" t="str">
        <v>2022/06/09</v>
      </c>
      <c r="AH706" t="str">
        <v>2022/08/01</v>
      </c>
    </row>
    <row r="707" spans="1:34" x14ac:dyDescent="0.3">
      <c r="A707" t="str">
        <f t="array" ref="A707:J707">[1]!'3284.TW-ID,Name,MarketValue,Capital,NetIncomeGrowthRate,OperIncomeGrowthRate,FinancialStatementsTime,TFXRatio,MonthlyNetSalesYoY,RevenueMonth'</f>
        <v>3284</v>
      </c>
      <c r="B707" t="str">
        <v>太普高</v>
      </c>
      <c r="C707" t="str">
        <v>9.3</v>
      </c>
      <c r="D707" t="str">
        <v>6.90</v>
      </c>
      <c r="E707" t="str">
        <v>-145.17</v>
      </c>
      <c r="F707" t="str">
        <v>-71.97</v>
      </c>
      <c r="G707" t="str">
        <v>2022/03</v>
      </c>
      <c r="H707" t="str">
        <v>78.25</v>
      </c>
      <c r="I707" t="str">
        <v>152.58</v>
      </c>
      <c r="J707" t="str">
        <v>2022/06</v>
      </c>
      <c r="K707" t="str">
        <f t="array" ref="K707:T707">[1]!'3284.TW-OperatingProfitRatio,Price,PriceChangeRatio,InOutRatioNumber,Value,YearReturn,MonthReturn,WeekReturn,FinanceBalanceDif,ChipsField2'</f>
        <v>-11.13</v>
      </c>
      <c r="L707">
        <v>13.45</v>
      </c>
      <c r="M707">
        <v>-0.74</v>
      </c>
      <c r="N707" t="str">
        <v>60.00%</v>
      </c>
      <c r="O707" t="str">
        <v>40.5萬</v>
      </c>
      <c r="P707" t="str">
        <v>+7.17</v>
      </c>
      <c r="Q707" t="str">
        <v>+8.03</v>
      </c>
      <c r="R707" t="str">
        <v>+1.13</v>
      </c>
      <c r="S707">
        <v>9</v>
      </c>
      <c r="T707">
        <v>0</v>
      </c>
      <c r="U707">
        <f t="array" ref="U707:AD707">[1]!'3284.TW-ChipsField3,ChipsField1,ChipsField25,CashAndStockDividend,CashDividendYieldRate,ProfitFourSeason,ProfitSingle,CName,ExchangeIndustry,CompanyPos'</f>
        <v>0</v>
      </c>
      <c r="V707">
        <v>-1</v>
      </c>
      <c r="W707" t="str">
        <v>--</v>
      </c>
      <c r="X707" t="str">
        <v>0.00</v>
      </c>
      <c r="Y707">
        <v>0</v>
      </c>
      <c r="Z707" t="str">
        <v>-0.97</v>
      </c>
      <c r="AA707" t="str">
        <v>-0.15</v>
      </c>
      <c r="AB707" t="str">
        <v>太普高</v>
      </c>
      <c r="AC707" t="str">
        <v>上櫃其他</v>
      </c>
      <c r="AD707" t="str">
        <v>台灣最大預塗式感光平版(PS版)廠</v>
      </c>
      <c r="AE707" t="str">
        <f t="array" ref="AE707:AH707">[1]!'3284.TW-CName,InvestorConferenceDate,DateofMeetingofShareHolders,TradingDate'</f>
        <v>太普高</v>
      </c>
      <c r="AF707" t="str">
        <v>--</v>
      </c>
      <c r="AG707" t="str">
        <v>2022/06/27</v>
      </c>
      <c r="AH707" t="str">
        <v>2022/08/01</v>
      </c>
    </row>
    <row r="708" spans="1:34" x14ac:dyDescent="0.3">
      <c r="A708" t="str">
        <f t="array" ref="A708:J708">[1]!'3313.TW-ID,Name,MarketValue,Capital,NetIncomeGrowthRate,OperIncomeGrowthRate,FinancialStatementsTime,TFXRatio,MonthlyNetSalesYoY,RevenueMonth'</f>
        <v>3313</v>
      </c>
      <c r="B708" t="str">
        <v>斐成</v>
      </c>
      <c r="C708" t="str">
        <v>13.2</v>
      </c>
      <c r="D708" t="str">
        <v>11.88</v>
      </c>
      <c r="E708" t="str">
        <v>42.39</v>
      </c>
      <c r="F708" t="str">
        <v>-78.09</v>
      </c>
      <c r="G708" t="str">
        <v>2022/03</v>
      </c>
      <c r="H708" t="str">
        <v>-23.67</v>
      </c>
      <c r="I708" t="str">
        <v>-97.58</v>
      </c>
      <c r="J708" t="str">
        <v>2022/06</v>
      </c>
      <c r="K708" t="str">
        <f t="array" ref="K708:T708">[1]!'3313.TW-OperatingProfitRatio,Price,PriceChangeRatio,InOutRatioNumber,Value,YearReturn,MonthReturn,WeekReturn,FinanceBalanceDif,ChipsField2'</f>
        <v>-513.22</v>
      </c>
      <c r="L708">
        <v>11.1</v>
      </c>
      <c r="M708">
        <v>-0.89</v>
      </c>
      <c r="N708" t="str">
        <v>55.77%</v>
      </c>
      <c r="O708" t="str">
        <v>58.2萬</v>
      </c>
      <c r="P708" t="str">
        <v>-4.72</v>
      </c>
      <c r="Q708" t="str">
        <v>+5.21</v>
      </c>
      <c r="R708" t="str">
        <v>0.00</v>
      </c>
      <c r="S708">
        <v>0</v>
      </c>
      <c r="T708">
        <v>0</v>
      </c>
      <c r="U708">
        <f t="array" ref="U708:AD708">[1]!'3313.TW-ChipsField3,ChipsField1,ChipsField25,CashAndStockDividend,CashDividendYieldRate,ProfitFourSeason,ProfitSingle,CName,ExchangeIndustry,CompanyPos'</f>
        <v>0</v>
      </c>
      <c r="V708">
        <v>5</v>
      </c>
      <c r="W708" t="str">
        <v>--</v>
      </c>
      <c r="X708" t="str">
        <v>0.00</v>
      </c>
      <c r="Y708">
        <v>0</v>
      </c>
      <c r="Z708" t="str">
        <v>0.53</v>
      </c>
      <c r="AA708" t="str">
        <v>-0.15</v>
      </c>
      <c r="AB708" t="str">
        <v>斐成</v>
      </c>
      <c r="AC708" t="str">
        <v>上櫃其他</v>
      </c>
      <c r="AD708" t="str">
        <v>大宗原物料買賣、家畜禽飼養及販售</v>
      </c>
      <c r="AE708" t="str">
        <f t="array" ref="AE708:AH708">[1]!'3313.TW-CName,InvestorConferenceDate,DateofMeetingofShareHolders,TradingDate'</f>
        <v>斐成</v>
      </c>
      <c r="AF708" t="str">
        <v>--</v>
      </c>
      <c r="AG708" t="str">
        <v>2022/05/27</v>
      </c>
      <c r="AH708" t="str">
        <v>2022/08/01</v>
      </c>
    </row>
    <row r="709" spans="1:34" x14ac:dyDescent="0.3">
      <c r="A709" t="str">
        <f t="array" ref="A709:J709">[1]!'4430.TW-ID,Name,MarketValue,Capital,NetIncomeGrowthRate,OperIncomeGrowthRate,FinancialStatementsTime,TFXRatio,MonthlyNetSalesYoY,RevenueMonth'</f>
        <v>4430</v>
      </c>
      <c r="B709" t="str">
        <v>耀億</v>
      </c>
      <c r="C709" t="str">
        <v>12.0</v>
      </c>
      <c r="D709" t="str">
        <v>5.63</v>
      </c>
      <c r="E709" t="str">
        <v>86.72</v>
      </c>
      <c r="F709" t="str">
        <v>18.55</v>
      </c>
      <c r="G709" t="str">
        <v>2022/03</v>
      </c>
      <c r="H709" t="str">
        <v>-28.67</v>
      </c>
      <c r="I709" t="str">
        <v>-16.21</v>
      </c>
      <c r="J709" t="str">
        <v>2022/06</v>
      </c>
      <c r="K709" t="str">
        <f t="array" ref="K709:T709">[1]!'4430.TW-OperatingProfitRatio,Price,PriceChangeRatio,InOutRatioNumber,Value,YearReturn,MonthReturn,WeekReturn,FinanceBalanceDif,ChipsField2'</f>
        <v>5.06</v>
      </c>
      <c r="L709">
        <v>21.35</v>
      </c>
      <c r="M709">
        <v>0</v>
      </c>
      <c r="N709" t="str">
        <v>25.00%</v>
      </c>
      <c r="O709" t="str">
        <v>8.54萬</v>
      </c>
      <c r="P709" t="str">
        <v>-12.78</v>
      </c>
      <c r="Q709" t="str">
        <v>-6.36</v>
      </c>
      <c r="R709" t="str">
        <v>+0.71</v>
      </c>
      <c r="S709">
        <v>0</v>
      </c>
      <c r="T709">
        <v>0</v>
      </c>
      <c r="U709">
        <f t="array" ref="U709:AD709">[1]!'4430.TW-ChipsField3,ChipsField1,ChipsField25,CashAndStockDividend,CashDividendYieldRate,ProfitFourSeason,ProfitSingle,CName,ExchangeIndustry,CompanyPos'</f>
        <v>0</v>
      </c>
      <c r="V709">
        <v>-2</v>
      </c>
      <c r="W709" t="str">
        <v>--</v>
      </c>
      <c r="X709" t="str">
        <v>0.50</v>
      </c>
      <c r="Y709">
        <v>2.34</v>
      </c>
      <c r="Z709" t="str">
        <v>1.12</v>
      </c>
      <c r="AA709" t="str">
        <v>0.79</v>
      </c>
      <c r="AB709" t="str">
        <v>耀億</v>
      </c>
      <c r="AC709" t="str">
        <v>上櫃其他</v>
      </c>
      <c r="AD709" t="str">
        <v>全球第一大之網球拍線製造商</v>
      </c>
      <c r="AE709" t="str">
        <f t="array" ref="AE709:AH709">[1]!'4430.TW-CName,InvestorConferenceDate,DateofMeetingofShareHolders,TradingDate'</f>
        <v>耀億</v>
      </c>
      <c r="AF709" t="str">
        <v>--</v>
      </c>
      <c r="AG709" t="str">
        <v>2022/06/08</v>
      </c>
      <c r="AH709" t="str">
        <v>2022/08/01</v>
      </c>
    </row>
    <row r="710" spans="1:34" x14ac:dyDescent="0.3">
      <c r="A710" t="str">
        <f t="array" ref="A710:J710">[1]!'4529.TW-ID,Name,MarketValue,Capital,NetIncomeGrowthRate,OperIncomeGrowthRate,FinancialStatementsTime,TFXRatio,MonthlyNetSalesYoY,RevenueMonth'</f>
        <v>4529</v>
      </c>
      <c r="B710" t="str">
        <v>淳紳</v>
      </c>
      <c r="C710" t="str">
        <v>9.3</v>
      </c>
      <c r="D710" t="str">
        <v>8.46</v>
      </c>
      <c r="E710" t="str">
        <v>211.26</v>
      </c>
      <c r="F710" t="str">
        <v>6.34</v>
      </c>
      <c r="G710" t="str">
        <v>2022/03</v>
      </c>
      <c r="H710" t="str">
        <v>-58.23</v>
      </c>
      <c r="I710" t="str">
        <v>-79.60</v>
      </c>
      <c r="J710" t="str">
        <v>2022/06</v>
      </c>
      <c r="K710" t="str">
        <f t="array" ref="K710:T710">[1]!'4529.TW-OperatingProfitRatio,Price,PriceChangeRatio,InOutRatioNumber,Value,YearReturn,MonthReturn,WeekReturn,FinanceBalanceDif,ChipsField2'</f>
        <v>-3719.21</v>
      </c>
      <c r="L710">
        <v>11</v>
      </c>
      <c r="M710">
        <v>-0.9</v>
      </c>
      <c r="N710" t="str">
        <v>26.95%</v>
      </c>
      <c r="O710" t="str">
        <v>186萬</v>
      </c>
      <c r="P710" t="str">
        <v>-8.33</v>
      </c>
      <c r="Q710" t="str">
        <v>+1.85</v>
      </c>
      <c r="R710" t="str">
        <v>+1.38</v>
      </c>
      <c r="S710">
        <v>28</v>
      </c>
      <c r="T710">
        <v>0</v>
      </c>
      <c r="U710">
        <f t="array" ref="U710:AD710">[1]!'4529.TW-ChipsField3,ChipsField1,ChipsField25,CashAndStockDividend,CashDividendYieldRate,ProfitFourSeason,ProfitSingle,CName,ExchangeIndustry,CompanyPos'</f>
        <v>0</v>
      </c>
      <c r="V710">
        <v>60</v>
      </c>
      <c r="W710" t="str">
        <v>--</v>
      </c>
      <c r="X710" t="str">
        <v>0.00</v>
      </c>
      <c r="Y710">
        <v>0</v>
      </c>
      <c r="Z710" t="str">
        <v>-5.28</v>
      </c>
      <c r="AA710" t="str">
        <v>0.43</v>
      </c>
      <c r="AB710" t="str">
        <v>淳紳</v>
      </c>
      <c r="AC710" t="str">
        <v>上櫃其他</v>
      </c>
      <c r="AD710" t="str">
        <v>轉型為電動車製造商</v>
      </c>
      <c r="AE710" t="str">
        <f t="array" ref="AE710:AH710">[1]!'4529.TW-CName,InvestorConferenceDate,DateofMeetingofShareHolders,TradingDate'</f>
        <v>淳紳</v>
      </c>
      <c r="AF710" t="str">
        <v>--</v>
      </c>
      <c r="AG710" t="str">
        <v>2022/07/22</v>
      </c>
      <c r="AH710" t="str">
        <v>2022/08/01</v>
      </c>
    </row>
    <row r="711" spans="1:34" x14ac:dyDescent="0.3">
      <c r="A711" t="str">
        <f t="array" ref="A711:J711">[1]!'4541.TW-ID,Name,MarketValue,Capital,NetIncomeGrowthRate,OperIncomeGrowthRate,FinancialStatementsTime,TFXRatio,MonthlyNetSalesYoY,RevenueMonth'</f>
        <v>4541</v>
      </c>
      <c r="B711" t="str">
        <v>晟田</v>
      </c>
      <c r="C711" t="str">
        <v>20.3</v>
      </c>
      <c r="D711" t="str">
        <v>6.76</v>
      </c>
      <c r="E711" t="str">
        <v>159.46</v>
      </c>
      <c r="F711" t="str">
        <v>109.71</v>
      </c>
      <c r="G711" t="str">
        <v>2022/03</v>
      </c>
      <c r="H711" t="str">
        <v>6.57</v>
      </c>
      <c r="I711" t="str">
        <v>16.41</v>
      </c>
      <c r="J711" t="str">
        <v>2022/06</v>
      </c>
      <c r="K711" t="str">
        <f t="array" ref="K711:T711">[1]!'4541.TW-OperatingProfitRatio,Price,PriceChangeRatio,InOutRatioNumber,Value,YearReturn,MonthReturn,WeekReturn,FinanceBalanceDif,ChipsField2'</f>
        <v>1.64</v>
      </c>
      <c r="L711">
        <v>30</v>
      </c>
      <c r="M711">
        <v>1.87</v>
      </c>
      <c r="N711" t="str">
        <v>53.23%</v>
      </c>
      <c r="O711" t="str">
        <v>5181萬</v>
      </c>
      <c r="P711" t="str">
        <v>+14.11</v>
      </c>
      <c r="Q711" t="str">
        <v>+21.70</v>
      </c>
      <c r="R711" t="str">
        <v>+6.01</v>
      </c>
      <c r="S711">
        <v>-179</v>
      </c>
      <c r="T711">
        <v>0</v>
      </c>
      <c r="U711">
        <f t="array" ref="U711:AD711">[1]!'4541.TW-ChipsField3,ChipsField1,ChipsField25,CashAndStockDividend,CashDividendYieldRate,ProfitFourSeason,ProfitSingle,CName,ExchangeIndustry,CompanyPos'</f>
        <v>0</v>
      </c>
      <c r="V711">
        <v>540</v>
      </c>
      <c r="W711" t="str">
        <v>2022/07/04</v>
      </c>
      <c r="X711" t="str">
        <v>0.40</v>
      </c>
      <c r="Y711">
        <v>1.33</v>
      </c>
      <c r="Z711" t="str">
        <v>0.74</v>
      </c>
      <c r="AA711" t="str">
        <v>0.27</v>
      </c>
      <c r="AB711" t="str">
        <v>晟田</v>
      </c>
      <c r="AC711" t="str">
        <v>上櫃其他</v>
      </c>
      <c r="AD711" t="str">
        <v>台灣唯一生產飛機起落架零組件廠商</v>
      </c>
      <c r="AE711" t="str">
        <f t="array" ref="AE711:AH711">[1]!'4541.TW-CName,InvestorConferenceDate,DateofMeetingofShareHolders,TradingDate'</f>
        <v>晟田</v>
      </c>
      <c r="AF711" t="str">
        <v>2022/07/20</v>
      </c>
      <c r="AG711" t="str">
        <v>2022/06/15</v>
      </c>
      <c r="AH711" t="str">
        <v>2022/08/01</v>
      </c>
    </row>
    <row r="712" spans="1:34" x14ac:dyDescent="0.3">
      <c r="A712" t="str">
        <f t="array" ref="A712:J712">[1]!'4556.TW-ID,Name,MarketValue,Capital,NetIncomeGrowthRate,OperIncomeGrowthRate,FinancialStatementsTime,TFXRatio,MonthlyNetSalesYoY,RevenueMonth'</f>
        <v>4556</v>
      </c>
      <c r="B712" t="str">
        <v>旭然</v>
      </c>
      <c r="C712" t="str">
        <v>12.5</v>
      </c>
      <c r="D712" t="str">
        <v>4.19</v>
      </c>
      <c r="E712" t="str">
        <v>129.44</v>
      </c>
      <c r="F712" t="str">
        <v>264.44</v>
      </c>
      <c r="G712" t="str">
        <v>2022/03</v>
      </c>
      <c r="H712" t="str">
        <v>18.06</v>
      </c>
      <c r="I712" t="str">
        <v>26.49</v>
      </c>
      <c r="J712" t="str">
        <v>2022/06</v>
      </c>
      <c r="K712" t="str">
        <f t="array" ref="K712:T712">[1]!'4556.TW-OperatingProfitRatio,Price,PriceChangeRatio,InOutRatioNumber,Value,YearReturn,MonthReturn,WeekReturn,FinanceBalanceDif,ChipsField2'</f>
        <v>3.12</v>
      </c>
      <c r="L712">
        <v>29.95</v>
      </c>
      <c r="M712">
        <v>-0.66</v>
      </c>
      <c r="N712" t="str">
        <v>33.33%</v>
      </c>
      <c r="O712" t="str">
        <v>8.95萬</v>
      </c>
      <c r="P712" t="str">
        <v>-7.39</v>
      </c>
      <c r="Q712" t="str">
        <v>-1.48</v>
      </c>
      <c r="R712" t="str">
        <v>-0.83</v>
      </c>
      <c r="S712">
        <v>0</v>
      </c>
      <c r="T712">
        <v>0</v>
      </c>
      <c r="U712">
        <f t="array" ref="U712:AD712">[1]!'4556.TW-ChipsField3,ChipsField1,ChipsField25,CashAndStockDividend,CashDividendYieldRate,ProfitFourSeason,ProfitSingle,CName,ExchangeIndustry,CompanyPos'</f>
        <v>0</v>
      </c>
      <c r="V712">
        <v>0</v>
      </c>
      <c r="W712" t="str">
        <v>--</v>
      </c>
      <c r="X712" t="str">
        <v>0.35</v>
      </c>
      <c r="Y712">
        <v>1.17</v>
      </c>
      <c r="Z712" t="str">
        <v>0.44</v>
      </c>
      <c r="AA712" t="str">
        <v>0.03</v>
      </c>
      <c r="AB712" t="str">
        <v>旭然</v>
      </c>
      <c r="AC712" t="str">
        <v>上櫃其他</v>
      </c>
      <c r="AD712" t="str">
        <v>台灣最大的工業過濾設備製造商</v>
      </c>
      <c r="AE712" t="str">
        <f t="array" ref="AE712:AH712">[1]!'4556.TW-CName,InvestorConferenceDate,DateofMeetingofShareHolders,TradingDate'</f>
        <v>旭然</v>
      </c>
      <c r="AF712" t="str">
        <v>--</v>
      </c>
      <c r="AG712" t="str">
        <v>2022/06/24</v>
      </c>
      <c r="AH712" t="str">
        <v>2022/08/01</v>
      </c>
    </row>
    <row r="713" spans="1:34" x14ac:dyDescent="0.3">
      <c r="A713" t="str">
        <f t="array" ref="A713:J713">[1]!'4950.TW-ID,Name,MarketValue,Capital,NetIncomeGrowthRate,OperIncomeGrowthRate,FinancialStatementsTime,TFXRatio,MonthlyNetSalesYoY,RevenueMonth'</f>
        <v>4950</v>
      </c>
      <c r="B713" t="str">
        <v>牧東</v>
      </c>
      <c r="C713" t="str">
        <v>11.5</v>
      </c>
      <c r="D713" t="str">
        <v>4.68</v>
      </c>
      <c r="E713" t="str">
        <v>109.77</v>
      </c>
      <c r="F713" t="str">
        <v>41.08</v>
      </c>
      <c r="G713" t="str">
        <v>2022/03</v>
      </c>
      <c r="H713" t="str">
        <v>-55.09</v>
      </c>
      <c r="I713" t="str">
        <v>-85.26</v>
      </c>
      <c r="J713" t="str">
        <v>2022/06</v>
      </c>
      <c r="K713" t="str">
        <f t="array" ref="K713:T713">[1]!'4950.TW-OperatingProfitRatio,Price,PriceChangeRatio,InOutRatioNumber,Value,YearReturn,MonthReturn,WeekReturn,FinanceBalanceDif,ChipsField2'</f>
        <v>-22.72</v>
      </c>
      <c r="L713">
        <v>24.7</v>
      </c>
      <c r="M713">
        <v>3.13</v>
      </c>
      <c r="N713" t="str">
        <v>69.74%</v>
      </c>
      <c r="O713" t="str">
        <v>1943萬</v>
      </c>
      <c r="P713" t="str">
        <v>+31.73</v>
      </c>
      <c r="Q713" t="str">
        <v>-8.52</v>
      </c>
      <c r="R713" t="str">
        <v>+1.44</v>
      </c>
      <c r="S713">
        <v>0</v>
      </c>
      <c r="T713">
        <v>0</v>
      </c>
      <c r="U713">
        <f t="array" ref="U713:AD713">[1]!'4950.TW-ChipsField3,ChipsField1,ChipsField25,CashAndStockDividend,CashDividendYieldRate,ProfitFourSeason,ProfitSingle,CName,ExchangeIndustry,CompanyPos'</f>
        <v>0</v>
      </c>
      <c r="V713">
        <v>5</v>
      </c>
      <c r="W713" t="str">
        <v>--</v>
      </c>
      <c r="X713" t="str">
        <v>0.00</v>
      </c>
      <c r="Y713">
        <v>0</v>
      </c>
      <c r="Z713" t="str">
        <v>0.91</v>
      </c>
      <c r="AA713" t="str">
        <v>0.04</v>
      </c>
      <c r="AB713" t="str">
        <v>牧東</v>
      </c>
      <c r="AC713" t="str">
        <v>上櫃其他</v>
      </c>
      <c r="AD713" t="str">
        <v>轉型為廚房用不鏽鋼刀具生產廠商</v>
      </c>
      <c r="AE713" t="str">
        <f t="array" ref="AE713:AH713">[1]!'4950.TW-CName,InvestorConferenceDate,DateofMeetingofShareHolders,TradingDate'</f>
        <v>牧東</v>
      </c>
      <c r="AF713" t="str">
        <v>2021/06/09</v>
      </c>
      <c r="AG713" t="str">
        <v>2022/11/10</v>
      </c>
      <c r="AH713" t="str">
        <v>2022/08/01</v>
      </c>
    </row>
    <row r="714" spans="1:34" x14ac:dyDescent="0.3">
      <c r="A714" t="str">
        <f t="array" ref="A714:J714">[1]!'5209.TW-ID,Name,MarketValue,Capital,NetIncomeGrowthRate,OperIncomeGrowthRate,FinancialStatementsTime,TFXRatio,MonthlyNetSalesYoY,RevenueMonth'</f>
        <v>5209</v>
      </c>
      <c r="B714" t="str">
        <v>新鼎</v>
      </c>
      <c r="C714" t="str">
        <v>18.7</v>
      </c>
      <c r="D714" t="str">
        <v>2.77</v>
      </c>
      <c r="E714" t="str">
        <v>-29.43</v>
      </c>
      <c r="F714" t="str">
        <v>-0.02</v>
      </c>
      <c r="G714" t="str">
        <v>2022/03</v>
      </c>
      <c r="H714" t="str">
        <v>47.18</v>
      </c>
      <c r="I714" t="str">
        <v>16.35</v>
      </c>
      <c r="J714" t="str">
        <v>2022/06</v>
      </c>
      <c r="K714" t="str">
        <f t="array" ref="K714:T714">[1]!'5209.TW-OperatingProfitRatio,Price,PriceChangeRatio,InOutRatioNumber,Value,YearReturn,MonthReturn,WeekReturn,FinanceBalanceDif,ChipsField2'</f>
        <v>5.13</v>
      </c>
      <c r="L714">
        <v>67.3</v>
      </c>
      <c r="M714">
        <v>2.44</v>
      </c>
      <c r="N714" t="str">
        <v>40.00%</v>
      </c>
      <c r="O714" t="str">
        <v>267萬</v>
      </c>
      <c r="P714" t="str">
        <v>+18.15</v>
      </c>
      <c r="Q714" t="str">
        <v>+9.43</v>
      </c>
      <c r="R714" t="str">
        <v>+5.16</v>
      </c>
      <c r="S714">
        <v>0</v>
      </c>
      <c r="T714">
        <v>0</v>
      </c>
      <c r="U714">
        <f t="array" ref="U714:AD714">[1]!'5209.TW-ChipsField3,ChipsField1,ChipsField25,CashAndStockDividend,CashDividendYieldRate,ProfitFourSeason,ProfitSingle,CName,ExchangeIndustry,CompanyPos'</f>
        <v>0</v>
      </c>
      <c r="V714">
        <v>0</v>
      </c>
      <c r="W714" t="str">
        <v>2022/07/01</v>
      </c>
      <c r="X714" t="str">
        <v>8.79</v>
      </c>
      <c r="Y714">
        <v>13.06</v>
      </c>
      <c r="Z714" t="str">
        <v>9.45</v>
      </c>
      <c r="AA714" t="str">
        <v>1.33</v>
      </c>
      <c r="AB714" t="str">
        <v>新鼎</v>
      </c>
      <c r="AC714" t="str">
        <v>上櫃其他</v>
      </c>
      <c r="AD714" t="str">
        <v>中鼎旗下石化、煉油廠、交通機電等資訊系統工程SI廠</v>
      </c>
      <c r="AE714" t="str">
        <f t="array" ref="AE714:AH714">[1]!'5209.TW-CName,InvestorConferenceDate,DateofMeetingofShareHolders,TradingDate'</f>
        <v>新鼎</v>
      </c>
      <c r="AF714" t="str">
        <v>2022/05/27</v>
      </c>
      <c r="AG714" t="str">
        <v>2022/05/26</v>
      </c>
      <c r="AH714" t="str">
        <v>2022/08/01</v>
      </c>
    </row>
    <row r="715" spans="1:34" x14ac:dyDescent="0.3">
      <c r="A715" t="str">
        <f t="array" ref="A715:J715">[1]!'5276.TW-ID,Name,MarketValue,Capital,NetIncomeGrowthRate,OperIncomeGrowthRate,FinancialStatementsTime,TFXRatio,MonthlyNetSalesYoY,RevenueMonth'</f>
        <v>5276</v>
      </c>
      <c r="B715" t="str">
        <v>達輝-KY</v>
      </c>
      <c r="C715" t="str">
        <v>6.0</v>
      </c>
      <c r="D715" t="str">
        <v>3.95</v>
      </c>
      <c r="E715" t="str">
        <v>-163.06</v>
      </c>
      <c r="F715" t="str">
        <v>-102.41</v>
      </c>
      <c r="G715" t="str">
        <v>2022/03</v>
      </c>
      <c r="H715" t="str">
        <v>-0.77</v>
      </c>
      <c r="I715" t="str">
        <v>111.30</v>
      </c>
      <c r="J715" t="str">
        <v>2022/06</v>
      </c>
      <c r="K715" t="str">
        <f t="array" ref="K715:T715">[1]!'5276.TW-OperatingProfitRatio,Price,PriceChangeRatio,InOutRatioNumber,Value,YearReturn,MonthReturn,WeekReturn,FinanceBalanceDif,ChipsField2'</f>
        <v>-0.20</v>
      </c>
      <c r="L715" t="str">
        <v>--</v>
      </c>
      <c r="M715" t="str">
        <v>--</v>
      </c>
      <c r="N715" t="str">
        <v>--</v>
      </c>
      <c r="O715" t="str">
        <v>--</v>
      </c>
      <c r="P715" t="str">
        <v>-3.11</v>
      </c>
      <c r="Q715" t="str">
        <v>+1.42</v>
      </c>
      <c r="R715" t="str">
        <v>-2.17</v>
      </c>
      <c r="S715">
        <v>0</v>
      </c>
      <c r="T715">
        <v>0</v>
      </c>
      <c r="U715">
        <f t="array" ref="U715:AD715">[1]!'5276.TW-ChipsField3,ChipsField1,ChipsField25,CashAndStockDividend,CashDividendYieldRate,ProfitFourSeason,ProfitSingle,CName,ExchangeIndustry,CompanyPos'</f>
        <v>0</v>
      </c>
      <c r="V715">
        <v>0</v>
      </c>
      <c r="W715" t="str">
        <v>2022/07/29</v>
      </c>
      <c r="X715" t="str">
        <v>0.11</v>
      </c>
      <c r="Y715">
        <v>0.73</v>
      </c>
      <c r="Z715" t="str">
        <v>0.29</v>
      </c>
      <c r="AA715" t="str">
        <v>-0.11</v>
      </c>
      <c r="AB715" t="str">
        <v>達輝-KY</v>
      </c>
      <c r="AC715" t="str">
        <v>上櫃其他</v>
      </c>
      <c r="AD715" t="str">
        <v>奐鑫集團旗下生產嬰幼兒安全座椅及機車零組件廠</v>
      </c>
      <c r="AE715" t="str">
        <f t="array" ref="AE715:AH715">[1]!'5276.TW-CName,InvestorConferenceDate,DateofMeetingofShareHolders,TradingDate'</f>
        <v>達輝-KY</v>
      </c>
      <c r="AF715" t="str">
        <v>2022/06/24</v>
      </c>
      <c r="AG715" t="str">
        <v>2022/06/21</v>
      </c>
      <c r="AH715" t="str">
        <v>2022/08/01</v>
      </c>
    </row>
    <row r="716" spans="1:34" x14ac:dyDescent="0.3">
      <c r="A716" t="str">
        <f t="array" ref="A716:J716">[1]!'5345.TW-ID,Name,MarketValue,Capital,NetIncomeGrowthRate,OperIncomeGrowthRate,FinancialStatementsTime,TFXRatio,MonthlyNetSalesYoY,RevenueMonth'</f>
        <v>5345</v>
      </c>
      <c r="B716" t="str">
        <v>天揚</v>
      </c>
      <c r="C716" t="str">
        <v>2.7</v>
      </c>
      <c r="D716" t="str">
        <v>4.75</v>
      </c>
      <c r="E716" t="str">
        <v>-450.34</v>
      </c>
      <c r="F716" t="str">
        <v>14.32</v>
      </c>
      <c r="G716" t="str">
        <v>2022/03</v>
      </c>
      <c r="H716" t="str">
        <v>-22.21</v>
      </c>
      <c r="I716" t="str">
        <v>-13.79</v>
      </c>
      <c r="J716" t="str">
        <v>2022/06</v>
      </c>
      <c r="K716" t="str">
        <f t="array" ref="K716:T716">[1]!'5345.TW-OperatingProfitRatio,Price,PriceChangeRatio,InOutRatioNumber,Value,YearReturn,MonthReturn,WeekReturn,FinanceBalanceDif,ChipsField2'</f>
        <v>-787.42</v>
      </c>
      <c r="L716">
        <v>5.72</v>
      </c>
      <c r="M716">
        <v>3.81</v>
      </c>
      <c r="N716" t="str">
        <v>50.00%</v>
      </c>
      <c r="O716" t="str">
        <v>4.49萬</v>
      </c>
      <c r="P716" t="str">
        <v>-6.38</v>
      </c>
      <c r="Q716" t="str">
        <v>+0.88</v>
      </c>
      <c r="R716" t="str">
        <v>-1.38</v>
      </c>
      <c r="S716">
        <v>0</v>
      </c>
      <c r="T716">
        <v>0</v>
      </c>
      <c r="U716">
        <f t="array" ref="U716:AD716">[1]!'5345.TW-ChipsField3,ChipsField1,ChipsField25,CashAndStockDividend,CashDividendYieldRate,ProfitFourSeason,ProfitSingle,CName,ExchangeIndustry,CompanyPos'</f>
        <v>0</v>
      </c>
      <c r="V716">
        <v>0</v>
      </c>
      <c r="W716" t="str">
        <v>--</v>
      </c>
      <c r="X716" t="str">
        <v>0.00</v>
      </c>
      <c r="Y716">
        <v>0</v>
      </c>
      <c r="Z716" t="str">
        <v>-0.74</v>
      </c>
      <c r="AA716" t="str">
        <v>-0.47</v>
      </c>
      <c r="AB716" t="str">
        <v>天揚</v>
      </c>
      <c r="AC716" t="str">
        <v>上櫃其他</v>
      </c>
      <c r="AD716" t="str">
        <v>從事各式電源開關、遙控器及鑰匙/門鎖控制系統設計</v>
      </c>
      <c r="AE716" t="str">
        <f t="array" ref="AE716:AH716">[1]!'5345.TW-CName,InvestorConferenceDate,DateofMeetingofShareHolders,TradingDate'</f>
        <v>天揚</v>
      </c>
      <c r="AF716" t="str">
        <v>--</v>
      </c>
      <c r="AG716" t="str">
        <v>2022/06/24</v>
      </c>
      <c r="AH716" t="str">
        <v>2022/08/01</v>
      </c>
    </row>
    <row r="717" spans="1:34" x14ac:dyDescent="0.3">
      <c r="A717" t="str">
        <f t="array" ref="A717:J717">[1]!'5398.TW-ID,Name,MarketValue,Capital,NetIncomeGrowthRate,OperIncomeGrowthRate,FinancialStatementsTime,TFXRatio,MonthlyNetSalesYoY,RevenueMonth'</f>
        <v>5398</v>
      </c>
      <c r="B717" t="str">
        <v>慕康生醫</v>
      </c>
      <c r="C717" t="str">
        <v>8.4</v>
      </c>
      <c r="D717" t="str">
        <v>5.00</v>
      </c>
      <c r="E717" t="str">
        <v>-160.92</v>
      </c>
      <c r="F717" t="str">
        <v>-155.18</v>
      </c>
      <c r="G717" t="str">
        <v>2022/03</v>
      </c>
      <c r="H717" t="str">
        <v>-25.98</v>
      </c>
      <c r="I717" t="str">
        <v>-72.72</v>
      </c>
      <c r="J717" t="str">
        <v>2022/06</v>
      </c>
      <c r="K717" t="str">
        <f t="array" ref="K717:T717">[1]!'5398.TW-OperatingProfitRatio,Price,PriceChangeRatio,InOutRatioNumber,Value,YearReturn,MonthReturn,WeekReturn,FinanceBalanceDif,ChipsField2'</f>
        <v>-6.52</v>
      </c>
      <c r="L717">
        <v>16.75</v>
      </c>
      <c r="M717">
        <v>-1.18</v>
      </c>
      <c r="N717" t="str">
        <v>31.25%</v>
      </c>
      <c r="O717" t="str">
        <v>27.0萬</v>
      </c>
      <c r="P717" t="str">
        <v>-18.62</v>
      </c>
      <c r="Q717" t="str">
        <v>-3.86</v>
      </c>
      <c r="R717" t="str">
        <v>-2.62</v>
      </c>
      <c r="S717">
        <v>-4</v>
      </c>
      <c r="T717">
        <v>0</v>
      </c>
      <c r="U717">
        <f t="array" ref="U717:AD717">[1]!'5398.TW-ChipsField3,ChipsField1,ChipsField25,CashAndStockDividend,CashDividendYieldRate,ProfitFourSeason,ProfitSingle,CName,ExchangeIndustry,CompanyPos'</f>
        <v>0</v>
      </c>
      <c r="V717">
        <v>0</v>
      </c>
      <c r="W717" t="str">
        <v>2022/07/08</v>
      </c>
      <c r="X717" t="str">
        <v>0.14</v>
      </c>
      <c r="Y717">
        <v>0.84</v>
      </c>
      <c r="Z717" t="str">
        <v>0.08</v>
      </c>
      <c r="AA717" t="str">
        <v>-0.09</v>
      </c>
      <c r="AB717" t="str">
        <v>慕康生醫</v>
      </c>
      <c r="AC717" t="str">
        <v>上櫃其他</v>
      </c>
      <c r="AD717" t="str">
        <v>轉型佈局醫療生技發展，推出保健食品及醫材代理</v>
      </c>
      <c r="AE717" t="str">
        <f t="array" ref="AE717:AH717">[1]!'5398.TW-CName,InvestorConferenceDate,DateofMeetingofShareHolders,TradingDate'</f>
        <v>慕康生醫</v>
      </c>
      <c r="AF717" t="str">
        <v>--</v>
      </c>
      <c r="AG717" t="str">
        <v>2022/05/09</v>
      </c>
      <c r="AH717" t="str">
        <v>2022/08/01</v>
      </c>
    </row>
    <row r="718" spans="1:34" x14ac:dyDescent="0.3">
      <c r="A718" t="str">
        <f t="array" ref="A718:J718">[1]!'5450.TW-ID,Name,MarketValue,Capital,NetIncomeGrowthRate,OperIncomeGrowthRate,FinancialStatementsTime,TFXRatio,MonthlyNetSalesYoY,RevenueMonth'</f>
        <v>5450</v>
      </c>
      <c r="B718" t="str">
        <v>南良</v>
      </c>
      <c r="C718" t="str">
        <v>21.9</v>
      </c>
      <c r="D718" t="str">
        <v>12.24</v>
      </c>
      <c r="E718" t="str">
        <v>153.59</v>
      </c>
      <c r="F718" t="str">
        <v>79.05</v>
      </c>
      <c r="G718" t="str">
        <v>2022/03</v>
      </c>
      <c r="H718" t="str">
        <v>-10.69</v>
      </c>
      <c r="I718" t="str">
        <v>-2.10</v>
      </c>
      <c r="J718" t="str">
        <v>2022/06</v>
      </c>
      <c r="K718" t="str">
        <f t="array" ref="K718:T718">[1]!'5450.TW-OperatingProfitRatio,Price,PriceChangeRatio,InOutRatioNumber,Value,YearReturn,MonthReturn,WeekReturn,FinanceBalanceDif,ChipsField2'</f>
        <v>6.64</v>
      </c>
      <c r="L718">
        <v>17.899999999999999</v>
      </c>
      <c r="M718">
        <v>1.42</v>
      </c>
      <c r="N718" t="str">
        <v>58.52%</v>
      </c>
      <c r="O718" t="str">
        <v>244萬</v>
      </c>
      <c r="P718" t="str">
        <v>0.00</v>
      </c>
      <c r="Q718" t="str">
        <v>+5.60</v>
      </c>
      <c r="R718" t="str">
        <v>+2.29</v>
      </c>
      <c r="S718">
        <v>9</v>
      </c>
      <c r="T718">
        <v>0</v>
      </c>
      <c r="U718">
        <f t="array" ref="U718:AD718">[1]!'5450.TW-ChipsField3,ChipsField1,ChipsField25,CashAndStockDividend,CashDividendYieldRate,ProfitFourSeason,ProfitSingle,CName,ExchangeIndustry,CompanyPos'</f>
        <v>0</v>
      </c>
      <c r="V718">
        <v>7</v>
      </c>
      <c r="W718" t="str">
        <v>2022/08/04</v>
      </c>
      <c r="X718" t="str">
        <v>0.60</v>
      </c>
      <c r="Y718">
        <v>3.35</v>
      </c>
      <c r="Z718" t="str">
        <v>1.54</v>
      </c>
      <c r="AA718" t="str">
        <v>0.51</v>
      </c>
      <c r="AB718" t="str">
        <v>南良</v>
      </c>
      <c r="AC718" t="str">
        <v>上櫃其他</v>
      </c>
      <c r="AD718" t="str">
        <v>主要經營特殊紡織品、高彈性發泡材料及電源供應器</v>
      </c>
      <c r="AE718" t="str">
        <f t="array" ref="AE718:AH718">[1]!'5450.TW-CName,InvestorConferenceDate,DateofMeetingofShareHolders,TradingDate'</f>
        <v>南良</v>
      </c>
      <c r="AF718" t="str">
        <v>--</v>
      </c>
      <c r="AG718" t="str">
        <v>2022/06/23</v>
      </c>
      <c r="AH718" t="str">
        <v>2022/08/01</v>
      </c>
    </row>
    <row r="719" spans="1:34" x14ac:dyDescent="0.3">
      <c r="A719" t="str">
        <f t="array" ref="A719:J719">[1]!'5481.TW-ID,Name,MarketValue,Capital,NetIncomeGrowthRate,OperIncomeGrowthRate,FinancialStatementsTime,TFXRatio,MonthlyNetSalesYoY,RevenueMonth'</f>
        <v>5481</v>
      </c>
      <c r="B719" t="str">
        <v>新華</v>
      </c>
      <c r="C719" t="str">
        <v>8.7</v>
      </c>
      <c r="D719" t="str">
        <v>7.34</v>
      </c>
      <c r="E719" t="str">
        <v>-70.14</v>
      </c>
      <c r="F719" t="str">
        <v>-24.28</v>
      </c>
      <c r="G719" t="str">
        <v>2022/03</v>
      </c>
      <c r="H719" t="str">
        <v>-1.06</v>
      </c>
      <c r="I719" t="str">
        <v>-5.59</v>
      </c>
      <c r="J719" t="str">
        <v>2022/06</v>
      </c>
      <c r="K719" t="str">
        <f t="array" ref="K719:T719">[1]!'5481.TW-OperatingProfitRatio,Price,PriceChangeRatio,InOutRatioNumber,Value,YearReturn,MonthReturn,WeekReturn,FinanceBalanceDif,ChipsField2'</f>
        <v>-31.74</v>
      </c>
      <c r="L719">
        <v>11.85</v>
      </c>
      <c r="M719">
        <v>-0.42</v>
      </c>
      <c r="N719" t="str">
        <v>32.35%</v>
      </c>
      <c r="O719" t="str">
        <v>40.4萬</v>
      </c>
      <c r="P719" t="str">
        <v>+2.00</v>
      </c>
      <c r="Q719" t="str">
        <v>+1.72</v>
      </c>
      <c r="R719" t="str">
        <v>+1.72</v>
      </c>
      <c r="S719">
        <v>-3</v>
      </c>
      <c r="T719">
        <v>0</v>
      </c>
      <c r="U719">
        <f t="array" ref="U719:AD719">[1]!'5481.TW-ChipsField3,ChipsField1,ChipsField25,CashAndStockDividend,CashDividendYieldRate,ProfitFourSeason,ProfitSingle,CName,ExchangeIndustry,CompanyPos'</f>
        <v>-1</v>
      </c>
      <c r="V719">
        <v>0</v>
      </c>
      <c r="W719" t="str">
        <v>2022/05/04</v>
      </c>
      <c r="X719" t="str">
        <v>0.60</v>
      </c>
      <c r="Y719">
        <v>5.0599999999999996</v>
      </c>
      <c r="Z719" t="str">
        <v>1.72</v>
      </c>
      <c r="AA719" t="str">
        <v>-0.16</v>
      </c>
      <c r="AB719" t="str">
        <v>新華</v>
      </c>
      <c r="AC719" t="str">
        <v>上櫃其他</v>
      </c>
      <c r="AD719" t="str">
        <v>主要經營「芝?街」連鎖美語補習班及國高中補習服務</v>
      </c>
      <c r="AE719" t="str">
        <f t="array" ref="AE719:AH719">[1]!'5481.TW-CName,InvestorConferenceDate,DateofMeetingofShareHolders,TradingDate'</f>
        <v>新華</v>
      </c>
      <c r="AF719" t="str">
        <v>--</v>
      </c>
      <c r="AG719" t="str">
        <v>2022/03/29</v>
      </c>
      <c r="AH719" t="str">
        <v>2022/08/01</v>
      </c>
    </row>
    <row r="720" spans="1:34" x14ac:dyDescent="0.3">
      <c r="A720" t="str">
        <f t="array" ref="A720:J720">[1]!'5530.TW-ID,Name,MarketValue,Capital,NetIncomeGrowthRate,OperIncomeGrowthRate,FinancialStatementsTime,TFXRatio,MonthlyNetSalesYoY,RevenueMonth'</f>
        <v>5530</v>
      </c>
      <c r="B720" t="str">
        <v>龍巖</v>
      </c>
      <c r="C720" t="str">
        <v>170.8</v>
      </c>
      <c r="D720" t="str">
        <v>42.01</v>
      </c>
      <c r="E720" t="str">
        <v>9.03</v>
      </c>
      <c r="F720" t="str">
        <v>5.81</v>
      </c>
      <c r="G720" t="str">
        <v>2022/03</v>
      </c>
      <c r="H720" t="str">
        <v>21.72</v>
      </c>
      <c r="I720" t="str">
        <v>49.62</v>
      </c>
      <c r="J720" t="str">
        <v>2022/06</v>
      </c>
      <c r="K720" t="str">
        <f t="array" ref="K720:T720">[1]!'5530.TW-OperatingProfitRatio,Price,PriceChangeRatio,InOutRatioNumber,Value,YearReturn,MonthReturn,WeekReturn,FinanceBalanceDif,ChipsField2'</f>
        <v>37.48</v>
      </c>
      <c r="L720">
        <v>40.65</v>
      </c>
      <c r="M720">
        <v>0.87</v>
      </c>
      <c r="N720" t="str">
        <v>56.57%</v>
      </c>
      <c r="O720" t="str">
        <v>808萬</v>
      </c>
      <c r="P720" t="str">
        <v>-11.34</v>
      </c>
      <c r="Q720" t="str">
        <v>+2.00</v>
      </c>
      <c r="R720" t="str">
        <v>+1.14</v>
      </c>
      <c r="S720">
        <v>-29</v>
      </c>
      <c r="T720">
        <v>0</v>
      </c>
      <c r="U720">
        <f t="array" ref="U720:AD720">[1]!'5530.TW-ChipsField3,ChipsField1,ChipsField25,CashAndStockDividend,CashDividendYieldRate,ProfitFourSeason,ProfitSingle,CName,ExchangeIndustry,CompanyPos'</f>
        <v>0</v>
      </c>
      <c r="V720">
        <v>3</v>
      </c>
      <c r="W720" t="str">
        <v>2022/07/28</v>
      </c>
      <c r="X720" t="str">
        <v>1.20</v>
      </c>
      <c r="Y720">
        <v>2.95</v>
      </c>
      <c r="Z720" t="str">
        <v>3.47</v>
      </c>
      <c r="AA720" t="str">
        <v>1.07</v>
      </c>
      <c r="AB720" t="str">
        <v>龍巖</v>
      </c>
      <c r="AC720" t="str">
        <v>上櫃其他</v>
      </c>
      <c r="AD720" t="str">
        <v>台灣殯葬產業龍頭</v>
      </c>
      <c r="AE720" t="str">
        <f t="array" ref="AE720:AH720">[1]!'5530.TW-CName,InvestorConferenceDate,DateofMeetingofShareHolders,TradingDate'</f>
        <v>龍巖</v>
      </c>
      <c r="AF720" t="str">
        <v>2022/06/17</v>
      </c>
      <c r="AG720" t="str">
        <v>2022/06/24</v>
      </c>
      <c r="AH720" t="str">
        <v>2022/08/01</v>
      </c>
    </row>
    <row r="721" spans="1:34" x14ac:dyDescent="0.3">
      <c r="A721" t="str">
        <f t="array" ref="A721:J721">[1]!'5604.TW-ID,Name,MarketValue,Capital,NetIncomeGrowthRate,OperIncomeGrowthRate,FinancialStatementsTime,TFXRatio,MonthlyNetSalesYoY,RevenueMonth'</f>
        <v>5604</v>
      </c>
      <c r="B721" t="str">
        <v>中連</v>
      </c>
      <c r="C721" t="str">
        <v>69.5</v>
      </c>
      <c r="D721" t="str">
        <v>10.88</v>
      </c>
      <c r="E721" t="str">
        <v>-96.38</v>
      </c>
      <c r="F721" t="str">
        <v>24.04</v>
      </c>
      <c r="G721" t="str">
        <v>2022/03</v>
      </c>
      <c r="H721" t="str">
        <v>0.11</v>
      </c>
      <c r="I721" t="str">
        <v>10.05</v>
      </c>
      <c r="J721" t="str">
        <v>2022/06</v>
      </c>
      <c r="K721" t="str">
        <f t="array" ref="K721:T721">[1]!'5604.TW-OperatingProfitRatio,Price,PriceChangeRatio,InOutRatioNumber,Value,YearReturn,MonthReturn,WeekReturn,FinanceBalanceDif,ChipsField2'</f>
        <v>69.28</v>
      </c>
      <c r="L721">
        <v>63.9</v>
      </c>
      <c r="M721">
        <v>0</v>
      </c>
      <c r="N721" t="str">
        <v>42.86%</v>
      </c>
      <c r="O721" t="str">
        <v>51.1萬</v>
      </c>
      <c r="P721" t="str">
        <v>-17.27</v>
      </c>
      <c r="Q721" t="str">
        <v>+6.50</v>
      </c>
      <c r="R721" t="str">
        <v>+0.31</v>
      </c>
      <c r="S721">
        <v>0</v>
      </c>
      <c r="T721">
        <v>0</v>
      </c>
      <c r="U721">
        <f t="array" ref="U721:AD721">[1]!'5604.TW-ChipsField3,ChipsField1,ChipsField25,CashAndStockDividend,CashDividendYieldRate,ProfitFourSeason,ProfitSingle,CName,ExchangeIndustry,CompanyPos'</f>
        <v>0</v>
      </c>
      <c r="V721">
        <v>1</v>
      </c>
      <c r="W721" t="str">
        <v>2022/06/23</v>
      </c>
      <c r="X721" t="str">
        <v>6.10</v>
      </c>
      <c r="Y721">
        <v>9.5500000000000007</v>
      </c>
      <c r="Z721" t="str">
        <v>1.00</v>
      </c>
      <c r="AA721" t="str">
        <v>0.22</v>
      </c>
      <c r="AB721" t="str">
        <v>中連</v>
      </c>
      <c r="AC721" t="str">
        <v>上櫃其他</v>
      </c>
      <c r="AD721" t="str">
        <v>轉型為從事工業用不動產租賃</v>
      </c>
      <c r="AE721" t="str">
        <f t="array" ref="AE721:AH721">[1]!'5604.TW-CName,InvestorConferenceDate,DateofMeetingofShareHolders,TradingDate'</f>
        <v>中連</v>
      </c>
      <c r="AF721" t="str">
        <v>--</v>
      </c>
      <c r="AG721" t="str">
        <v>2022/06/06</v>
      </c>
      <c r="AH721" t="str">
        <v>2022/08/01</v>
      </c>
    </row>
    <row r="722" spans="1:34" x14ac:dyDescent="0.3">
      <c r="A722" t="str">
        <f t="array" ref="A722:J722">[1]!'6179.TW-ID,Name,MarketValue,Capital,NetIncomeGrowthRate,OperIncomeGrowthRate,FinancialStatementsTime,TFXRatio,MonthlyNetSalesYoY,RevenueMonth'</f>
        <v>6179</v>
      </c>
      <c r="B722" t="str">
        <v>亞通</v>
      </c>
      <c r="C722" t="str">
        <v>24.7</v>
      </c>
      <c r="D722" t="str">
        <v>8.81</v>
      </c>
      <c r="E722" t="str">
        <v>-84.55</v>
      </c>
      <c r="F722" t="str">
        <v>-131.07</v>
      </c>
      <c r="G722" t="str">
        <v>2022/03</v>
      </c>
      <c r="H722" t="str">
        <v>69.21</v>
      </c>
      <c r="I722" t="str">
        <v>-20.76</v>
      </c>
      <c r="J722" t="str">
        <v>2022/06</v>
      </c>
      <c r="K722" t="str">
        <f t="array" ref="K722:T722">[1]!'6179.TW-OperatingProfitRatio,Price,PriceChangeRatio,InOutRatioNumber,Value,YearReturn,MonthReturn,WeekReturn,FinanceBalanceDif,ChipsField2'</f>
        <v>-2.37</v>
      </c>
      <c r="L722">
        <v>28.05</v>
      </c>
      <c r="M722">
        <v>0</v>
      </c>
      <c r="N722" t="str">
        <v>39.02%</v>
      </c>
      <c r="O722" t="str">
        <v>121萬</v>
      </c>
      <c r="P722" t="str">
        <v>-1.71</v>
      </c>
      <c r="Q722" t="str">
        <v>+5.25</v>
      </c>
      <c r="R722" t="str">
        <v>-1.23</v>
      </c>
      <c r="S722">
        <v>1</v>
      </c>
      <c r="T722">
        <v>0</v>
      </c>
      <c r="U722">
        <f t="array" ref="U722:AD722">[1]!'6179.TW-ChipsField3,ChipsField1,ChipsField25,CashAndStockDividend,CashDividendYieldRate,ProfitFourSeason,ProfitSingle,CName,ExchangeIndustry,CompanyPos'</f>
        <v>0</v>
      </c>
      <c r="V722">
        <v>2</v>
      </c>
      <c r="W722" t="str">
        <v>2022/06/22</v>
      </c>
      <c r="X722" t="str">
        <v>1.53</v>
      </c>
      <c r="Y722">
        <v>5.45</v>
      </c>
      <c r="Z722" t="str">
        <v>1.41</v>
      </c>
      <c r="AA722" t="str">
        <v>0.07</v>
      </c>
      <c r="AB722" t="str">
        <v>亞通</v>
      </c>
      <c r="AC722" t="str">
        <v>上櫃其他</v>
      </c>
      <c r="AD722" t="str">
        <v>轉型為電廠工程業務，工程集中在菲律賓</v>
      </c>
      <c r="AE722" t="str">
        <f t="array" ref="AE722:AH722">[1]!'6179.TW-CName,InvestorConferenceDate,DateofMeetingofShareHolders,TradingDate'</f>
        <v>亞通</v>
      </c>
      <c r="AF722" t="str">
        <v>2021/11/25</v>
      </c>
      <c r="AG722" t="str">
        <v>2022/05/27</v>
      </c>
      <c r="AH722" t="str">
        <v>2022/08/01</v>
      </c>
    </row>
    <row r="723" spans="1:34" x14ac:dyDescent="0.3">
      <c r="A723" t="str">
        <f t="array" ref="A723:J723">[1]!'6199.TW-ID,Name,MarketValue,Capital,NetIncomeGrowthRate,OperIncomeGrowthRate,FinancialStatementsTime,TFXRatio,MonthlyNetSalesYoY,RevenueMonth'</f>
        <v>6199</v>
      </c>
      <c r="B723" t="str">
        <v>天品</v>
      </c>
      <c r="C723" t="str">
        <v>17.0</v>
      </c>
      <c r="D723" t="str">
        <v>6.18</v>
      </c>
      <c r="E723" t="str">
        <v>1328.67</v>
      </c>
      <c r="F723" t="str">
        <v>6484.91</v>
      </c>
      <c r="G723" t="str">
        <v>2022/03</v>
      </c>
      <c r="H723" t="str">
        <v>30.47</v>
      </c>
      <c r="I723" t="str">
        <v>109.04</v>
      </c>
      <c r="J723" t="str">
        <v>2022/06</v>
      </c>
      <c r="K723" t="str">
        <f t="array" ref="K723:T723">[1]!'6199.TW-OperatingProfitRatio,Price,PriceChangeRatio,InOutRatioNumber,Value,YearReturn,MonthReturn,WeekReturn,FinanceBalanceDif,ChipsField2'</f>
        <v>14.49</v>
      </c>
      <c r="L723">
        <v>27.45</v>
      </c>
      <c r="M723">
        <v>4.7699999999999996</v>
      </c>
      <c r="N723" t="str">
        <v>63.51%</v>
      </c>
      <c r="O723" t="str">
        <v>196萬</v>
      </c>
      <c r="P723" t="str">
        <v>+67.89</v>
      </c>
      <c r="Q723" t="str">
        <v>0.00</v>
      </c>
      <c r="R723" t="str">
        <v>+10.69</v>
      </c>
      <c r="S723">
        <v>0</v>
      </c>
      <c r="T723">
        <v>0</v>
      </c>
      <c r="U723">
        <f t="array" ref="U723:AD723">[1]!'6199.TW-ChipsField3,ChipsField1,ChipsField25,CashAndStockDividend,CashDividendYieldRate,ProfitFourSeason,ProfitSingle,CName,ExchangeIndustry,CompanyPos'</f>
        <v>2</v>
      </c>
      <c r="V723">
        <v>-14</v>
      </c>
      <c r="W723" t="str">
        <v>--</v>
      </c>
      <c r="X723" t="str">
        <v>0.00</v>
      </c>
      <c r="Y723">
        <v>0</v>
      </c>
      <c r="Z723" t="str">
        <v>1.26</v>
      </c>
      <c r="AA723" t="str">
        <v>0.54</v>
      </c>
      <c r="AB723" t="str">
        <v>天品</v>
      </c>
      <c r="AC723" t="str">
        <v>上櫃其他</v>
      </c>
      <c r="AD723" t="str">
        <v>專營基督徒塔位銷售及殯葬服務</v>
      </c>
      <c r="AE723" t="str">
        <f t="array" ref="AE723:AH723">[1]!'6199.TW-CName,InvestorConferenceDate,DateofMeetingofShareHolders,TradingDate'</f>
        <v>天品</v>
      </c>
      <c r="AF723" t="str">
        <v>--</v>
      </c>
      <c r="AG723" t="str">
        <v>2022/06/17</v>
      </c>
      <c r="AH723" t="str">
        <v>2022/08/01</v>
      </c>
    </row>
    <row r="724" spans="1:34" x14ac:dyDescent="0.3">
      <c r="A724" t="str">
        <f t="array" ref="A724:J724">[1]!'6236.TW-ID,Name,MarketValue,Capital,NetIncomeGrowthRate,OperIncomeGrowthRate,FinancialStatementsTime,TFXRatio,MonthlyNetSalesYoY,RevenueMonth'</f>
        <v>6236</v>
      </c>
      <c r="B724" t="str">
        <v>康呈</v>
      </c>
      <c r="C724" t="str">
        <v>6.0</v>
      </c>
      <c r="D724" t="str">
        <v>3.17</v>
      </c>
      <c r="E724" t="str">
        <v>125.06</v>
      </c>
      <c r="F724" t="str">
        <v>73.07</v>
      </c>
      <c r="G724" t="str">
        <v>2022/03</v>
      </c>
      <c r="H724" t="str">
        <v>42.96</v>
      </c>
      <c r="I724" t="str">
        <v>232.79</v>
      </c>
      <c r="J724" t="str">
        <v>2022/06</v>
      </c>
      <c r="K724" t="str">
        <f t="array" ref="K724:T724">[1]!'6236.TW-OperatingProfitRatio,Price,PriceChangeRatio,InOutRatioNumber,Value,YearReturn,MonthReturn,WeekReturn,FinanceBalanceDif,ChipsField2'</f>
        <v>-12.24</v>
      </c>
      <c r="L724" t="str">
        <v>--</v>
      </c>
      <c r="M724" t="str">
        <v>--</v>
      </c>
      <c r="N724" t="str">
        <v>--</v>
      </c>
      <c r="O724" t="str">
        <v>--</v>
      </c>
      <c r="P724" t="str">
        <v>+114.85</v>
      </c>
      <c r="Q724" t="str">
        <v>+2.96</v>
      </c>
      <c r="R724" t="str">
        <v>+1.87</v>
      </c>
      <c r="S724">
        <v>0</v>
      </c>
      <c r="T724">
        <v>0</v>
      </c>
      <c r="U724">
        <f t="array" ref="U724:AD724">[1]!'6236.TW-ChipsField3,ChipsField1,ChipsField25,CashAndStockDividend,CashDividendYieldRate,ProfitFourSeason,ProfitSingle,CName,ExchangeIndustry,CompanyPos'</f>
        <v>0</v>
      </c>
      <c r="V724">
        <v>0</v>
      </c>
      <c r="W724" t="str">
        <v>--</v>
      </c>
      <c r="X724" t="str">
        <v>0.00</v>
      </c>
      <c r="Y724">
        <v>0</v>
      </c>
      <c r="Z724" t="str">
        <v>-0.08</v>
      </c>
      <c r="AA724" t="str">
        <v>0.02</v>
      </c>
      <c r="AB724" t="str">
        <v>康呈</v>
      </c>
      <c r="AC724" t="str">
        <v>上櫃其他</v>
      </c>
      <c r="AD724" t="str">
        <v>轉型以醫美、生物科技及預防醫學為核心的公司</v>
      </c>
      <c r="AE724" t="str">
        <f t="array" ref="AE724:AH724">[1]!'6236.TW-CName,InvestorConferenceDate,DateofMeetingofShareHolders,TradingDate'</f>
        <v>康呈</v>
      </c>
      <c r="AF724" t="str">
        <v>--</v>
      </c>
      <c r="AG724" t="str">
        <v>2022/06/24</v>
      </c>
      <c r="AH724" t="str">
        <v>2022/08/01</v>
      </c>
    </row>
    <row r="725" spans="1:34" x14ac:dyDescent="0.3">
      <c r="A725" t="str">
        <f t="array" ref="A725:J725">[1]!'6240.TW-ID,Name,MarketValue,Capital,NetIncomeGrowthRate,OperIncomeGrowthRate,FinancialStatementsTime,TFXRatio,MonthlyNetSalesYoY,RevenueMonth'</f>
        <v>6240</v>
      </c>
      <c r="B725" t="str">
        <v>松崗</v>
      </c>
      <c r="C725" t="str">
        <v>4.6</v>
      </c>
      <c r="D725" t="str">
        <v>2.29</v>
      </c>
      <c r="E725" t="str">
        <v>-142.52</v>
      </c>
      <c r="F725" t="str">
        <v>57.44</v>
      </c>
      <c r="G725" t="str">
        <v>2022/03</v>
      </c>
      <c r="H725" t="str">
        <v>1.04</v>
      </c>
      <c r="I725" t="str">
        <v>-2.65</v>
      </c>
      <c r="J725" t="str">
        <v>2022/06</v>
      </c>
      <c r="K725" t="str">
        <f t="array" ref="K725:T725">[1]!'6240.TW-OperatingProfitRatio,Price,PriceChangeRatio,InOutRatioNumber,Value,YearReturn,MonthReturn,WeekReturn,FinanceBalanceDif,ChipsField2'</f>
        <v>-15.10</v>
      </c>
      <c r="L725">
        <v>19.95</v>
      </c>
      <c r="M725">
        <v>1.01</v>
      </c>
      <c r="N725" t="str">
        <v>71.43%</v>
      </c>
      <c r="O725" t="str">
        <v>28.0萬</v>
      </c>
      <c r="P725" t="str">
        <v>+35.71</v>
      </c>
      <c r="Q725" t="str">
        <v>+4.18</v>
      </c>
      <c r="R725" t="str">
        <v>-0.25</v>
      </c>
      <c r="S725">
        <v>-1</v>
      </c>
      <c r="T725">
        <v>0</v>
      </c>
      <c r="U725">
        <f t="array" ref="U725:AD725">[1]!'6240.TW-ChipsField3,ChipsField1,ChipsField25,CashAndStockDividend,CashDividendYieldRate,ProfitFourSeason,ProfitSingle,CName,ExchangeIndustry,CompanyPos'</f>
        <v>0</v>
      </c>
      <c r="V725">
        <v>2</v>
      </c>
      <c r="W725" t="str">
        <v>--</v>
      </c>
      <c r="X725" t="str">
        <v>0.00</v>
      </c>
      <c r="Y725">
        <v>0</v>
      </c>
      <c r="Z725" t="str">
        <v>0.78</v>
      </c>
      <c r="AA725" t="str">
        <v>-0.10</v>
      </c>
      <c r="AB725" t="str">
        <v>松崗</v>
      </c>
      <c r="AC725" t="str">
        <v>上櫃其他</v>
      </c>
      <c r="AD725" t="str">
        <v>主要從事不動產租賃</v>
      </c>
      <c r="AE725" t="str">
        <f t="array" ref="AE725:AH725">[1]!'6240.TW-CName,InvestorConferenceDate,DateofMeetingofShareHolders,TradingDate'</f>
        <v>松崗</v>
      </c>
      <c r="AF725" t="str">
        <v>--</v>
      </c>
      <c r="AG725" t="str">
        <v>2022/06/29</v>
      </c>
      <c r="AH725" t="str">
        <v>2022/08/01</v>
      </c>
    </row>
    <row r="726" spans="1:34" x14ac:dyDescent="0.3">
      <c r="A726" t="str">
        <f t="array" ref="A726:J726">[1]!'6616.TW-ID,Name,MarketValue,Capital,NetIncomeGrowthRate,OperIncomeGrowthRate,FinancialStatementsTime,TFXRatio,MonthlyNetSalesYoY,RevenueMonth'</f>
        <v>6616</v>
      </c>
      <c r="B726" t="str">
        <v>特昇-KY</v>
      </c>
      <c r="C726" t="str">
        <v>4.7</v>
      </c>
      <c r="D726" t="str">
        <v>2.86</v>
      </c>
      <c r="E726" t="str">
        <v>2204.29</v>
      </c>
      <c r="F726" t="str">
        <v>160.37</v>
      </c>
      <c r="G726" t="str">
        <v>2022/03</v>
      </c>
      <c r="H726" t="str">
        <v>35.08</v>
      </c>
      <c r="I726" t="str">
        <v>180.23</v>
      </c>
      <c r="J726" t="str">
        <v>2022/06</v>
      </c>
      <c r="K726" t="str">
        <f t="array" ref="K726:T726">[1]!'6616.TW-OperatingProfitRatio,Price,PriceChangeRatio,InOutRatioNumber,Value,YearReturn,MonthReturn,WeekReturn,FinanceBalanceDif,ChipsField2'</f>
        <v>8.23</v>
      </c>
      <c r="L726">
        <v>16.3</v>
      </c>
      <c r="M726">
        <v>1.24</v>
      </c>
      <c r="N726" t="str">
        <v>59.39%</v>
      </c>
      <c r="O726" t="str">
        <v>318萬</v>
      </c>
      <c r="P726" t="str">
        <v>-25.58</v>
      </c>
      <c r="Q726" t="str">
        <v>+5.16</v>
      </c>
      <c r="R726" t="str">
        <v>+7.24</v>
      </c>
      <c r="S726">
        <v>0</v>
      </c>
      <c r="T726">
        <v>0</v>
      </c>
      <c r="U726">
        <f t="array" ref="U726:AD726">[1]!'6616.TW-ChipsField3,ChipsField1,ChipsField25,CashAndStockDividend,CashDividendYieldRate,ProfitFourSeason,ProfitSingle,CName,ExchangeIndustry,CompanyPos'</f>
        <v>0</v>
      </c>
      <c r="V726">
        <v>1</v>
      </c>
      <c r="W726" t="str">
        <v>--</v>
      </c>
      <c r="X726" t="str">
        <v>0.00</v>
      </c>
      <c r="Y726">
        <v>0</v>
      </c>
      <c r="Z726" t="str">
        <v>-0.01</v>
      </c>
      <c r="AA726" t="str">
        <v>0.96</v>
      </c>
      <c r="AB726" t="str">
        <v>特昇-KY</v>
      </c>
      <c r="AC726" t="str">
        <v>上櫃其他</v>
      </c>
      <c r="AD726" t="str">
        <v>馬來西亞前五大木製寢室傢俱公司</v>
      </c>
      <c r="AE726" t="str">
        <f t="array" ref="AE726:AH726">[1]!'6616.TW-CName,InvestorConferenceDate,DateofMeetingofShareHolders,TradingDate'</f>
        <v>特昇-KY</v>
      </c>
      <c r="AF726" t="str">
        <v>2022/06/07</v>
      </c>
      <c r="AG726" t="str">
        <v>2022/06/29</v>
      </c>
      <c r="AH726" t="str">
        <v>2022/08/01</v>
      </c>
    </row>
    <row r="727" spans="1:34" x14ac:dyDescent="0.3">
      <c r="A727" t="str">
        <f t="array" ref="A727:J727">[1]!'6624.TW-ID,Name,MarketValue,Capital,NetIncomeGrowthRate,OperIncomeGrowthRate,FinancialStatementsTime,TFXRatio,MonthlyNetSalesYoY,RevenueMonth'</f>
        <v>6624</v>
      </c>
      <c r="B727" t="str">
        <v>萬年清</v>
      </c>
      <c r="C727" t="str">
        <v>7.5</v>
      </c>
      <c r="D727" t="str">
        <v>1.80</v>
      </c>
      <c r="E727" t="str">
        <v>-62.40</v>
      </c>
      <c r="F727" t="str">
        <v>-240.79</v>
      </c>
      <c r="G727" t="str">
        <v>2022/03</v>
      </c>
      <c r="H727" t="str">
        <v>19.30</v>
      </c>
      <c r="I727" t="str">
        <v>129.70</v>
      </c>
      <c r="J727" t="str">
        <v>2022/06</v>
      </c>
      <c r="K727" t="str">
        <f t="array" ref="K727:T727">[1]!'6624.TW-OperatingProfitRatio,Price,PriceChangeRatio,InOutRatioNumber,Value,YearReturn,MonthReturn,WeekReturn,FinanceBalanceDif,ChipsField2'</f>
        <v>-35.37</v>
      </c>
      <c r="L727">
        <v>41.5</v>
      </c>
      <c r="M727">
        <v>0</v>
      </c>
      <c r="N727" t="str">
        <v>40.00%</v>
      </c>
      <c r="O727" t="str">
        <v>20.6萬</v>
      </c>
      <c r="P727" t="str">
        <v>+33.01</v>
      </c>
      <c r="Q727" t="str">
        <v>+0.24</v>
      </c>
      <c r="R727" t="str">
        <v>-0.84</v>
      </c>
      <c r="S727">
        <v>0</v>
      </c>
      <c r="T727">
        <v>0</v>
      </c>
      <c r="U727">
        <f t="array" ref="U727:AD727">[1]!'6624.TW-ChipsField3,ChipsField1,ChipsField25,CashAndStockDividend,CashDividendYieldRate,ProfitFourSeason,ProfitSingle,CName,ExchangeIndustry,CompanyPos'</f>
        <v>0</v>
      </c>
      <c r="V727">
        <v>0</v>
      </c>
      <c r="W727" t="str">
        <v>--</v>
      </c>
      <c r="X727" t="str">
        <v>0.00</v>
      </c>
      <c r="Y727">
        <v>0</v>
      </c>
      <c r="Z727" t="str">
        <v>-0.09</v>
      </c>
      <c r="AA727" t="str">
        <v>-0.34</v>
      </c>
      <c r="AB727" t="str">
        <v>萬年清</v>
      </c>
      <c r="AC727" t="str">
        <v>上櫃其他</v>
      </c>
      <c r="AD727" t="str">
        <v>從事工業用水與廢水處理之統包工程</v>
      </c>
      <c r="AE727" t="str">
        <f t="array" ref="AE727:AH727">[1]!'6624.TW-CName,InvestorConferenceDate,DateofMeetingofShareHolders,TradingDate'</f>
        <v>萬年清</v>
      </c>
      <c r="AF727" t="str">
        <v>--</v>
      </c>
      <c r="AG727" t="str">
        <v>2022/06/10</v>
      </c>
      <c r="AH727" t="str">
        <v>2022/08/01</v>
      </c>
    </row>
    <row r="728" spans="1:34" x14ac:dyDescent="0.3">
      <c r="A728" t="str">
        <f t="array" ref="A728:J728">[1]!'6629.TW-ID,Name,MarketValue,Capital,NetIncomeGrowthRate,OperIncomeGrowthRate,FinancialStatementsTime,TFXRatio,MonthlyNetSalesYoY,RevenueMonth'</f>
        <v>6629</v>
      </c>
      <c r="B728" t="str">
        <v>泰金-KY</v>
      </c>
      <c r="C728" t="str">
        <v>17.9</v>
      </c>
      <c r="D728" t="str">
        <v>3.57</v>
      </c>
      <c r="E728" t="str">
        <v>-22.62</v>
      </c>
      <c r="F728" t="str">
        <v>-29.87</v>
      </c>
      <c r="G728" t="str">
        <v>2022/03</v>
      </c>
      <c r="H728" t="str">
        <v>8.15</v>
      </c>
      <c r="I728" t="str">
        <v>15.98</v>
      </c>
      <c r="J728" t="str">
        <v>2022/06</v>
      </c>
      <c r="K728" t="str">
        <f t="array" ref="K728:T728">[1]!'6629.TW-OperatingProfitRatio,Price,PriceChangeRatio,InOutRatioNumber,Value,YearReturn,MonthReturn,WeekReturn,FinanceBalanceDif,ChipsField2'</f>
        <v>16.32</v>
      </c>
      <c r="L728">
        <v>50</v>
      </c>
      <c r="M728">
        <v>0</v>
      </c>
      <c r="N728" t="str">
        <v>33.33%</v>
      </c>
      <c r="O728" t="str">
        <v>14.8萬</v>
      </c>
      <c r="P728" t="str">
        <v>-15.84</v>
      </c>
      <c r="Q728" t="str">
        <v>-7.82</v>
      </c>
      <c r="R728" t="str">
        <v>-4.21</v>
      </c>
      <c r="S728">
        <v>0</v>
      </c>
      <c r="T728">
        <v>0</v>
      </c>
      <c r="U728">
        <f t="array" ref="U728:AD728">[1]!'6629.TW-ChipsField3,ChipsField1,ChipsField25,CashAndStockDividend,CashDividendYieldRate,ProfitFourSeason,ProfitSingle,CName,ExchangeIndustry,CompanyPos'</f>
        <v>0</v>
      </c>
      <c r="V728">
        <v>1</v>
      </c>
      <c r="W728" t="str">
        <v>2022/07/14</v>
      </c>
      <c r="X728" t="str">
        <v>1.00</v>
      </c>
      <c r="Y728">
        <v>6.4</v>
      </c>
      <c r="Z728" t="str">
        <v>6.05</v>
      </c>
      <c r="AA728" t="str">
        <v>1.54</v>
      </c>
      <c r="AB728" t="str">
        <v>泰金-KY</v>
      </c>
      <c r="AC728" t="str">
        <v>上櫃其他</v>
      </c>
      <c r="AD728" t="str">
        <v>泰國家飾鑄件大廠</v>
      </c>
      <c r="AE728" t="str">
        <f t="array" ref="AE728:AH728">[1]!'6629.TW-CName,InvestorConferenceDate,DateofMeetingofShareHolders,TradingDate'</f>
        <v>泰金-KY</v>
      </c>
      <c r="AF728" t="str">
        <v>2021/12/16</v>
      </c>
      <c r="AG728" t="str">
        <v>2022/06/17</v>
      </c>
      <c r="AH728" t="str">
        <v>2022/08/01</v>
      </c>
    </row>
    <row r="729" spans="1:34" x14ac:dyDescent="0.3">
      <c r="A729" t="str">
        <f t="array" ref="A729:J729">[1]!'6721.TW-ID,Name,MarketValue,Capital,NetIncomeGrowthRate,OperIncomeGrowthRate,FinancialStatementsTime,TFXRatio,MonthlyNetSalesYoY,RevenueMonth'</f>
        <v>6721</v>
      </c>
      <c r="B729" t="str">
        <v>信實</v>
      </c>
      <c r="C729" t="str">
        <v>11.3</v>
      </c>
      <c r="D729" t="str">
        <v>2.25</v>
      </c>
      <c r="E729" t="str">
        <v>-38.53</v>
      </c>
      <c r="F729" t="str">
        <v>-41.42</v>
      </c>
      <c r="G729" t="str">
        <v>2022/03</v>
      </c>
      <c r="H729" t="str">
        <v>-1.24</v>
      </c>
      <c r="I729" t="str">
        <v>20.94</v>
      </c>
      <c r="J729" t="str">
        <v>2022/06</v>
      </c>
      <c r="K729" t="str">
        <f t="array" ref="K729:T729">[1]!'6721.TW-OperatingProfitRatio,Price,PriceChangeRatio,InOutRatioNumber,Value,YearReturn,MonthReturn,WeekReturn,FinanceBalanceDif,ChipsField2'</f>
        <v>2.26</v>
      </c>
      <c r="L729">
        <v>50</v>
      </c>
      <c r="M729">
        <v>-0.6</v>
      </c>
      <c r="N729" t="str">
        <v>26.09%</v>
      </c>
      <c r="O729" t="str">
        <v>115萬</v>
      </c>
      <c r="P729" t="str">
        <v>--</v>
      </c>
      <c r="Q729" t="str">
        <v>+3.54</v>
      </c>
      <c r="R729" t="str">
        <v>+2.74</v>
      </c>
      <c r="S729">
        <v>0</v>
      </c>
      <c r="T729">
        <v>0</v>
      </c>
      <c r="U729">
        <f t="array" ref="U729:AD729">[1]!'6721.TW-ChipsField3,ChipsField1,ChipsField25,CashAndStockDividend,CashDividendYieldRate,ProfitFourSeason,ProfitSingle,CName,ExchangeIndustry,CompanyPos'</f>
        <v>0</v>
      </c>
      <c r="V729">
        <v>0</v>
      </c>
      <c r="W729" t="str">
        <v>2022/07/27</v>
      </c>
      <c r="X729" t="str">
        <v>3.56</v>
      </c>
      <c r="Y729">
        <v>7.12</v>
      </c>
      <c r="Z729" t="str">
        <v>5.08</v>
      </c>
      <c r="AA729" t="str">
        <v>0.57</v>
      </c>
      <c r="AB729" t="str">
        <v>信實</v>
      </c>
      <c r="AC729" t="str">
        <v>上櫃其他</v>
      </c>
      <c r="AD729" t="str">
        <v>主要為國內交通運輸機構及公家機關提供清潔、機電及保全服務</v>
      </c>
      <c r="AE729" t="str">
        <f t="array" ref="AE729:AH729">[1]!'6721.TW-CName,InvestorConferenceDate,DateofMeetingofShareHolders,TradingDate'</f>
        <v>信實</v>
      </c>
      <c r="AF729" t="str">
        <v>--</v>
      </c>
      <c r="AG729" t="str">
        <v>2022/06/10</v>
      </c>
      <c r="AH729" t="str">
        <v>2022/08/01</v>
      </c>
    </row>
    <row r="730" spans="1:34" x14ac:dyDescent="0.3">
      <c r="A730" t="str">
        <f t="array" ref="A730:J730">[1]!'6803.TW-ID,Name,MarketValue,Capital,NetIncomeGrowthRate,OperIncomeGrowthRate,FinancialStatementsTime,TFXRatio,MonthlyNetSalesYoY,RevenueMonth'</f>
        <v>6803</v>
      </c>
      <c r="B730" t="str">
        <v>崑鼎</v>
      </c>
      <c r="C730" t="str">
        <v>170.5</v>
      </c>
      <c r="D730" t="str">
        <v>6.99</v>
      </c>
      <c r="E730" t="str">
        <v>13.99</v>
      </c>
      <c r="F730" t="str">
        <v>14.86</v>
      </c>
      <c r="G730" t="str">
        <v>2022/06</v>
      </c>
      <c r="H730" t="str">
        <v>5.51</v>
      </c>
      <c r="I730" t="str">
        <v>21.72</v>
      </c>
      <c r="J730" t="str">
        <v>2022/06</v>
      </c>
      <c r="K730" t="str">
        <f t="array" ref="K730:T730">[1]!'6803.TW-OperatingProfitRatio,Price,PriceChangeRatio,InOutRatioNumber,Value,YearReturn,MonthReturn,WeekReturn,FinanceBalanceDif,ChipsField2'</f>
        <v>21.84</v>
      </c>
      <c r="L730">
        <v>244</v>
      </c>
      <c r="M730">
        <v>0.21</v>
      </c>
      <c r="N730" t="str">
        <v>15.49%</v>
      </c>
      <c r="O730" t="str">
        <v>1777萬</v>
      </c>
      <c r="P730" t="str">
        <v>+13.45</v>
      </c>
      <c r="Q730" t="str">
        <v>+3.61</v>
      </c>
      <c r="R730" t="str">
        <v>-1.61</v>
      </c>
      <c r="S730">
        <v>0</v>
      </c>
      <c r="T730">
        <v>0</v>
      </c>
      <c r="U730">
        <f t="array" ref="U730:AD730">[1]!'6803.TW-ChipsField3,ChipsField1,ChipsField25,CashAndStockDividend,CashDividendYieldRate,ProfitFourSeason,ProfitSingle,CName,ExchangeIndustry,CompanyPos'</f>
        <v>-8</v>
      </c>
      <c r="V730">
        <v>3</v>
      </c>
      <c r="W730" t="str">
        <v>2022/07/01</v>
      </c>
      <c r="X730" t="str">
        <v>11.94</v>
      </c>
      <c r="Y730">
        <v>4.8899999999999997</v>
      </c>
      <c r="Z730" t="str">
        <v>13.76</v>
      </c>
      <c r="AA730" t="str">
        <v>3.78</v>
      </c>
      <c r="AB730" t="str">
        <v>崑鼎</v>
      </c>
      <c r="AC730" t="str">
        <v>上櫃其他</v>
      </c>
      <c r="AD730" t="str">
        <v>隸屬中鼎集團，為台灣最大的廢棄物處理、焚化爐營運公司</v>
      </c>
      <c r="AE730" t="str">
        <f t="array" ref="AE730:AH730">[1]!'6803.TW-CName,InvestorConferenceDate,DateofMeetingofShareHolders,TradingDate'</f>
        <v>崑鼎</v>
      </c>
      <c r="AF730" t="str">
        <v>2022/05/27</v>
      </c>
      <c r="AG730" t="str">
        <v>2022/05/26</v>
      </c>
      <c r="AH730" t="str">
        <v>2022/08/01</v>
      </c>
    </row>
    <row r="731" spans="1:34" x14ac:dyDescent="0.3">
      <c r="A731" t="str">
        <f t="array" ref="A731:J731">[1]!'6804.TW-ID,Name,MarketValue,Capital,NetIncomeGrowthRate,OperIncomeGrowthRate,FinancialStatementsTime,TFXRatio,MonthlyNetSalesYoY,RevenueMonth'</f>
        <v>6804</v>
      </c>
      <c r="B731" t="str">
        <v>明係</v>
      </c>
      <c r="C731" t="str">
        <v>15.2</v>
      </c>
      <c r="D731" t="str">
        <v>3.00</v>
      </c>
      <c r="E731" t="str">
        <v>711.10</v>
      </c>
      <c r="F731" t="str">
        <v>312.51</v>
      </c>
      <c r="G731" t="str">
        <v>2022/03</v>
      </c>
      <c r="H731" t="str">
        <v>-4.82</v>
      </c>
      <c r="I731" t="str">
        <v>72.75</v>
      </c>
      <c r="J731" t="str">
        <v>2022/06</v>
      </c>
      <c r="K731" t="str">
        <f t="array" ref="K731:T731">[1]!'6804.TW-OperatingProfitRatio,Price,PriceChangeRatio,InOutRatioNumber,Value,YearReturn,MonthReturn,WeekReturn,FinanceBalanceDif,ChipsField2'</f>
        <v>5.19</v>
      </c>
      <c r="L731">
        <v>50.8</v>
      </c>
      <c r="M731">
        <v>-0.78</v>
      </c>
      <c r="N731" t="str">
        <v>0.00%</v>
      </c>
      <c r="O731" t="str">
        <v>10.2萬</v>
      </c>
      <c r="P731" t="str">
        <v>--</v>
      </c>
      <c r="Q731" t="str">
        <v>-0.22</v>
      </c>
      <c r="R731" t="str">
        <v>0.00</v>
      </c>
      <c r="S731">
        <v>0</v>
      </c>
      <c r="T731">
        <v>0</v>
      </c>
      <c r="U731">
        <f t="array" ref="U731:AD731">[1]!'6804.TW-ChipsField3,ChipsField1,ChipsField25,CashAndStockDividend,CashDividendYieldRate,ProfitFourSeason,ProfitSingle,CName,ExchangeIndustry,CompanyPos'</f>
        <v>0</v>
      </c>
      <c r="V731">
        <v>-1</v>
      </c>
      <c r="W731" t="str">
        <v>2022/07/11</v>
      </c>
      <c r="X731" t="str">
        <v>0.59</v>
      </c>
      <c r="Y731">
        <v>1.1599999999999999</v>
      </c>
      <c r="Z731" t="str">
        <v>2.97</v>
      </c>
      <c r="AA731" t="str">
        <v>1.27</v>
      </c>
      <c r="AB731" t="str">
        <v>明係</v>
      </c>
      <c r="AC731" t="str">
        <v>上櫃其他</v>
      </c>
      <c r="AD731" t="str">
        <v>台灣自行車OEM/ODM公司</v>
      </c>
      <c r="AE731" t="str">
        <f t="array" ref="AE731:AH731">[1]!'6804.TW-CName,InvestorConferenceDate,DateofMeetingofShareHolders,TradingDate'</f>
        <v>明係</v>
      </c>
      <c r="AF731" t="str">
        <v>--</v>
      </c>
      <c r="AG731" t="str">
        <v>2022/06/23</v>
      </c>
      <c r="AH731" t="str">
        <v>2022/08/01</v>
      </c>
    </row>
    <row r="732" spans="1:34" x14ac:dyDescent="0.3">
      <c r="A732" t="str">
        <f t="array" ref="A732:J732">[1]!'8342.TW-ID,Name,MarketValue,Capital,NetIncomeGrowthRate,OperIncomeGrowthRate,FinancialStatementsTime,TFXRatio,MonthlyNetSalesYoY,RevenueMonth'</f>
        <v>8342</v>
      </c>
      <c r="B732" t="str">
        <v>益張</v>
      </c>
      <c r="C732" t="str">
        <v>17.1</v>
      </c>
      <c r="D732" t="str">
        <v>3.35</v>
      </c>
      <c r="E732" t="str">
        <v>93.91</v>
      </c>
      <c r="F732" t="str">
        <v>-4.64</v>
      </c>
      <c r="G732" t="str">
        <v>2022/03</v>
      </c>
      <c r="H732" t="str">
        <v>7.06</v>
      </c>
      <c r="I732" t="str">
        <v>16.23</v>
      </c>
      <c r="J732" t="str">
        <v>2022/06</v>
      </c>
      <c r="K732" t="str">
        <f t="array" ref="K732:T732">[1]!'8342.TW-OperatingProfitRatio,Price,PriceChangeRatio,InOutRatioNumber,Value,YearReturn,MonthReturn,WeekReturn,FinanceBalanceDif,ChipsField2'</f>
        <v>7.53</v>
      </c>
      <c r="L732">
        <v>51.1</v>
      </c>
      <c r="M732">
        <v>-0.97</v>
      </c>
      <c r="N732" t="str">
        <v>0.00%</v>
      </c>
      <c r="O732" t="str">
        <v>5.11萬</v>
      </c>
      <c r="P732" t="str">
        <v>+6.66</v>
      </c>
      <c r="Q732" t="str">
        <v>+3.44</v>
      </c>
      <c r="R732" t="str">
        <v>+0.39</v>
      </c>
      <c r="S732">
        <v>0</v>
      </c>
      <c r="T732">
        <v>0</v>
      </c>
      <c r="U732">
        <f t="array" ref="U732:AD732">[1]!'8342.TW-ChipsField3,ChipsField1,ChipsField25,CashAndStockDividend,CashDividendYieldRate,ProfitFourSeason,ProfitSingle,CName,ExchangeIndustry,CompanyPos'</f>
        <v>0</v>
      </c>
      <c r="V732">
        <v>0</v>
      </c>
      <c r="W732" t="str">
        <v>2022/06/27</v>
      </c>
      <c r="X732" t="str">
        <v>3.40</v>
      </c>
      <c r="Y732">
        <v>6.65</v>
      </c>
      <c r="Z732" t="str">
        <v>4.67</v>
      </c>
      <c r="AA732" t="str">
        <v>1.85</v>
      </c>
      <c r="AB732" t="str">
        <v>益張</v>
      </c>
      <c r="AC732" t="str">
        <v>上櫃其他</v>
      </c>
      <c r="AD732" t="str">
        <v>台灣最大商用金屬展示架製造商</v>
      </c>
      <c r="AE732" t="str">
        <f t="array" ref="AE732:AH732">[1]!'8342.TW-CName,InvestorConferenceDate,DateofMeetingofShareHolders,TradingDate'</f>
        <v>益張</v>
      </c>
      <c r="AF732" t="str">
        <v>2021/12/22</v>
      </c>
      <c r="AG732" t="str">
        <v>2022/06/09</v>
      </c>
      <c r="AH732" t="str">
        <v>2022/08/01</v>
      </c>
    </row>
    <row r="733" spans="1:34" x14ac:dyDescent="0.3">
      <c r="A733" t="str">
        <f t="array" ref="A733:J733">[1]!'8354.TW-ID,Name,MarketValue,Capital,NetIncomeGrowthRate,OperIncomeGrowthRate,FinancialStatementsTime,TFXRatio,MonthlyNetSalesYoY,RevenueMonth'</f>
        <v>8354</v>
      </c>
      <c r="B733" t="str">
        <v>冠好</v>
      </c>
      <c r="C733" t="str">
        <v>11.5</v>
      </c>
      <c r="D733" t="str">
        <v>7.85</v>
      </c>
      <c r="E733" t="str">
        <v>61.11</v>
      </c>
      <c r="F733" t="str">
        <v>-53.48</v>
      </c>
      <c r="G733" t="str">
        <v>2022/03</v>
      </c>
      <c r="H733" t="str">
        <v>-5.68</v>
      </c>
      <c r="I733" t="str">
        <v>-13.18</v>
      </c>
      <c r="J733" t="str">
        <v>2022/06</v>
      </c>
      <c r="K733" t="str">
        <f t="array" ref="K733:T733">[1]!'8354.TW-OperatingProfitRatio,Price,PriceChangeRatio,InOutRatioNumber,Value,YearReturn,MonthReturn,WeekReturn,FinanceBalanceDif,ChipsField2'</f>
        <v>2.49</v>
      </c>
      <c r="L733">
        <v>14.7</v>
      </c>
      <c r="M733">
        <v>-1.01</v>
      </c>
      <c r="N733" t="str">
        <v>1.96%</v>
      </c>
      <c r="O733" t="str">
        <v>88.5萬</v>
      </c>
      <c r="P733" t="str">
        <v>-1.62</v>
      </c>
      <c r="Q733" t="str">
        <v>+1.03</v>
      </c>
      <c r="R733" t="str">
        <v>0.00</v>
      </c>
      <c r="S733">
        <v>0</v>
      </c>
      <c r="T733">
        <v>0</v>
      </c>
      <c r="U733">
        <f t="array" ref="U733:AD733">[1]!'8354.TW-ChipsField3,ChipsField1,ChipsField25,CashAndStockDividend,CashDividendYieldRate,ProfitFourSeason,ProfitSingle,CName,ExchangeIndustry,CompanyPos'</f>
        <v>0</v>
      </c>
      <c r="V733">
        <v>0</v>
      </c>
      <c r="W733" t="str">
        <v>--</v>
      </c>
      <c r="X733" t="str">
        <v>0.80</v>
      </c>
      <c r="Y733">
        <v>5.44</v>
      </c>
      <c r="Z733" t="str">
        <v>3.22</v>
      </c>
      <c r="AA733" t="str">
        <v>0.43</v>
      </c>
      <c r="AB733" t="str">
        <v>冠好</v>
      </c>
      <c r="AC733" t="str">
        <v>上櫃其他</v>
      </c>
      <c r="AD733" t="str">
        <v>特殊商標專業製造廠，有粘標籤、自粘膠帶等</v>
      </c>
      <c r="AE733" t="str">
        <f t="array" ref="AE733:AH733">[1]!'8354.TW-CName,InvestorConferenceDate,DateofMeetingofShareHolders,TradingDate'</f>
        <v>冠好</v>
      </c>
      <c r="AF733" t="str">
        <v>--</v>
      </c>
      <c r="AG733" t="str">
        <v>2022/06/22</v>
      </c>
      <c r="AH733" t="str">
        <v>2022/08/01</v>
      </c>
    </row>
    <row r="734" spans="1:34" x14ac:dyDescent="0.3">
      <c r="A734" t="str">
        <f t="array" ref="A734:J734">[1]!'8390.TW-ID,Name,MarketValue,Capital,NetIncomeGrowthRate,OperIncomeGrowthRate,FinancialStatementsTime,TFXRatio,MonthlyNetSalesYoY,RevenueMonth'</f>
        <v>8390</v>
      </c>
      <c r="B734" t="str">
        <v>金益鼎</v>
      </c>
      <c r="C734" t="str">
        <v>34.4</v>
      </c>
      <c r="D734" t="str">
        <v>11.99</v>
      </c>
      <c r="E734" t="str">
        <v>-5.44</v>
      </c>
      <c r="F734" t="str">
        <v>-18.66</v>
      </c>
      <c r="G734" t="str">
        <v>2022/03</v>
      </c>
      <c r="H734" t="str">
        <v>12.79</v>
      </c>
      <c r="I734" t="str">
        <v>21.22</v>
      </c>
      <c r="J734" t="str">
        <v>2022/06</v>
      </c>
      <c r="K734" t="str">
        <f t="array" ref="K734:T734">[1]!'8390.TW-OperatingProfitRatio,Price,PriceChangeRatio,InOutRatioNumber,Value,YearReturn,MonthReturn,WeekReturn,FinanceBalanceDif,ChipsField2'</f>
        <v>18.56</v>
      </c>
      <c r="L734">
        <v>28.65</v>
      </c>
      <c r="M734">
        <v>0.7</v>
      </c>
      <c r="N734" t="str">
        <v>49.15%</v>
      </c>
      <c r="O734" t="str">
        <v>674萬</v>
      </c>
      <c r="P734" t="str">
        <v>-23.65</v>
      </c>
      <c r="Q734" t="str">
        <v>+8.95</v>
      </c>
      <c r="R734" t="str">
        <v>+2.02</v>
      </c>
      <c r="S734">
        <v>-13</v>
      </c>
      <c r="T734">
        <v>0</v>
      </c>
      <c r="U734">
        <f t="array" ref="U734:AD734">[1]!'8390.TW-ChipsField3,ChipsField1,ChipsField25,CashAndStockDividend,CashDividendYieldRate,ProfitFourSeason,ProfitSingle,CName,ExchangeIndustry,CompanyPos'</f>
        <v>-2</v>
      </c>
      <c r="V734">
        <v>62</v>
      </c>
      <c r="W734" t="str">
        <v>2022/07/28</v>
      </c>
      <c r="X734" t="str">
        <v>1.80</v>
      </c>
      <c r="Y734">
        <v>6.28</v>
      </c>
      <c r="Z734" t="str">
        <v>3.37</v>
      </c>
      <c r="AA734" t="str">
        <v>1.04</v>
      </c>
      <c r="AB734" t="str">
        <v>金益鼎</v>
      </c>
      <c r="AC734" t="str">
        <v>上櫃其他</v>
      </c>
      <c r="AD734" t="str">
        <v>台灣清運處理固體電子廢棄物業者</v>
      </c>
      <c r="AE734" t="str">
        <f t="array" ref="AE734:AH734">[1]!'8390.TW-CName,InvestorConferenceDate,DateofMeetingofShareHolders,TradingDate'</f>
        <v>金益鼎</v>
      </c>
      <c r="AF734" t="str">
        <v>--</v>
      </c>
      <c r="AG734" t="str">
        <v>2022/06/27</v>
      </c>
      <c r="AH734" t="str">
        <v>2022/08/01</v>
      </c>
    </row>
    <row r="735" spans="1:34" x14ac:dyDescent="0.3">
      <c r="A735" t="str">
        <f t="array" ref="A735:J735">[1]!'8401.TW-ID,Name,MarketValue,Capital,NetIncomeGrowthRate,OperIncomeGrowthRate,FinancialStatementsTime,TFXRatio,MonthlyNetSalesYoY,RevenueMonth'</f>
        <v>8401</v>
      </c>
      <c r="B735" t="str">
        <v>白紗科</v>
      </c>
      <c r="C735" t="str">
        <v>10.9</v>
      </c>
      <c r="D735" t="str">
        <v>6.00</v>
      </c>
      <c r="E735" t="str">
        <v>33.69</v>
      </c>
      <c r="F735" t="str">
        <v>27.19</v>
      </c>
      <c r="G735" t="str">
        <v>2022/03</v>
      </c>
      <c r="H735" t="str">
        <v>6.42</v>
      </c>
      <c r="I735" t="str">
        <v>20.55</v>
      </c>
      <c r="J735" t="str">
        <v>2022/06</v>
      </c>
      <c r="K735" t="str">
        <f t="array" ref="K735:T735">[1]!'8401.TW-OperatingProfitRatio,Price,PriceChangeRatio,InOutRatioNumber,Value,YearReturn,MonthReturn,WeekReturn,FinanceBalanceDif,ChipsField2'</f>
        <v>7.01</v>
      </c>
      <c r="L735">
        <v>18.100000000000001</v>
      </c>
      <c r="M735">
        <v>-2.16</v>
      </c>
      <c r="N735" t="str">
        <v>23.40%</v>
      </c>
      <c r="O735" t="str">
        <v>791萬</v>
      </c>
      <c r="P735" t="str">
        <v>+41.37</v>
      </c>
      <c r="Q735" t="str">
        <v>+9.04</v>
      </c>
      <c r="R735" t="str">
        <v>+9.70</v>
      </c>
      <c r="S735">
        <v>96</v>
      </c>
      <c r="T735">
        <v>0</v>
      </c>
      <c r="U735">
        <f t="array" ref="U735:AD735">[1]!'8401.TW-ChipsField3,ChipsField1,ChipsField25,CashAndStockDividend,CashDividendYieldRate,ProfitFourSeason,ProfitSingle,CName,ExchangeIndustry,CompanyPos'</f>
        <v>0</v>
      </c>
      <c r="V735">
        <v>-10</v>
      </c>
      <c r="W735" t="str">
        <v>2022/03/24</v>
      </c>
      <c r="X735" t="str">
        <v>1.73</v>
      </c>
      <c r="Y735">
        <v>9.56</v>
      </c>
      <c r="Z735" t="str">
        <v>2.05</v>
      </c>
      <c r="AA735" t="str">
        <v>0.33</v>
      </c>
      <c r="AB735" t="str">
        <v>白紗科</v>
      </c>
      <c r="AC735" t="str">
        <v>上櫃其他</v>
      </c>
      <c r="AD735" t="str">
        <v>台灣合版印刷龍頭</v>
      </c>
      <c r="AE735" t="str">
        <f t="array" ref="AE735:AH735">[1]!'8401.TW-CName,InvestorConferenceDate,DateofMeetingofShareHolders,TradingDate'</f>
        <v>白紗科</v>
      </c>
      <c r="AF735" t="str">
        <v>2022/02/24</v>
      </c>
      <c r="AG735" t="str">
        <v>2022/05/26</v>
      </c>
      <c r="AH735" t="str">
        <v>2022/08/01</v>
      </c>
    </row>
    <row r="736" spans="1:34" x14ac:dyDescent="0.3">
      <c r="A736" t="str">
        <f t="array" ref="A736:J736">[1]!'8418.TW-ID,Name,MarketValue,Capital,NetIncomeGrowthRate,OperIncomeGrowthRate,FinancialStatementsTime,TFXRatio,MonthlyNetSalesYoY,RevenueMonth'</f>
        <v>8418</v>
      </c>
      <c r="B736" t="str">
        <v>捷必勝-KY</v>
      </c>
      <c r="C736" t="str">
        <v>7.7</v>
      </c>
      <c r="D736" t="str">
        <v>7.84</v>
      </c>
      <c r="E736" t="str">
        <v>-381.81</v>
      </c>
      <c r="F736" t="str">
        <v>-221.86</v>
      </c>
      <c r="G736" t="str">
        <v>2022/03</v>
      </c>
      <c r="H736" t="str">
        <v>43.93</v>
      </c>
      <c r="I736" t="str">
        <v>-5.95</v>
      </c>
      <c r="J736" t="str">
        <v>2022/06</v>
      </c>
      <c r="K736" t="str">
        <f t="array" ref="K736:T736">[1]!'8418.TW-OperatingProfitRatio,Price,PriceChangeRatio,InOutRatioNumber,Value,YearReturn,MonthReturn,WeekReturn,FinanceBalanceDif,ChipsField2'</f>
        <v>-5.09</v>
      </c>
      <c r="L736">
        <v>9.8800000000000008</v>
      </c>
      <c r="M736">
        <v>-1.1000000000000001</v>
      </c>
      <c r="N736" t="str">
        <v>65.00%</v>
      </c>
      <c r="O736" t="str">
        <v>19.8萬</v>
      </c>
      <c r="P736" t="str">
        <v>-13.71</v>
      </c>
      <c r="Q736" t="str">
        <v>+0.41</v>
      </c>
      <c r="R736" t="str">
        <v>-0.40</v>
      </c>
      <c r="S736">
        <v>0</v>
      </c>
      <c r="T736">
        <v>0</v>
      </c>
      <c r="U736">
        <f t="array" ref="U736:AD736">[1]!'8418.TW-ChipsField3,ChipsField1,ChipsField25,CashAndStockDividend,CashDividendYieldRate,ProfitFourSeason,ProfitSingle,CName,ExchangeIndustry,CompanyPos'</f>
        <v>0</v>
      </c>
      <c r="V736">
        <v>0</v>
      </c>
      <c r="W736" t="str">
        <v>--</v>
      </c>
      <c r="X736" t="str">
        <v>0.00</v>
      </c>
      <c r="Y736">
        <v>0</v>
      </c>
      <c r="Z736" t="str">
        <v>-2.31</v>
      </c>
      <c r="AA736" t="str">
        <v>-0.38</v>
      </c>
      <c r="AB736" t="str">
        <v>捷必勝-KY</v>
      </c>
      <c r="AC736" t="str">
        <v>上櫃其他</v>
      </c>
      <c r="AD736" t="str">
        <v>新加坡工程設備租賃銷售業龍頭</v>
      </c>
      <c r="AE736" t="str">
        <f t="array" ref="AE736:AH736">[1]!'8418.TW-CName,InvestorConferenceDate,DateofMeetingofShareHolders,TradingDate'</f>
        <v>捷必勝-KY</v>
      </c>
      <c r="AF736" t="str">
        <v>2021/10/21</v>
      </c>
      <c r="AG736" t="str">
        <v>2022/06/30</v>
      </c>
      <c r="AH736" t="str">
        <v>2022/08/01</v>
      </c>
    </row>
    <row r="737" spans="1:34" x14ac:dyDescent="0.3">
      <c r="A737" t="str">
        <f t="array" ref="A737:J737">[1]!'8420.TW-ID,Name,MarketValue,Capital,NetIncomeGrowthRate,OperIncomeGrowthRate,FinancialStatementsTime,TFXRatio,MonthlyNetSalesYoY,RevenueMonth'</f>
        <v>8420</v>
      </c>
      <c r="B737" t="str">
        <v>明揚</v>
      </c>
      <c r="C737" t="str">
        <v>30.8</v>
      </c>
      <c r="D737" t="str">
        <v>5.10</v>
      </c>
      <c r="E737" t="str">
        <v>309.02</v>
      </c>
      <c r="F737" t="str">
        <v>189.79</v>
      </c>
      <c r="G737" t="str">
        <v>2022/03</v>
      </c>
      <c r="H737" t="str">
        <v>1.72</v>
      </c>
      <c r="I737" t="str">
        <v>45.09</v>
      </c>
      <c r="J737" t="str">
        <v>2022/06</v>
      </c>
      <c r="K737" t="str">
        <f t="array" ref="K737:T737">[1]!'8420.TW-OperatingProfitRatio,Price,PriceChangeRatio,InOutRatioNumber,Value,YearReturn,MonthReturn,WeekReturn,FinanceBalanceDif,ChipsField2'</f>
        <v>13.26</v>
      </c>
      <c r="L737">
        <v>60.4</v>
      </c>
      <c r="M737">
        <v>3.6</v>
      </c>
      <c r="N737" t="str">
        <v>67.17%</v>
      </c>
      <c r="O737" t="str">
        <v>2376萬</v>
      </c>
      <c r="P737" t="str">
        <v>+98.98</v>
      </c>
      <c r="Q737" t="str">
        <v>+25.83</v>
      </c>
      <c r="R737" t="str">
        <v>+5.04</v>
      </c>
      <c r="S737">
        <v>-8</v>
      </c>
      <c r="T737">
        <v>0</v>
      </c>
      <c r="U737">
        <f t="array" ref="U737:AD737">[1]!'8420.TW-ChipsField3,ChipsField1,ChipsField25,CashAndStockDividend,CashDividendYieldRate,ProfitFourSeason,ProfitSingle,CName,ExchangeIndustry,CompanyPos'</f>
        <v>0</v>
      </c>
      <c r="V737">
        <v>18</v>
      </c>
      <c r="W737" t="str">
        <v>2022/06/24</v>
      </c>
      <c r="X737" t="str">
        <v>2.50</v>
      </c>
      <c r="Y737">
        <v>4.1399999999999997</v>
      </c>
      <c r="Z737" t="str">
        <v>5.97</v>
      </c>
      <c r="AA737" t="str">
        <v>1.75</v>
      </c>
      <c r="AB737" t="str">
        <v>明揚</v>
      </c>
      <c r="AC737" t="str">
        <v>上櫃其他</v>
      </c>
      <c r="AD737" t="str">
        <v>明安旗下以生產專業高爾夫球之公司</v>
      </c>
      <c r="AE737" t="str">
        <f t="array" ref="AE737:AH737">[1]!'8420.TW-CName,InvestorConferenceDate,DateofMeetingofShareHolders,TradingDate'</f>
        <v>明揚</v>
      </c>
      <c r="AF737" t="str">
        <v>2022/03/31</v>
      </c>
      <c r="AG737" t="str">
        <v>2022/05/31</v>
      </c>
      <c r="AH737" t="str">
        <v>2022/08/01</v>
      </c>
    </row>
    <row r="738" spans="1:34" x14ac:dyDescent="0.3">
      <c r="A738" t="str">
        <f t="array" ref="A738:J738">[1]!'8421.TW-ID,Name,MarketValue,Capital,NetIncomeGrowthRate,OperIncomeGrowthRate,FinancialStatementsTime,TFXRatio,MonthlyNetSalesYoY,RevenueMonth'</f>
        <v>8421</v>
      </c>
      <c r="B738" t="str">
        <v>旭源</v>
      </c>
      <c r="C738" t="str">
        <v>9.4</v>
      </c>
      <c r="D738" t="str">
        <v>5.48</v>
      </c>
      <c r="E738" t="str">
        <v>1948.26</v>
      </c>
      <c r="F738" t="str">
        <v>-216.11</v>
      </c>
      <c r="G738" t="str">
        <v>2022/03</v>
      </c>
      <c r="H738" t="str">
        <v>0.00</v>
      </c>
      <c r="I738" t="str">
        <v>1.52</v>
      </c>
      <c r="J738" t="str">
        <v>2022/06</v>
      </c>
      <c r="K738" t="str">
        <f t="array" ref="K738:T738">[1]!'8421.TW-OperatingProfitRatio,Price,PriceChangeRatio,InOutRatioNumber,Value,YearReturn,MonthReturn,WeekReturn,FinanceBalanceDif,ChipsField2'</f>
        <v>-9.83</v>
      </c>
      <c r="L738">
        <v>17.2</v>
      </c>
      <c r="M738">
        <v>-1.71</v>
      </c>
      <c r="N738" t="str">
        <v>37.53%</v>
      </c>
      <c r="O738" t="str">
        <v>1.00億</v>
      </c>
      <c r="P738" t="str">
        <v>+69.46</v>
      </c>
      <c r="Q738" t="str">
        <v>+0.29</v>
      </c>
      <c r="R738" t="str">
        <v>+4.88</v>
      </c>
      <c r="S738">
        <v>341</v>
      </c>
      <c r="T738">
        <v>0</v>
      </c>
      <c r="U738">
        <f t="array" ref="U738:AD738">[1]!'8421.TW-ChipsField3,ChipsField1,ChipsField25,CashAndStockDividend,CashDividendYieldRate,ProfitFourSeason,ProfitSingle,CName,ExchangeIndustry,CompanyPos'</f>
        <v>0</v>
      </c>
      <c r="V738">
        <v>391</v>
      </c>
      <c r="W738" t="str">
        <v>--</v>
      </c>
      <c r="X738" t="str">
        <v>0.00</v>
      </c>
      <c r="Y738">
        <v>0</v>
      </c>
      <c r="Z738" t="str">
        <v>7.60</v>
      </c>
      <c r="AA738" t="str">
        <v>9.26</v>
      </c>
      <c r="AB738" t="str">
        <v>旭源</v>
      </c>
      <c r="AC738" t="str">
        <v>上櫃其他</v>
      </c>
      <c r="AD738" t="str">
        <v>飲料標籤及生產設備製造商</v>
      </c>
      <c r="AE738" t="str">
        <f t="array" ref="AE738:AH738">[1]!'8421.TW-CName,InvestorConferenceDate,DateofMeetingofShareHolders,TradingDate'</f>
        <v>旭源</v>
      </c>
      <c r="AF738" t="str">
        <v>--</v>
      </c>
      <c r="AG738" t="str">
        <v>2022/06/08</v>
      </c>
      <c r="AH738" t="str">
        <v>2022/08/01</v>
      </c>
    </row>
    <row r="739" spans="1:34" x14ac:dyDescent="0.3">
      <c r="A739" t="str">
        <f t="array" ref="A739:J739">[1]!'8423.TW-ID,Name,MarketValue,Capital,NetIncomeGrowthRate,OperIncomeGrowthRate,FinancialStatementsTime,TFXRatio,MonthlyNetSalesYoY,RevenueMonth'</f>
        <v>8423</v>
      </c>
      <c r="B739" t="str">
        <v>保綠-KY</v>
      </c>
      <c r="C739" t="str">
        <v>4.3</v>
      </c>
      <c r="D739" t="str">
        <v>2.41</v>
      </c>
      <c r="E739" t="str">
        <v>-29.09</v>
      </c>
      <c r="F739" t="str">
        <v>-24.19</v>
      </c>
      <c r="G739" t="str">
        <v>2022/03</v>
      </c>
      <c r="H739" t="str">
        <v>11.92</v>
      </c>
      <c r="I739" t="str">
        <v>112.72</v>
      </c>
      <c r="J739" t="str">
        <v>2022/06</v>
      </c>
      <c r="K739" t="str">
        <f t="array" ref="K739:T739">[1]!'8423.TW-OperatingProfitRatio,Price,PriceChangeRatio,InOutRatioNumber,Value,YearReturn,MonthReturn,WeekReturn,FinanceBalanceDif,ChipsField2'</f>
        <v>9.57</v>
      </c>
      <c r="L739" t="str">
        <v>--</v>
      </c>
      <c r="M739" t="str">
        <v>--</v>
      </c>
      <c r="N739" t="str">
        <v>--</v>
      </c>
      <c r="O739" t="str">
        <v>--</v>
      </c>
      <c r="P739" t="str">
        <v>+9.11</v>
      </c>
      <c r="Q739" t="str">
        <v>+1.70</v>
      </c>
      <c r="R739" t="str">
        <v>0.00</v>
      </c>
      <c r="S739">
        <v>0</v>
      </c>
      <c r="T739">
        <v>0</v>
      </c>
      <c r="U739">
        <f t="array" ref="U739:AD739">[1]!'8423.TW-ChipsField3,ChipsField1,ChipsField25,CashAndStockDividend,CashDividendYieldRate,ProfitFourSeason,ProfitSingle,CName,ExchangeIndustry,CompanyPos'</f>
        <v>0</v>
      </c>
      <c r="V739">
        <v>0</v>
      </c>
      <c r="W739" t="str">
        <v>--</v>
      </c>
      <c r="X739" t="str">
        <v>0.60</v>
      </c>
      <c r="Y739">
        <v>3.35</v>
      </c>
      <c r="Z739" t="str">
        <v>0.65</v>
      </c>
      <c r="AA739" t="str">
        <v>0.26</v>
      </c>
      <c r="AB739" t="str">
        <v>保綠-KY</v>
      </c>
      <c r="AC739" t="str">
        <v>上櫃其他</v>
      </c>
      <c r="AD739" t="str">
        <v>馬來西亞最大的再生膠、膠粉及膠粒製造商</v>
      </c>
      <c r="AE739" t="str">
        <f t="array" ref="AE739:AH739">[1]!'8423.TW-CName,InvestorConferenceDate,DateofMeetingofShareHolders,TradingDate'</f>
        <v>保綠-KY</v>
      </c>
      <c r="AF739" t="str">
        <v>2021/12/02</v>
      </c>
      <c r="AG739" t="str">
        <v>2022/06/29</v>
      </c>
      <c r="AH739" t="str">
        <v>2022/08/01</v>
      </c>
    </row>
    <row r="740" spans="1:34" x14ac:dyDescent="0.3">
      <c r="A740" t="str">
        <f t="array" ref="A740:J740">[1]!'8426.TW-ID,Name,MarketValue,Capital,NetIncomeGrowthRate,OperIncomeGrowthRate,FinancialStatementsTime,TFXRatio,MonthlyNetSalesYoY,RevenueMonth'</f>
        <v>8426</v>
      </c>
      <c r="B740" t="str">
        <v>紅木-KY</v>
      </c>
      <c r="C740" t="str">
        <v>6.8</v>
      </c>
      <c r="D740" t="str">
        <v>5.02</v>
      </c>
      <c r="E740" t="str">
        <v>-44.11</v>
      </c>
      <c r="F740" t="str">
        <v>-15.27</v>
      </c>
      <c r="G740" t="str">
        <v>2022/03</v>
      </c>
      <c r="H740" t="str">
        <v>42.68</v>
      </c>
      <c r="I740" t="str">
        <v>30.67</v>
      </c>
      <c r="J740" t="str">
        <v>2022/06</v>
      </c>
      <c r="K740" t="str">
        <f t="array" ref="K740:T740">[1]!'8426.TW-OperatingProfitRatio,Price,PriceChangeRatio,InOutRatioNumber,Value,YearReturn,MonthReturn,WeekReturn,FinanceBalanceDif,ChipsField2'</f>
        <v>-11.34</v>
      </c>
      <c r="L740">
        <v>13.6</v>
      </c>
      <c r="M740">
        <v>1.49</v>
      </c>
      <c r="N740" t="str">
        <v>100.00%</v>
      </c>
      <c r="O740" t="str">
        <v>1.36萬</v>
      </c>
      <c r="P740" t="str">
        <v>-20.70</v>
      </c>
      <c r="Q740" t="str">
        <v>-3.55</v>
      </c>
      <c r="R740" t="str">
        <v>+0.37</v>
      </c>
      <c r="S740">
        <v>0</v>
      </c>
      <c r="T740">
        <v>0</v>
      </c>
      <c r="U740">
        <f t="array" ref="U740:AD740">[1]!'8426.TW-ChipsField3,ChipsField1,ChipsField25,CashAndStockDividend,CashDividendYieldRate,ProfitFourSeason,ProfitSingle,CName,ExchangeIndustry,CompanyPos'</f>
        <v>0</v>
      </c>
      <c r="V740">
        <v>0</v>
      </c>
      <c r="W740" t="str">
        <v>--</v>
      </c>
      <c r="X740" t="str">
        <v>0.00</v>
      </c>
      <c r="Y740">
        <v>0</v>
      </c>
      <c r="Z740" t="str">
        <v>-0.05</v>
      </c>
      <c r="AA740" t="str">
        <v>-0.55</v>
      </c>
      <c r="AB740" t="str">
        <v>紅木-KY</v>
      </c>
      <c r="AC740" t="str">
        <v>上櫃其他</v>
      </c>
      <c r="AD740" t="str">
        <v>國際精品的裝潢承包商</v>
      </c>
      <c r="AE740" t="str">
        <f t="array" ref="AE740:AH740">[1]!'8426.TW-CName,InvestorConferenceDate,DateofMeetingofShareHolders,TradingDate'</f>
        <v>紅木-KY</v>
      </c>
      <c r="AF740" t="str">
        <v>2021/12/01</v>
      </c>
      <c r="AG740" t="str">
        <v>2022/06/27</v>
      </c>
      <c r="AH740" t="str">
        <v>2022/08/01</v>
      </c>
    </row>
    <row r="741" spans="1:34" x14ac:dyDescent="0.3">
      <c r="A741" t="str">
        <f t="array" ref="A741:J741">[1]!'8435.TW-ID,Name,MarketValue,Capital,NetIncomeGrowthRate,OperIncomeGrowthRate,FinancialStatementsTime,TFXRatio,MonthlyNetSalesYoY,RevenueMonth'</f>
        <v>8435</v>
      </c>
      <c r="B741" t="str">
        <v>鉅邁</v>
      </c>
      <c r="C741" t="str">
        <v>19.2</v>
      </c>
      <c r="D741" t="str">
        <v>3.17</v>
      </c>
      <c r="E741" t="str">
        <v>10.68</v>
      </c>
      <c r="F741" t="str">
        <v>-14.61</v>
      </c>
      <c r="G741" t="str">
        <v>2022/03</v>
      </c>
      <c r="H741" t="str">
        <v>-9.95</v>
      </c>
      <c r="I741" t="str">
        <v>1.99</v>
      </c>
      <c r="J741" t="str">
        <v>2022/06</v>
      </c>
      <c r="K741" t="str">
        <f t="array" ref="K741:T741">[1]!'8435.TW-OperatingProfitRatio,Price,PriceChangeRatio,InOutRatioNumber,Value,YearReturn,MonthReturn,WeekReturn,FinanceBalanceDif,ChipsField2'</f>
        <v>15.74</v>
      </c>
      <c r="L741">
        <v>60.7</v>
      </c>
      <c r="M741">
        <v>0.33</v>
      </c>
      <c r="N741" t="str">
        <v>3.57%</v>
      </c>
      <c r="O741" t="str">
        <v>169萬</v>
      </c>
      <c r="P741" t="str">
        <v>+15.54</v>
      </c>
      <c r="Q741" t="str">
        <v>+1.51</v>
      </c>
      <c r="R741" t="str">
        <v>+1.00</v>
      </c>
      <c r="S741">
        <v>0</v>
      </c>
      <c r="T741">
        <v>0</v>
      </c>
      <c r="U741">
        <f t="array" ref="U741:AD741">[1]!'8435.TW-ChipsField3,ChipsField1,ChipsField25,CashAndStockDividend,CashDividendYieldRate,ProfitFourSeason,ProfitSingle,CName,ExchangeIndustry,CompanyPos'</f>
        <v>0</v>
      </c>
      <c r="V741">
        <v>0</v>
      </c>
      <c r="W741" t="str">
        <v>2022/04/06</v>
      </c>
      <c r="X741" t="str">
        <v>3.80</v>
      </c>
      <c r="Y741">
        <v>6.26</v>
      </c>
      <c r="Z741" t="str">
        <v>4.13</v>
      </c>
      <c r="AA741" t="str">
        <v>0.96</v>
      </c>
      <c r="AB741" t="str">
        <v>鉅邁</v>
      </c>
      <c r="AC741" t="str">
        <v>上櫃其他</v>
      </c>
      <c r="AD741" t="str">
        <v>台灣前三大工業水處理藥劑公司</v>
      </c>
      <c r="AE741" t="str">
        <f t="array" ref="AE741:AH741">[1]!'8435.TW-CName,InvestorConferenceDate,DateofMeetingofShareHolders,TradingDate'</f>
        <v>鉅邁</v>
      </c>
      <c r="AF741" t="str">
        <v>--</v>
      </c>
      <c r="AG741" t="str">
        <v>2022/06/06</v>
      </c>
      <c r="AH741" t="str">
        <v>2022/08/01</v>
      </c>
    </row>
    <row r="742" spans="1:34" x14ac:dyDescent="0.3">
      <c r="A742" t="str">
        <f t="array" ref="A742:J742">[1]!'8437.TW-ID,Name,MarketValue,Capital,NetIncomeGrowthRate,OperIncomeGrowthRate,FinancialStatementsTime,TFXRatio,MonthlyNetSalesYoY,RevenueMonth'</f>
        <v>8437</v>
      </c>
      <c r="B742" t="str">
        <v>大地-KY</v>
      </c>
      <c r="C742" t="str">
        <v>55.5</v>
      </c>
      <c r="D742" t="str">
        <v>4.79</v>
      </c>
      <c r="E742" t="str">
        <v>102.42</v>
      </c>
      <c r="F742" t="str">
        <v>135.52</v>
      </c>
      <c r="G742" t="str">
        <v>2022/03</v>
      </c>
      <c r="H742" t="str">
        <v>81.34</v>
      </c>
      <c r="I742" t="str">
        <v>12.22</v>
      </c>
      <c r="J742" t="str">
        <v>2022/06</v>
      </c>
      <c r="K742" t="str">
        <f t="array" ref="K742:T742">[1]!'8437.TW-OperatingProfitRatio,Price,PriceChangeRatio,InOutRatioNumber,Value,YearReturn,MonthReturn,WeekReturn,FinanceBalanceDif,ChipsField2'</f>
        <v>72.79</v>
      </c>
      <c r="L742">
        <v>116</v>
      </c>
      <c r="M742">
        <v>-0.85</v>
      </c>
      <c r="N742" t="str">
        <v>50.00%</v>
      </c>
      <c r="O742" t="str">
        <v>69.2萬</v>
      </c>
      <c r="P742" t="str">
        <v>-36.78</v>
      </c>
      <c r="Q742" t="str">
        <v>+1.75</v>
      </c>
      <c r="R742" t="str">
        <v>-0.43</v>
      </c>
      <c r="S742">
        <v>0</v>
      </c>
      <c r="T742">
        <v>0</v>
      </c>
      <c r="U742">
        <f t="array" ref="U742:AD742">[1]!'8437.TW-ChipsField3,ChipsField1,ChipsField25,CashAndStockDividend,CashDividendYieldRate,ProfitFourSeason,ProfitSingle,CName,ExchangeIndustry,CompanyPos'</f>
        <v>0</v>
      </c>
      <c r="V742">
        <v>-7</v>
      </c>
      <c r="W742" t="str">
        <v>2022/08/04</v>
      </c>
      <c r="X742" t="str">
        <v>4.00</v>
      </c>
      <c r="Y742">
        <v>3.45</v>
      </c>
      <c r="Z742" t="str">
        <v>6.26</v>
      </c>
      <c r="AA742" t="str">
        <v>1.79</v>
      </c>
      <c r="AB742" t="str">
        <v>大地-KY</v>
      </c>
      <c r="AC742" t="str">
        <v>上櫃其他</v>
      </c>
      <c r="AD742" t="str">
        <v>大陸第二大台灣幼教品牌，提供幼教諮詢服務</v>
      </c>
      <c r="AE742" t="str">
        <f t="array" ref="AE742:AH742">[1]!'8437.TW-CName,InvestorConferenceDate,DateofMeetingofShareHolders,TradingDate'</f>
        <v>大地-KY</v>
      </c>
      <c r="AF742" t="str">
        <v>2021/11/04</v>
      </c>
      <c r="AG742" t="str">
        <v>2022/06/17</v>
      </c>
      <c r="AH742" t="str">
        <v>2022/08/01</v>
      </c>
    </row>
    <row r="743" spans="1:34" x14ac:dyDescent="0.3">
      <c r="A743" t="str">
        <f t="array" ref="A743:J743">[1]!'8440.TW-ID,Name,MarketValue,Capital,NetIncomeGrowthRate,OperIncomeGrowthRate,FinancialStatementsTime,TFXRatio,MonthlyNetSalesYoY,RevenueMonth'</f>
        <v>8440</v>
      </c>
      <c r="B743" t="str">
        <v>綠電</v>
      </c>
      <c r="C743" t="str">
        <v>20.9</v>
      </c>
      <c r="D743" t="str">
        <v>3.80</v>
      </c>
      <c r="E743" t="str">
        <v>32.92</v>
      </c>
      <c r="F743" t="str">
        <v>38.62</v>
      </c>
      <c r="G743" t="str">
        <v>2022/03</v>
      </c>
      <c r="H743" t="str">
        <v>-23.53</v>
      </c>
      <c r="I743" t="str">
        <v>-20.06</v>
      </c>
      <c r="J743" t="str">
        <v>2022/06</v>
      </c>
      <c r="K743" t="str">
        <f t="array" ref="K743:T743">[1]!'8440.TW-OperatingProfitRatio,Price,PriceChangeRatio,InOutRatioNumber,Value,YearReturn,MonthReturn,WeekReturn,FinanceBalanceDif,ChipsField2'</f>
        <v>8.02</v>
      </c>
      <c r="L743">
        <v>54.9</v>
      </c>
      <c r="M743">
        <v>-0.36</v>
      </c>
      <c r="N743" t="str">
        <v>39.68%</v>
      </c>
      <c r="O743" t="str">
        <v>3506萬</v>
      </c>
      <c r="P743" t="str">
        <v>+188.34</v>
      </c>
      <c r="Q743" t="str">
        <v>-9.26</v>
      </c>
      <c r="R743" t="str">
        <v>-4.69</v>
      </c>
      <c r="S743">
        <v>23</v>
      </c>
      <c r="T743">
        <v>0</v>
      </c>
      <c r="U743">
        <f t="array" ref="U743:AD743">[1]!'8440.TW-ChipsField3,ChipsField1,ChipsField25,CashAndStockDividend,CashDividendYieldRate,ProfitFourSeason,ProfitSingle,CName,ExchangeIndustry,CompanyPos'</f>
        <v>0</v>
      </c>
      <c r="V743">
        <v>259</v>
      </c>
      <c r="W743" t="str">
        <v>2022/05/25</v>
      </c>
      <c r="X743" t="str">
        <v>0.60</v>
      </c>
      <c r="Y743">
        <v>1.0900000000000001</v>
      </c>
      <c r="Z743" t="str">
        <v>1.45</v>
      </c>
      <c r="AA743" t="str">
        <v>0.31</v>
      </c>
      <c r="AB743" t="str">
        <v>綠電</v>
      </c>
      <c r="AC743" t="str">
        <v>上櫃其他</v>
      </c>
      <c r="AD743" t="str">
        <v>台灣最大的廢家電及廢資訊物品回收業者</v>
      </c>
      <c r="AE743" t="str">
        <f t="array" ref="AE743:AH743">[1]!'8440.TW-CName,InvestorConferenceDate,DateofMeetingofShareHolders,TradingDate'</f>
        <v>綠電</v>
      </c>
      <c r="AF743" t="str">
        <v>2021/11/23</v>
      </c>
      <c r="AG743" t="str">
        <v>2022/04/25</v>
      </c>
      <c r="AH743" t="str">
        <v>2022/08/01</v>
      </c>
    </row>
    <row r="744" spans="1:34" x14ac:dyDescent="0.3">
      <c r="A744" t="str">
        <f t="array" ref="A744:J744">[1]!'8444.TW-ID,Name,MarketValue,Capital,NetIncomeGrowthRate,OperIncomeGrowthRate,FinancialStatementsTime,TFXRatio,MonthlyNetSalesYoY,RevenueMonth'</f>
        <v>8444</v>
      </c>
      <c r="B744" t="str">
        <v>綠河-KY</v>
      </c>
      <c r="C744" t="str">
        <v>45.3</v>
      </c>
      <c r="D744" t="str">
        <v>8.98</v>
      </c>
      <c r="E744" t="str">
        <v>-101.48</v>
      </c>
      <c r="F744" t="str">
        <v>90.97</v>
      </c>
      <c r="G744" t="str">
        <v>2022/03</v>
      </c>
      <c r="H744" t="str">
        <v>-38.51</v>
      </c>
      <c r="I744" t="str">
        <v>-59.42</v>
      </c>
      <c r="J744" t="str">
        <v>2022/06</v>
      </c>
      <c r="K744" t="str">
        <f t="array" ref="K744:T744">[1]!'8444.TW-OperatingProfitRatio,Price,PriceChangeRatio,InOutRatioNumber,Value,YearReturn,MonthReturn,WeekReturn,FinanceBalanceDif,ChipsField2'</f>
        <v>-0.34</v>
      </c>
      <c r="L744">
        <v>50.5</v>
      </c>
      <c r="M744">
        <v>-0.79</v>
      </c>
      <c r="N744" t="str">
        <v>2.94%</v>
      </c>
      <c r="O744" t="str">
        <v>172萬</v>
      </c>
      <c r="P744" t="str">
        <v>-35.09</v>
      </c>
      <c r="Q744" t="str">
        <v>+5.65</v>
      </c>
      <c r="R744" t="str">
        <v>0.00</v>
      </c>
      <c r="S744">
        <v>0</v>
      </c>
      <c r="T744">
        <v>0</v>
      </c>
      <c r="U744">
        <f t="array" ref="U744:AD744">[1]!'8444.TW-ChipsField3,ChipsField1,ChipsField25,CashAndStockDividend,CashDividendYieldRate,ProfitFourSeason,ProfitSingle,CName,ExchangeIndustry,CompanyPos'</f>
        <v>0</v>
      </c>
      <c r="V744">
        <v>-1</v>
      </c>
      <c r="W744" t="str">
        <v>--</v>
      </c>
      <c r="X744" t="str">
        <v>0.00</v>
      </c>
      <c r="Y744">
        <v>0</v>
      </c>
      <c r="Z744" t="str">
        <v>4.15</v>
      </c>
      <c r="AA744" t="str">
        <v>-0.89</v>
      </c>
      <c r="AB744" t="str">
        <v>綠河-KY</v>
      </c>
      <c r="AC744" t="str">
        <v>上櫃其他</v>
      </c>
      <c r="AD744" t="str">
        <v>泰國塑合板與橡膠實板產銷商</v>
      </c>
      <c r="AE744" t="str">
        <f t="array" ref="AE744:AH744">[1]!'8444.TW-CName,InvestorConferenceDate,DateofMeetingofShareHolders,TradingDate'</f>
        <v>綠河-KY</v>
      </c>
      <c r="AF744" t="str">
        <v>2022/04/12</v>
      </c>
      <c r="AG744" t="str">
        <v>2022/06/23</v>
      </c>
      <c r="AH744" t="str">
        <v>2022/08/01</v>
      </c>
    </row>
    <row r="745" spans="1:34" x14ac:dyDescent="0.3">
      <c r="A745" t="str">
        <f t="array" ref="A745:J745">[1]!'8476.TW-ID,Name,MarketValue,Capital,NetIncomeGrowthRate,OperIncomeGrowthRate,FinancialStatementsTime,TFXRatio,MonthlyNetSalesYoY,RevenueMonth'</f>
        <v>8476</v>
      </c>
      <c r="B745" t="str">
        <v>台境</v>
      </c>
      <c r="C745" t="str">
        <v>39.2</v>
      </c>
      <c r="D745" t="str">
        <v>7.05</v>
      </c>
      <c r="E745" t="str">
        <v>1059.41</v>
      </c>
      <c r="F745" t="str">
        <v>7060.94</v>
      </c>
      <c r="G745" t="str">
        <v>2022/03</v>
      </c>
      <c r="H745" t="str">
        <v>4.36</v>
      </c>
      <c r="I745" t="str">
        <v>389.43</v>
      </c>
      <c r="J745" t="str">
        <v>2022/06</v>
      </c>
      <c r="K745" t="str">
        <f t="array" ref="K745:T745">[1]!'8476.TW-OperatingProfitRatio,Price,PriceChangeRatio,InOutRatioNumber,Value,YearReturn,MonthReturn,WeekReturn,FinanceBalanceDif,ChipsField2'</f>
        <v>7.55</v>
      </c>
      <c r="L745">
        <v>55.6</v>
      </c>
      <c r="M745">
        <v>-0.36</v>
      </c>
      <c r="N745" t="str">
        <v>29.41%</v>
      </c>
      <c r="O745" t="str">
        <v>94.6萬</v>
      </c>
      <c r="P745" t="str">
        <v>+59.54</v>
      </c>
      <c r="Q745" t="str">
        <v>+2.02</v>
      </c>
      <c r="R745" t="str">
        <v>-0.54</v>
      </c>
      <c r="S745">
        <v>-7</v>
      </c>
      <c r="T745">
        <v>0</v>
      </c>
      <c r="U745">
        <f t="array" ref="U745:AD745">[1]!'8476.TW-ChipsField3,ChipsField1,ChipsField25,CashAndStockDividend,CashDividendYieldRate,ProfitFourSeason,ProfitSingle,CName,ExchangeIndustry,CompanyPos'</f>
        <v>0</v>
      </c>
      <c r="V745">
        <v>7</v>
      </c>
      <c r="W745" t="str">
        <v>--</v>
      </c>
      <c r="X745" t="str">
        <v>0.00</v>
      </c>
      <c r="Y745">
        <v>0</v>
      </c>
      <c r="Z745" t="str">
        <v>0.03</v>
      </c>
      <c r="AA745" t="str">
        <v>0.41</v>
      </c>
      <c r="AB745" t="str">
        <v>台境</v>
      </c>
      <c r="AC745" t="str">
        <v>上櫃其他</v>
      </c>
      <c r="AD745" t="str">
        <v>專注發展土壤、地下水領域的環保工程服務商</v>
      </c>
      <c r="AE745" t="str">
        <f t="array" ref="AE745:AH745">[1]!'8476.TW-CName,InvestorConferenceDate,DateofMeetingofShareHolders,TradingDate'</f>
        <v>台境</v>
      </c>
      <c r="AF745" t="str">
        <v>--</v>
      </c>
      <c r="AG745" t="str">
        <v>2022/06/09</v>
      </c>
      <c r="AH745" t="str">
        <v>2022/08/01</v>
      </c>
    </row>
    <row r="746" spans="1:34" x14ac:dyDescent="0.3">
      <c r="A746" t="str">
        <f t="array" ref="A746:J746">[1]!'8489.TW-ID,Name,MarketValue,Capital,NetIncomeGrowthRate,OperIncomeGrowthRate,FinancialStatementsTime,TFXRatio,MonthlyNetSalesYoY,RevenueMonth'</f>
        <v>8489</v>
      </c>
      <c r="B746" t="str">
        <v>三貝德</v>
      </c>
      <c r="C746" t="str">
        <v>9.9</v>
      </c>
      <c r="D746" t="str">
        <v>3.78</v>
      </c>
      <c r="E746" t="str">
        <v>-76.68</v>
      </c>
      <c r="F746" t="str">
        <v>-55.30</v>
      </c>
      <c r="G746" t="str">
        <v>2022/03</v>
      </c>
      <c r="H746" t="str">
        <v>-9.16</v>
      </c>
      <c r="I746" t="str">
        <v>-6.47</v>
      </c>
      <c r="J746" t="str">
        <v>2022/06</v>
      </c>
      <c r="K746" t="str">
        <f t="array" ref="K746:T746">[1]!'8489.TW-OperatingProfitRatio,Price,PriceChangeRatio,InOutRatioNumber,Value,YearReturn,MonthReturn,WeekReturn,FinanceBalanceDif,ChipsField2'</f>
        <v>5.40</v>
      </c>
      <c r="L746">
        <v>26.3</v>
      </c>
      <c r="M746">
        <v>-2.59</v>
      </c>
      <c r="N746" t="str">
        <v>20.83%</v>
      </c>
      <c r="O746" t="str">
        <v>128萬</v>
      </c>
      <c r="P746" t="str">
        <v>-27.53</v>
      </c>
      <c r="Q746" t="str">
        <v>+3.75</v>
      </c>
      <c r="R746" t="str">
        <v>-5.05</v>
      </c>
      <c r="S746">
        <v>7</v>
      </c>
      <c r="T746">
        <v>0</v>
      </c>
      <c r="U746">
        <f t="array" ref="U746:AD746">[1]!'8489.TW-ChipsField3,ChipsField1,ChipsField25,CashAndStockDividend,CashDividendYieldRate,ProfitFourSeason,ProfitSingle,CName,ExchangeIndustry,CompanyPos'</f>
        <v>0</v>
      </c>
      <c r="V746">
        <v>0</v>
      </c>
      <c r="W746" t="str">
        <v>--</v>
      </c>
      <c r="X746" t="str">
        <v>0.20</v>
      </c>
      <c r="Y746">
        <v>0.76</v>
      </c>
      <c r="Z746" t="str">
        <v>-1.25</v>
      </c>
      <c r="AA746" t="str">
        <v>-0.12</v>
      </c>
      <c r="AB746" t="str">
        <v>三貝德</v>
      </c>
      <c r="AC746" t="str">
        <v>上櫃其他</v>
      </c>
      <c r="AD746" t="str">
        <v>致力於K12數位教學及品牌代理授權業者</v>
      </c>
      <c r="AE746" t="str">
        <f t="array" ref="AE746:AH746">[1]!'8489.TW-CName,InvestorConferenceDate,DateofMeetingofShareHolders,TradingDate'</f>
        <v>三貝德</v>
      </c>
      <c r="AF746" t="str">
        <v>--</v>
      </c>
      <c r="AG746" t="str">
        <v>2022/06/08</v>
      </c>
      <c r="AH746" t="str">
        <v>2022/08/01</v>
      </c>
    </row>
    <row r="747" spans="1:34" x14ac:dyDescent="0.3">
      <c r="A747" t="str">
        <f t="array" ref="A747:J747">[1]!'8905.TW-ID,Name,MarketValue,Capital,NetIncomeGrowthRate,OperIncomeGrowthRate,FinancialStatementsTime,TFXRatio,MonthlyNetSalesYoY,RevenueMonth'</f>
        <v>8905</v>
      </c>
      <c r="B747" t="str">
        <v>裕國</v>
      </c>
      <c r="C747" t="str">
        <v>23.8</v>
      </c>
      <c r="D747" t="str">
        <v>11.94</v>
      </c>
      <c r="E747" t="str">
        <v>-26.70</v>
      </c>
      <c r="F747" t="str">
        <v>-23.00</v>
      </c>
      <c r="G747" t="str">
        <v>2022/03</v>
      </c>
      <c r="H747" t="str">
        <v>-22.69</v>
      </c>
      <c r="I747" t="str">
        <v>-19.43</v>
      </c>
      <c r="J747" t="str">
        <v>2022/06</v>
      </c>
      <c r="K747" t="str">
        <f t="array" ref="K747:T747">[1]!'8905.TW-OperatingProfitRatio,Price,PriceChangeRatio,InOutRatioNumber,Value,YearReturn,MonthReturn,WeekReturn,FinanceBalanceDif,ChipsField2'</f>
        <v>10.68</v>
      </c>
      <c r="L747">
        <v>19.899999999999999</v>
      </c>
      <c r="M747">
        <v>-0.25</v>
      </c>
      <c r="N747" t="str">
        <v>48.89%</v>
      </c>
      <c r="O747" t="str">
        <v>89.5萬</v>
      </c>
      <c r="P747" t="str">
        <v>+4.83</v>
      </c>
      <c r="Q747" t="str">
        <v>+2.20</v>
      </c>
      <c r="R747" t="str">
        <v>-1.00</v>
      </c>
      <c r="S747">
        <v>-27</v>
      </c>
      <c r="T747">
        <v>0</v>
      </c>
      <c r="U747">
        <f t="array" ref="U747:AD747">[1]!'8905.TW-ChipsField3,ChipsField1,ChipsField25,CashAndStockDividend,CashDividendYieldRate,ProfitFourSeason,ProfitSingle,CName,ExchangeIndustry,CompanyPos'</f>
        <v>0</v>
      </c>
      <c r="V747">
        <v>0</v>
      </c>
      <c r="W747" t="str">
        <v>2022/07/12</v>
      </c>
      <c r="X747" t="str">
        <v>1.90</v>
      </c>
      <c r="Y747">
        <v>9.5500000000000007</v>
      </c>
      <c r="Z747" t="str">
        <v>2.38</v>
      </c>
      <c r="AA747" t="str">
        <v>0.40</v>
      </c>
      <c r="AB747" t="str">
        <v>裕國</v>
      </c>
      <c r="AC747" t="str">
        <v>上櫃其他</v>
      </c>
      <c r="AD747" t="str">
        <v>主要從事肉品、冷凍冷藏倉儲、營建業務</v>
      </c>
      <c r="AE747" t="str">
        <f t="array" ref="AE747:AH747">[1]!'8905.TW-CName,InvestorConferenceDate,DateofMeetingofShareHolders,TradingDate'</f>
        <v>裕國</v>
      </c>
      <c r="AF747" t="str">
        <v>--</v>
      </c>
      <c r="AG747" t="str">
        <v>2022/06/22</v>
      </c>
      <c r="AH747" t="str">
        <v>2022/08/01</v>
      </c>
    </row>
    <row r="748" spans="1:34" x14ac:dyDescent="0.3">
      <c r="A748" t="str">
        <f t="array" ref="A748:J748">[1]!'8906.TW-ID,Name,MarketValue,Capital,NetIncomeGrowthRate,OperIncomeGrowthRate,FinancialStatementsTime,TFXRatio,MonthlyNetSalesYoY,RevenueMonth'</f>
        <v>8906</v>
      </c>
      <c r="B748" t="str">
        <v>花王</v>
      </c>
      <c r="C748" t="str">
        <v>6.7</v>
      </c>
      <c r="D748" t="str">
        <v>3.40</v>
      </c>
      <c r="E748" t="str">
        <v>296.29</v>
      </c>
      <c r="F748" t="str">
        <v>103.80</v>
      </c>
      <c r="G748" t="str">
        <v>2022/03</v>
      </c>
      <c r="H748" t="str">
        <v>4.44</v>
      </c>
      <c r="I748" t="str">
        <v>10.82</v>
      </c>
      <c r="J748" t="str">
        <v>2022/06</v>
      </c>
      <c r="K748" t="str">
        <f t="array" ref="K748:T748">[1]!'8906.TW-OperatingProfitRatio,Price,PriceChangeRatio,InOutRatioNumber,Value,YearReturn,MonthReturn,WeekReturn,FinanceBalanceDif,ChipsField2'</f>
        <v>0.32</v>
      </c>
      <c r="L748">
        <v>19.649999999999999</v>
      </c>
      <c r="M748">
        <v>0.26</v>
      </c>
      <c r="N748" t="str">
        <v>31.91%</v>
      </c>
      <c r="O748" t="str">
        <v>93.0萬</v>
      </c>
      <c r="P748" t="str">
        <v>+39.36</v>
      </c>
      <c r="Q748" t="str">
        <v>+0.77</v>
      </c>
      <c r="R748" t="str">
        <v>-2.00</v>
      </c>
      <c r="S748">
        <v>9</v>
      </c>
      <c r="T748">
        <v>0</v>
      </c>
      <c r="U748">
        <f t="array" ref="U748:AD748">[1]!'8906.TW-ChipsField3,ChipsField1,ChipsField25,CashAndStockDividend,CashDividendYieldRate,ProfitFourSeason,ProfitSingle,CName,ExchangeIndustry,CompanyPos'</f>
        <v>0</v>
      </c>
      <c r="V748">
        <v>0</v>
      </c>
      <c r="W748" t="str">
        <v>--</v>
      </c>
      <c r="X748" t="str">
        <v>0.10</v>
      </c>
      <c r="Y748">
        <v>0.51</v>
      </c>
      <c r="Z748" t="str">
        <v>0.54</v>
      </c>
      <c r="AA748" t="str">
        <v>0.29</v>
      </c>
      <c r="AB748" t="str">
        <v>花王</v>
      </c>
      <c r="AC748" t="str">
        <v>上櫃其他</v>
      </c>
      <c r="AD748" t="str">
        <v>知名一貫化印製作業廠</v>
      </c>
      <c r="AE748" t="str">
        <f t="array" ref="AE748:AH748">[1]!'8906.TW-CName,InvestorConferenceDate,DateofMeetingofShareHolders,TradingDate'</f>
        <v>花王</v>
      </c>
      <c r="AF748" t="str">
        <v>--</v>
      </c>
      <c r="AG748" t="str">
        <v>2022/06/30</v>
      </c>
      <c r="AH748" t="str">
        <v>2022/08/01</v>
      </c>
    </row>
    <row r="749" spans="1:34" x14ac:dyDescent="0.3">
      <c r="A749" t="str">
        <f t="array" ref="A749:J749">[1]!'8916.TW-ID,Name,MarketValue,Capital,NetIncomeGrowthRate,OperIncomeGrowthRate,FinancialStatementsTime,TFXRatio,MonthlyNetSalesYoY,RevenueMonth'</f>
        <v>8916</v>
      </c>
      <c r="B749" t="str">
        <v>光隆</v>
      </c>
      <c r="C749" t="str">
        <v>59.2</v>
      </c>
      <c r="D749" t="str">
        <v>13.17</v>
      </c>
      <c r="E749" t="str">
        <v>8.85</v>
      </c>
      <c r="F749" t="str">
        <v>218.20</v>
      </c>
      <c r="G749" t="str">
        <v>2022/03</v>
      </c>
      <c r="H749" t="str">
        <v>11.11</v>
      </c>
      <c r="I749" t="str">
        <v>2.20</v>
      </c>
      <c r="J749" t="str">
        <v>2022/06</v>
      </c>
      <c r="K749" t="str">
        <f t="array" ref="K749:T749">[1]!'8916.TW-OperatingProfitRatio,Price,PriceChangeRatio,InOutRatioNumber,Value,YearReturn,MonthReturn,WeekReturn,FinanceBalanceDif,ChipsField2'</f>
        <v>5.50</v>
      </c>
      <c r="L749">
        <v>45.05</v>
      </c>
      <c r="M749">
        <v>0.22</v>
      </c>
      <c r="N749" t="str">
        <v>66.89%</v>
      </c>
      <c r="O749" t="str">
        <v>2085萬</v>
      </c>
      <c r="P749" t="str">
        <v>+10.31</v>
      </c>
      <c r="Q749" t="str">
        <v>+6.00</v>
      </c>
      <c r="R749" t="str">
        <v>+0.56</v>
      </c>
      <c r="S749">
        <v>-53</v>
      </c>
      <c r="T749">
        <v>0</v>
      </c>
      <c r="U749">
        <f t="array" ref="U749:AD749">[1]!'8916.TW-ChipsField3,ChipsField1,ChipsField25,CashAndStockDividend,CashDividendYieldRate,ProfitFourSeason,ProfitSingle,CName,ExchangeIndustry,CompanyPos'</f>
        <v>0</v>
      </c>
      <c r="V749">
        <v>-44</v>
      </c>
      <c r="W749" t="str">
        <v>2022/08/02</v>
      </c>
      <c r="X749" t="str">
        <v>3.00</v>
      </c>
      <c r="Y749">
        <v>6.66</v>
      </c>
      <c r="Z749" t="str">
        <v>4.05</v>
      </c>
      <c r="AA749" t="str">
        <v>1.11</v>
      </c>
      <c r="AB749" t="str">
        <v>光隆</v>
      </c>
      <c r="AC749" t="str">
        <v>上櫃其他</v>
      </c>
      <c r="AD749" t="str">
        <v>國內知名的羽絨原料加工及寢具製造商</v>
      </c>
      <c r="AE749" t="str">
        <f t="array" ref="AE749:AH749">[1]!'8916.TW-CName,InvestorConferenceDate,DateofMeetingofShareHolders,TradingDate'</f>
        <v>光隆</v>
      </c>
      <c r="AF749" t="str">
        <v>2022/05/10</v>
      </c>
      <c r="AG749" t="str">
        <v>2022/05/31</v>
      </c>
      <c r="AH749" t="str">
        <v>2022/08/01</v>
      </c>
    </row>
    <row r="750" spans="1:34" x14ac:dyDescent="0.3">
      <c r="A750" t="str">
        <f t="array" ref="A750:J750">[1]!'8921.TW-ID,Name,MarketValue,Capital,NetIncomeGrowthRate,OperIncomeGrowthRate,FinancialStatementsTime,TFXRatio,MonthlyNetSalesYoY,RevenueMonth'</f>
        <v>8921</v>
      </c>
      <c r="B750" t="str">
        <v>沈氏</v>
      </c>
      <c r="C750" t="str">
        <v>7.2</v>
      </c>
      <c r="D750" t="str">
        <v>4.66</v>
      </c>
      <c r="E750" t="str">
        <v>1398.70</v>
      </c>
      <c r="F750" t="str">
        <v>-1782.57</v>
      </c>
      <c r="G750" t="str">
        <v>2022/03</v>
      </c>
      <c r="H750" t="str">
        <v>-4.56</v>
      </c>
      <c r="I750" t="str">
        <v>39.99</v>
      </c>
      <c r="J750" t="str">
        <v>2022/06</v>
      </c>
      <c r="K750" t="str">
        <f t="array" ref="K750:T750">[1]!'8921.TW-OperatingProfitRatio,Price,PriceChangeRatio,InOutRatioNumber,Value,YearReturn,MonthReturn,WeekReturn,FinanceBalanceDif,ChipsField2'</f>
        <v>-5.80</v>
      </c>
      <c r="L750" t="str">
        <v>--</v>
      </c>
      <c r="M750" t="str">
        <v>--</v>
      </c>
      <c r="N750" t="str">
        <v>--</v>
      </c>
      <c r="O750" t="str">
        <v>--</v>
      </c>
      <c r="P750" t="str">
        <v>+2.29</v>
      </c>
      <c r="Q750" t="str">
        <v>+0.32</v>
      </c>
      <c r="R750" t="str">
        <v>-3.44</v>
      </c>
      <c r="S750">
        <v>0</v>
      </c>
      <c r="T750">
        <v>0</v>
      </c>
      <c r="U750">
        <f t="array" ref="U750:AD750">[1]!'8921.TW-ChipsField3,ChipsField1,ChipsField25,CashAndStockDividend,CashDividendYieldRate,ProfitFourSeason,ProfitSingle,CName,ExchangeIndustry,CompanyPos'</f>
        <v>0</v>
      </c>
      <c r="V750">
        <v>0</v>
      </c>
      <c r="W750" t="str">
        <v>2022/06/28</v>
      </c>
      <c r="X750" t="str">
        <v>0.45</v>
      </c>
      <c r="Y750">
        <v>2.91</v>
      </c>
      <c r="Z750" t="str">
        <v>0.69</v>
      </c>
      <c r="AA750" t="str">
        <v>0.39</v>
      </c>
      <c r="AB750" t="str">
        <v>沈氏</v>
      </c>
      <c r="AC750" t="str">
        <v>上櫃其他</v>
      </c>
      <c r="AD750" t="str">
        <v>永豐餘集團轉投資之印刷廠</v>
      </c>
      <c r="AE750" t="str">
        <f t="array" ref="AE750:AH750">[1]!'8921.TW-CName,InvestorConferenceDate,DateofMeetingofShareHolders,TradingDate'</f>
        <v>沈氏</v>
      </c>
      <c r="AF750" t="str">
        <v>--</v>
      </c>
      <c r="AG750" t="str">
        <v>2022/06/08</v>
      </c>
      <c r="AH750" t="str">
        <v>2022/08/01</v>
      </c>
    </row>
    <row r="751" spans="1:34" x14ac:dyDescent="0.3">
      <c r="A751" t="str">
        <f t="array" ref="A751:J751">[1]!'8924.TW-ID,Name,MarketValue,Capital,NetIncomeGrowthRate,OperIncomeGrowthRate,FinancialStatementsTime,TFXRatio,MonthlyNetSalesYoY,RevenueMonth'</f>
        <v>8924</v>
      </c>
      <c r="B751" t="str">
        <v>大田</v>
      </c>
      <c r="C751" t="str">
        <v>98.5</v>
      </c>
      <c r="D751" t="str">
        <v>8.38</v>
      </c>
      <c r="E751" t="str">
        <v>-19.13</v>
      </c>
      <c r="F751" t="str">
        <v>-12.85</v>
      </c>
      <c r="G751" t="str">
        <v>2022/03</v>
      </c>
      <c r="H751" t="str">
        <v>-10.29</v>
      </c>
      <c r="I751" t="str">
        <v>5.78</v>
      </c>
      <c r="J751" t="str">
        <v>2022/06</v>
      </c>
      <c r="K751" t="str">
        <f t="array" ref="K751:T751">[1]!'8924.TW-OperatingProfitRatio,Price,PriceChangeRatio,InOutRatioNumber,Value,YearReturn,MonthReturn,WeekReturn,FinanceBalanceDif,ChipsField2'</f>
        <v>19.65</v>
      </c>
      <c r="L751">
        <v>117.5</v>
      </c>
      <c r="M751">
        <v>2.17</v>
      </c>
      <c r="N751" t="str">
        <v>57.80%</v>
      </c>
      <c r="O751" t="str">
        <v>1.08億</v>
      </c>
      <c r="P751" t="str">
        <v>-20.21</v>
      </c>
      <c r="Q751" t="str">
        <v>+17.62</v>
      </c>
      <c r="R751" t="str">
        <v>+5.38</v>
      </c>
      <c r="S751">
        <v>-203</v>
      </c>
      <c r="T751">
        <v>0</v>
      </c>
      <c r="U751">
        <f t="array" ref="U751:AD751">[1]!'8924.TW-ChipsField3,ChipsField1,ChipsField25,CashAndStockDividend,CashDividendYieldRate,ProfitFourSeason,ProfitSingle,CName,ExchangeIndustry,CompanyPos'</f>
        <v>2</v>
      </c>
      <c r="V751">
        <v>54</v>
      </c>
      <c r="W751" t="str">
        <v>2022/06/17</v>
      </c>
      <c r="X751" t="str">
        <v>13.70</v>
      </c>
      <c r="Y751">
        <v>11.66</v>
      </c>
      <c r="Z751" t="str">
        <v>19.39</v>
      </c>
      <c r="AA751" t="str">
        <v>3.12</v>
      </c>
      <c r="AB751" t="str">
        <v>大田</v>
      </c>
      <c r="AC751" t="str">
        <v>上櫃其他</v>
      </c>
      <c r="AD751" t="str">
        <v>全球高爾夫球桿頭代工大廠之一</v>
      </c>
      <c r="AE751" t="str">
        <f t="array" ref="AE751:AH751">[1]!'8924.TW-CName,InvestorConferenceDate,DateofMeetingofShareHolders,TradingDate'</f>
        <v>大田</v>
      </c>
      <c r="AF751" t="str">
        <v>2021/11/16</v>
      </c>
      <c r="AG751" t="str">
        <v>2022/05/26</v>
      </c>
      <c r="AH751" t="str">
        <v>2022/08/01</v>
      </c>
    </row>
    <row r="752" spans="1:34" x14ac:dyDescent="0.3">
      <c r="A752" t="str">
        <f t="array" ref="A752:J752">[1]!'8928.TW-ID,Name,MarketValue,Capital,NetIncomeGrowthRate,OperIncomeGrowthRate,FinancialStatementsTime,TFXRatio,MonthlyNetSalesYoY,RevenueMonth'</f>
        <v>8928</v>
      </c>
      <c r="B752" t="str">
        <v>鉅明</v>
      </c>
      <c r="C752" t="str">
        <v>23.6</v>
      </c>
      <c r="D752" t="str">
        <v>5.09</v>
      </c>
      <c r="E752" t="str">
        <v>64.16</v>
      </c>
      <c r="F752" t="str">
        <v>25.50</v>
      </c>
      <c r="G752" t="str">
        <v>2022/03</v>
      </c>
      <c r="H752" t="str">
        <v>4.99</v>
      </c>
      <c r="I752" t="str">
        <v>40.60</v>
      </c>
      <c r="J752" t="str">
        <v>2022/06</v>
      </c>
      <c r="K752" t="str">
        <f t="array" ref="K752:T752">[1]!'8928.TW-OperatingProfitRatio,Price,PriceChangeRatio,InOutRatioNumber,Value,YearReturn,MonthReturn,WeekReturn,FinanceBalanceDif,ChipsField2'</f>
        <v>11.17</v>
      </c>
      <c r="L752">
        <v>46.4</v>
      </c>
      <c r="M752">
        <v>3</v>
      </c>
      <c r="N752" t="str">
        <v>55.94%</v>
      </c>
      <c r="O752" t="str">
        <v>3127萬</v>
      </c>
      <c r="P752" t="str">
        <v>+39.58</v>
      </c>
      <c r="Q752" t="str">
        <v>+16.00</v>
      </c>
      <c r="R752" t="str">
        <v>+1.09</v>
      </c>
      <c r="S752">
        <v>-17</v>
      </c>
      <c r="T752">
        <v>0</v>
      </c>
      <c r="U752">
        <f t="array" ref="U752:AD752">[1]!'8928.TW-ChipsField3,ChipsField1,ChipsField25,CashAndStockDividend,CashDividendYieldRate,ProfitFourSeason,ProfitSingle,CName,ExchangeIndustry,CompanyPos'</f>
        <v>0</v>
      </c>
      <c r="V752">
        <v>-35</v>
      </c>
      <c r="W752" t="str">
        <v>2022/08/04</v>
      </c>
      <c r="X752" t="str">
        <v>2.50</v>
      </c>
      <c r="Y752">
        <v>5.39</v>
      </c>
      <c r="Z752" t="str">
        <v>5.49</v>
      </c>
      <c r="AA752" t="str">
        <v>2.02</v>
      </c>
      <c r="AB752" t="str">
        <v>鉅明</v>
      </c>
      <c r="AC752" t="str">
        <v>上櫃其他</v>
      </c>
      <c r="AD752" t="str">
        <v>全球高爾夫球具代工大廠</v>
      </c>
      <c r="AE752" t="str">
        <f t="array" ref="AE752:AH752">[1]!'8928.TW-CName,InvestorConferenceDate,DateofMeetingofShareHolders,TradingDate'</f>
        <v>鉅明</v>
      </c>
      <c r="AF752" t="str">
        <v>2022/03/31</v>
      </c>
      <c r="AG752" t="str">
        <v>2022/05/26</v>
      </c>
      <c r="AH752" t="str">
        <v>2022/08/01</v>
      </c>
    </row>
    <row r="753" spans="1:34" x14ac:dyDescent="0.3">
      <c r="A753" t="str">
        <f t="array" ref="A753:J753">[1]!'8929.TW-ID,Name,MarketValue,Capital,NetIncomeGrowthRate,OperIncomeGrowthRate,FinancialStatementsTime,TFXRatio,MonthlyNetSalesYoY,RevenueMonth'</f>
        <v>8929</v>
      </c>
      <c r="B753" t="str">
        <v>富堡</v>
      </c>
      <c r="C753" t="str">
        <v>10.1</v>
      </c>
      <c r="D753" t="str">
        <v>5.06</v>
      </c>
      <c r="E753" t="str">
        <v>-373.02</v>
      </c>
      <c r="F753" t="str">
        <v>-192.04</v>
      </c>
      <c r="G753" t="str">
        <v>2022/03</v>
      </c>
      <c r="H753" t="str">
        <v>-17.00</v>
      </c>
      <c r="I753" t="str">
        <v>-22.65</v>
      </c>
      <c r="J753" t="str">
        <v>2022/06</v>
      </c>
      <c r="K753" t="str">
        <f t="array" ref="K753:T753">[1]!'8929.TW-OperatingProfitRatio,Price,PriceChangeRatio,InOutRatioNumber,Value,YearReturn,MonthReturn,WeekReturn,FinanceBalanceDif,ChipsField2'</f>
        <v>-12.81</v>
      </c>
      <c r="L753">
        <v>19.899999999999999</v>
      </c>
      <c r="M753">
        <v>-0.5</v>
      </c>
      <c r="N753" t="str">
        <v>0.00%</v>
      </c>
      <c r="O753" t="str">
        <v>14.0萬</v>
      </c>
      <c r="P753" t="str">
        <v>-7.01</v>
      </c>
      <c r="Q753" t="str">
        <v>0.00</v>
      </c>
      <c r="R753" t="str">
        <v>+1.53</v>
      </c>
      <c r="S753">
        <v>0</v>
      </c>
      <c r="T753">
        <v>0</v>
      </c>
      <c r="U753">
        <f t="array" ref="U753:AD753">[1]!'8929.TW-ChipsField3,ChipsField1,ChipsField25,CashAndStockDividend,CashDividendYieldRate,ProfitFourSeason,ProfitSingle,CName,ExchangeIndustry,CompanyPos'</f>
        <v>0</v>
      </c>
      <c r="V753">
        <v>0</v>
      </c>
      <c r="W753" t="str">
        <v>--</v>
      </c>
      <c r="X753" t="str">
        <v>0.00</v>
      </c>
      <c r="Y753">
        <v>0</v>
      </c>
      <c r="Z753" t="str">
        <v>-1.66</v>
      </c>
      <c r="AA753" t="str">
        <v>-0.42</v>
      </c>
      <c r="AB753" t="str">
        <v>富堡</v>
      </c>
      <c r="AC753" t="str">
        <v>上櫃其他</v>
      </c>
      <c r="AD753" t="str">
        <v>主要生產不織布及成人紙尿褲產品</v>
      </c>
      <c r="AE753" t="str">
        <f t="array" ref="AE753:AH753">[1]!'8929.TW-CName,InvestorConferenceDate,DateofMeetingofShareHolders,TradingDate'</f>
        <v>富堡</v>
      </c>
      <c r="AF753" t="str">
        <v>--</v>
      </c>
      <c r="AG753" t="str">
        <v>2022/06/23</v>
      </c>
      <c r="AH753" t="str">
        <v>2022/08/01</v>
      </c>
    </row>
    <row r="754" spans="1:34" x14ac:dyDescent="0.3">
      <c r="A754" t="str">
        <f t="array" ref="A754:J754">[1]!'8932.TW-ID,Name,MarketValue,Capital,NetIncomeGrowthRate,OperIncomeGrowthRate,FinancialStatementsTime,TFXRatio,MonthlyNetSalesYoY,RevenueMonth'</f>
        <v>8932</v>
      </c>
      <c r="B754" t="str">
        <v>宏大</v>
      </c>
      <c r="C754" t="str">
        <v>15.0</v>
      </c>
      <c r="D754" t="str">
        <v>6.03</v>
      </c>
      <c r="E754" t="str">
        <v>286.14</v>
      </c>
      <c r="F754" t="str">
        <v>608.97</v>
      </c>
      <c r="G754" t="str">
        <v>2022/03</v>
      </c>
      <c r="H754" t="str">
        <v>-22.83</v>
      </c>
      <c r="I754" t="str">
        <v>-15.87</v>
      </c>
      <c r="J754" t="str">
        <v>2022/06</v>
      </c>
      <c r="K754" t="str">
        <f t="array" ref="K754:T754">[1]!'8932.TW-OperatingProfitRatio,Price,PriceChangeRatio,InOutRatioNumber,Value,YearReturn,MonthReturn,WeekReturn,FinanceBalanceDif,ChipsField2'</f>
        <v>6.92</v>
      </c>
      <c r="L754">
        <v>24.95</v>
      </c>
      <c r="M754">
        <v>-0.8</v>
      </c>
      <c r="N754" t="str">
        <v>20.00%</v>
      </c>
      <c r="O754" t="str">
        <v>25.1萬</v>
      </c>
      <c r="P754" t="str">
        <v>+33.78</v>
      </c>
      <c r="Q754" t="str">
        <v>+4.61</v>
      </c>
      <c r="R754" t="str">
        <v>-0.20</v>
      </c>
      <c r="S754">
        <v>3</v>
      </c>
      <c r="T754">
        <v>0</v>
      </c>
      <c r="U754">
        <f t="array" ref="U754:AD754">[1]!'8932.TW-ChipsField3,ChipsField1,ChipsField25,CashAndStockDividend,CashDividendYieldRate,ProfitFourSeason,ProfitSingle,CName,ExchangeIndustry,CompanyPos'</f>
        <v>0</v>
      </c>
      <c r="V754">
        <v>-2</v>
      </c>
      <c r="W754" t="str">
        <v>--</v>
      </c>
      <c r="X754" t="str">
        <v>0.00</v>
      </c>
      <c r="Y754">
        <v>0</v>
      </c>
      <c r="Z754" t="str">
        <v>-0.70</v>
      </c>
      <c r="AA754" t="str">
        <v>0.30</v>
      </c>
      <c r="AB754" t="str">
        <v>宏大</v>
      </c>
      <c r="AC754" t="str">
        <v>上櫃其他</v>
      </c>
      <c r="AD754" t="str">
        <v>台灣最大拉鍊製造商</v>
      </c>
      <c r="AE754" t="str">
        <f t="array" ref="AE754:AH754">[1]!'8932.TW-CName,InvestorConferenceDate,DateofMeetingofShareHolders,TradingDate'</f>
        <v>宏大</v>
      </c>
      <c r="AF754" t="str">
        <v>--</v>
      </c>
      <c r="AG754" t="str">
        <v>2022/06/30</v>
      </c>
      <c r="AH754" t="str">
        <v>2022/08/01</v>
      </c>
    </row>
    <row r="755" spans="1:34" x14ac:dyDescent="0.3">
      <c r="A755" t="str">
        <f t="array" ref="A755:J755">[1]!'8933.TW-ID,Name,MarketValue,Capital,NetIncomeGrowthRate,OperIncomeGrowthRate,FinancialStatementsTime,TFXRatio,MonthlyNetSalesYoY,RevenueMonth'</f>
        <v>8933</v>
      </c>
      <c r="B755" t="str">
        <v>愛地雅</v>
      </c>
      <c r="C755" t="str">
        <v>33.6</v>
      </c>
      <c r="D755" t="str">
        <v>30.14</v>
      </c>
      <c r="E755" t="str">
        <v>226.47</v>
      </c>
      <c r="F755" t="str">
        <v>310.25</v>
      </c>
      <c r="G755" t="str">
        <v>2022/03</v>
      </c>
      <c r="H755" t="str">
        <v>17.44</v>
      </c>
      <c r="I755" t="str">
        <v>23.02</v>
      </c>
      <c r="J755" t="str">
        <v>2022/06</v>
      </c>
      <c r="K755" t="str">
        <f t="array" ref="K755:T755">[1]!'8933.TW-OperatingProfitRatio,Price,PriceChangeRatio,InOutRatioNumber,Value,YearReturn,MonthReturn,WeekReturn,FinanceBalanceDif,ChipsField2'</f>
        <v>2.51</v>
      </c>
      <c r="L755">
        <v>11.15</v>
      </c>
      <c r="M755">
        <v>0</v>
      </c>
      <c r="N755" t="str">
        <v>27.78%</v>
      </c>
      <c r="O755" t="str">
        <v>226萬</v>
      </c>
      <c r="P755" t="str">
        <v>-7.85</v>
      </c>
      <c r="Q755" t="str">
        <v>+0.90</v>
      </c>
      <c r="R755" t="str">
        <v>-2.19</v>
      </c>
      <c r="S755">
        <v>0</v>
      </c>
      <c r="T755">
        <v>0</v>
      </c>
      <c r="U755">
        <f t="array" ref="U755:AD755">[1]!'8933.TW-ChipsField3,ChipsField1,ChipsField25,CashAndStockDividend,CashDividendYieldRate,ProfitFourSeason,ProfitSingle,CName,ExchangeIndustry,CompanyPos'</f>
        <v>0</v>
      </c>
      <c r="V755">
        <v>24</v>
      </c>
      <c r="W755" t="str">
        <v>--</v>
      </c>
      <c r="X755" t="str">
        <v>0.00</v>
      </c>
      <c r="Y755">
        <v>0</v>
      </c>
      <c r="Z755" t="str">
        <v>0.57</v>
      </c>
      <c r="AA755" t="str">
        <v>0.14</v>
      </c>
      <c r="AB755" t="str">
        <v>愛地雅</v>
      </c>
      <c r="AC755" t="str">
        <v>上櫃其他</v>
      </c>
      <c r="AD755" t="str">
        <v>台灣第三大自行車生產廠商</v>
      </c>
      <c r="AE755" t="str">
        <f t="array" ref="AE755:AH755">[1]!'8933.TW-CName,InvestorConferenceDate,DateofMeetingofShareHolders,TradingDate'</f>
        <v>愛地雅</v>
      </c>
      <c r="AF755" t="str">
        <v>--</v>
      </c>
      <c r="AG755" t="str">
        <v>2022/06/09</v>
      </c>
      <c r="AH755" t="str">
        <v>2022/08/01</v>
      </c>
    </row>
    <row r="756" spans="1:34" x14ac:dyDescent="0.3">
      <c r="A756" t="str">
        <f t="array" ref="A756:J756">[1]!'8935.TW-ID,Name,MarketValue,Capital,NetIncomeGrowthRate,OperIncomeGrowthRate,FinancialStatementsTime,TFXRatio,MonthlyNetSalesYoY,RevenueMonth'</f>
        <v>8935</v>
      </c>
      <c r="B756" t="str">
        <v>邦泰</v>
      </c>
      <c r="C756" t="str">
        <v>10.2</v>
      </c>
      <c r="D756" t="str">
        <v>8.43</v>
      </c>
      <c r="E756" t="str">
        <v>-92.45</v>
      </c>
      <c r="F756" t="str">
        <v>-91.75</v>
      </c>
      <c r="G756" t="str">
        <v>2022/03</v>
      </c>
      <c r="H756" t="str">
        <v>-8.87</v>
      </c>
      <c r="I756" t="str">
        <v>-25.52</v>
      </c>
      <c r="J756" t="str">
        <v>2022/06</v>
      </c>
      <c r="K756" t="str">
        <f t="array" ref="K756:T756">[1]!'8935.TW-OperatingProfitRatio,Price,PriceChangeRatio,InOutRatioNumber,Value,YearReturn,MonthReturn,WeekReturn,FinanceBalanceDif,ChipsField2'</f>
        <v>0.85</v>
      </c>
      <c r="L756">
        <v>12.1</v>
      </c>
      <c r="M756">
        <v>0</v>
      </c>
      <c r="N756" t="str">
        <v>33.33%</v>
      </c>
      <c r="O756" t="str">
        <v>4.83萬</v>
      </c>
      <c r="P756" t="str">
        <v>-25.54</v>
      </c>
      <c r="Q756" t="str">
        <v>+0.83</v>
      </c>
      <c r="R756" t="str">
        <v>+2.54</v>
      </c>
      <c r="S756">
        <v>0</v>
      </c>
      <c r="T756">
        <v>0</v>
      </c>
      <c r="U756">
        <f t="array" ref="U756:AD756">[1]!'8935.TW-ChipsField3,ChipsField1,ChipsField25,CashAndStockDividend,CashDividendYieldRate,ProfitFourSeason,ProfitSingle,CName,ExchangeIndustry,CompanyPos'</f>
        <v>0</v>
      </c>
      <c r="V756">
        <v>0</v>
      </c>
      <c r="W756" t="str">
        <v>--</v>
      </c>
      <c r="X756" t="str">
        <v>0.00</v>
      </c>
      <c r="Y756">
        <v>0</v>
      </c>
      <c r="Z756" t="str">
        <v>0.25</v>
      </c>
      <c r="AA756" t="str">
        <v>0.02</v>
      </c>
      <c r="AB756" t="str">
        <v>邦泰</v>
      </c>
      <c r="AC756" t="str">
        <v>上櫃其他</v>
      </c>
      <c r="AD756" t="str">
        <v>台灣鞋材及複合材料研發生產大廠</v>
      </c>
      <c r="AE756" t="str">
        <f t="array" ref="AE756:AH756">[1]!'8935.TW-CName,InvestorConferenceDate,DateofMeetingofShareHolders,TradingDate'</f>
        <v>邦泰</v>
      </c>
      <c r="AF756" t="str">
        <v>--</v>
      </c>
      <c r="AG756" t="str">
        <v>2022/06/02</v>
      </c>
      <c r="AH756" t="str">
        <v>2022/08/01</v>
      </c>
    </row>
    <row r="757" spans="1:34" x14ac:dyDescent="0.3">
      <c r="A757" t="str">
        <f t="array" ref="A757:J757">[1]!'8936.TW-ID,Name,MarketValue,Capital,NetIncomeGrowthRate,OperIncomeGrowthRate,FinancialStatementsTime,TFXRatio,MonthlyNetSalesYoY,RevenueMonth'</f>
        <v>8936</v>
      </c>
      <c r="B757" t="str">
        <v>國統</v>
      </c>
      <c r="C757" t="str">
        <v>47.8</v>
      </c>
      <c r="D757" t="str">
        <v>24.81</v>
      </c>
      <c r="E757" t="str">
        <v>-166.16</v>
      </c>
      <c r="F757" t="str">
        <v>-87.62</v>
      </c>
      <c r="G757" t="str">
        <v>2022/03</v>
      </c>
      <c r="H757" t="str">
        <v>5.00</v>
      </c>
      <c r="I757" t="str">
        <v>-20.49</v>
      </c>
      <c r="J757" t="str">
        <v>2022/06</v>
      </c>
      <c r="K757" t="str">
        <f t="array" ref="K757:T757">[1]!'8936.TW-OperatingProfitRatio,Price,PriceChangeRatio,InOutRatioNumber,Value,YearReturn,MonthReturn,WeekReturn,FinanceBalanceDif,ChipsField2'</f>
        <v>1.88</v>
      </c>
      <c r="L757">
        <v>19.25</v>
      </c>
      <c r="M757">
        <v>0.52</v>
      </c>
      <c r="N757" t="str">
        <v>62.41%</v>
      </c>
      <c r="O757" t="str">
        <v>260萬</v>
      </c>
      <c r="P757" t="str">
        <v>-20.17</v>
      </c>
      <c r="Q757" t="str">
        <v>+14.93</v>
      </c>
      <c r="R757" t="str">
        <v>+1.58</v>
      </c>
      <c r="S757">
        <v>54</v>
      </c>
      <c r="T757">
        <v>0</v>
      </c>
      <c r="U757">
        <f t="array" ref="U757:AD757">[1]!'8936.TW-ChipsField3,ChipsField1,ChipsField25,CashAndStockDividend,CashDividendYieldRate,ProfitFourSeason,ProfitSingle,CName,ExchangeIndustry,CompanyPos'</f>
        <v>0</v>
      </c>
      <c r="V757">
        <v>-30</v>
      </c>
      <c r="W757" t="str">
        <v>--</v>
      </c>
      <c r="X757" t="str">
        <v>0.50</v>
      </c>
      <c r="Y757">
        <v>2.6</v>
      </c>
      <c r="Z757" t="str">
        <v>1.43</v>
      </c>
      <c r="AA757" t="str">
        <v>0.04</v>
      </c>
      <c r="AB757" t="str">
        <v>國統</v>
      </c>
      <c r="AC757" t="str">
        <v>上櫃其他</v>
      </c>
      <c r="AD757" t="str">
        <v>專營輸水管材之製造與承包公司，並兼營海水淡化業務</v>
      </c>
      <c r="AE757" t="str">
        <f t="array" ref="AE757:AH757">[1]!'8936.TW-CName,InvestorConferenceDate,DateofMeetingofShareHolders,TradingDate'</f>
        <v>國統</v>
      </c>
      <c r="AF757" t="str">
        <v>2022/05/10</v>
      </c>
      <c r="AG757" t="str">
        <v>2022/06/09</v>
      </c>
      <c r="AH757" t="str">
        <v>2022/08/01</v>
      </c>
    </row>
    <row r="758" spans="1:34" x14ac:dyDescent="0.3">
      <c r="A758" t="str">
        <f t="array" ref="A758:J758">[1]!'8937.TW-ID,Name,MarketValue,Capital,NetIncomeGrowthRate,OperIncomeGrowthRate,FinancialStatementsTime,TFXRatio,MonthlyNetSalesYoY,RevenueMonth'</f>
        <v>8937</v>
      </c>
      <c r="B758" t="str">
        <v>合騏</v>
      </c>
      <c r="C758" t="str">
        <v>9.3</v>
      </c>
      <c r="D758" t="str">
        <v>7.25</v>
      </c>
      <c r="E758" t="str">
        <v>651.29</v>
      </c>
      <c r="F758" t="str">
        <v>36.58</v>
      </c>
      <c r="G758" t="str">
        <v>2022/03</v>
      </c>
      <c r="H758" t="str">
        <v>-39.04</v>
      </c>
      <c r="I758" t="str">
        <v>34.17</v>
      </c>
      <c r="J758" t="str">
        <v>2022/06</v>
      </c>
      <c r="K758" t="str">
        <f t="array" ref="K758:T758">[1]!'8937.TW-OperatingProfitRatio,Price,PriceChangeRatio,InOutRatioNumber,Value,YearReturn,MonthReturn,WeekReturn,FinanceBalanceDif,ChipsField2'</f>
        <v>-16.19</v>
      </c>
      <c r="L758">
        <v>12.9</v>
      </c>
      <c r="M758">
        <v>-1.1499999999999999</v>
      </c>
      <c r="N758" t="str">
        <v>26.51%</v>
      </c>
      <c r="O758" t="str">
        <v>107萬</v>
      </c>
      <c r="P758" t="str">
        <v>+8.86</v>
      </c>
      <c r="Q758" t="str">
        <v>-1.15</v>
      </c>
      <c r="R758" t="str">
        <v>-5.15</v>
      </c>
      <c r="S758">
        <v>0</v>
      </c>
      <c r="T758">
        <v>0</v>
      </c>
      <c r="U758">
        <f t="array" ref="U758:AD758">[1]!'8937.TW-ChipsField3,ChipsField1,ChipsField25,CashAndStockDividend,CashDividendYieldRate,ProfitFourSeason,ProfitSingle,CName,ExchangeIndustry,CompanyPos'</f>
        <v>0</v>
      </c>
      <c r="V758">
        <v>1</v>
      </c>
      <c r="W758" t="str">
        <v>--</v>
      </c>
      <c r="X758" t="str">
        <v>0.00</v>
      </c>
      <c r="Y758">
        <v>0</v>
      </c>
      <c r="Z758" t="str">
        <v>-0.35</v>
      </c>
      <c r="AA758" t="str">
        <v>0.37</v>
      </c>
      <c r="AB758" t="str">
        <v>合騏</v>
      </c>
      <c r="AC758" t="str">
        <v>上櫃其他</v>
      </c>
      <c r="AD758" t="str">
        <v>自創品牌ADLY多功能休閒車專業製造廠商</v>
      </c>
      <c r="AE758" t="str">
        <f t="array" ref="AE758:AH758">[1]!'8937.TW-CName,InvestorConferenceDate,DateofMeetingofShareHolders,TradingDate'</f>
        <v>合騏</v>
      </c>
      <c r="AF758" t="str">
        <v>--</v>
      </c>
      <c r="AG758" t="str">
        <v>2022/06/22</v>
      </c>
      <c r="AH758" t="str">
        <v>2022/08/01</v>
      </c>
    </row>
    <row r="759" spans="1:34" x14ac:dyDescent="0.3">
      <c r="A759" t="str">
        <f t="array" ref="A759:J759">[1]!'8938.TW-ID,Name,MarketValue,Capital,NetIncomeGrowthRate,OperIncomeGrowthRate,FinancialStatementsTime,TFXRatio,MonthlyNetSalesYoY,RevenueMonth'</f>
        <v>8938</v>
      </c>
      <c r="B759" t="str">
        <v>明安</v>
      </c>
      <c r="C759" t="str">
        <v>112.3</v>
      </c>
      <c r="D759" t="str">
        <v>13.53</v>
      </c>
      <c r="E759" t="str">
        <v>67.25</v>
      </c>
      <c r="F759" t="str">
        <v>26.82</v>
      </c>
      <c r="G759" t="str">
        <v>2022/03</v>
      </c>
      <c r="H759" t="str">
        <v>-5.73</v>
      </c>
      <c r="I759" t="str">
        <v>31.33</v>
      </c>
      <c r="J759" t="str">
        <v>2022/06</v>
      </c>
      <c r="K759" t="str">
        <f t="array" ref="K759:T759">[1]!'8938.TW-OperatingProfitRatio,Price,PriceChangeRatio,InOutRatioNumber,Value,YearReturn,MonthReturn,WeekReturn,FinanceBalanceDif,ChipsField2'</f>
        <v>11.32</v>
      </c>
      <c r="L759">
        <v>83</v>
      </c>
      <c r="M759">
        <v>1.1000000000000001</v>
      </c>
      <c r="N759" t="str">
        <v>54.21%</v>
      </c>
      <c r="O759" t="str">
        <v>5159萬</v>
      </c>
      <c r="P759" t="str">
        <v>+18.61</v>
      </c>
      <c r="Q759" t="str">
        <v>+12.93</v>
      </c>
      <c r="R759" t="str">
        <v>+2.47</v>
      </c>
      <c r="S759">
        <v>13</v>
      </c>
      <c r="T759">
        <v>0</v>
      </c>
      <c r="U759">
        <f t="array" ref="U759:AD759">[1]!'8938.TW-ChipsField3,ChipsField1,ChipsField25,CashAndStockDividend,CashDividendYieldRate,ProfitFourSeason,ProfitSingle,CName,ExchangeIndustry,CompanyPos'</f>
        <v>41</v>
      </c>
      <c r="V759">
        <v>217</v>
      </c>
      <c r="W759" t="str">
        <v>2022/06/22</v>
      </c>
      <c r="X759" t="str">
        <v>5.50</v>
      </c>
      <c r="Y759">
        <v>6.63</v>
      </c>
      <c r="Z759" t="str">
        <v>11.37</v>
      </c>
      <c r="AA759" t="str">
        <v>3.64</v>
      </c>
      <c r="AB759" t="str">
        <v>明安</v>
      </c>
      <c r="AC759" t="str">
        <v>上櫃其他</v>
      </c>
      <c r="AD759" t="str">
        <v>全球第三大高爾夫球桿頭代工廠</v>
      </c>
      <c r="AE759" t="str">
        <f t="array" ref="AE759:AH759">[1]!'8938.TW-CName,InvestorConferenceDate,DateofMeetingofShareHolders,TradingDate'</f>
        <v>明安</v>
      </c>
      <c r="AF759" t="str">
        <v>2021/08/26</v>
      </c>
      <c r="AG759" t="str">
        <v>2022/05/31</v>
      </c>
      <c r="AH759" t="str">
        <v>2022/08/01</v>
      </c>
    </row>
    <row r="760" spans="1:34" x14ac:dyDescent="0.3">
      <c r="A760" t="str">
        <f t="array" ref="A760:J760">[1]!'8942.TW-ID,Name,MarketValue,Capital,NetIncomeGrowthRate,OperIncomeGrowthRate,FinancialStatementsTime,TFXRatio,MonthlyNetSalesYoY,RevenueMonth'</f>
        <v>8942</v>
      </c>
      <c r="B760" t="str">
        <v>森鉅</v>
      </c>
      <c r="C760" t="str">
        <v>110.1</v>
      </c>
      <c r="D760" t="str">
        <v>16.58</v>
      </c>
      <c r="E760" t="str">
        <v>16.41</v>
      </c>
      <c r="F760" t="str">
        <v>56.00</v>
      </c>
      <c r="G760" t="str">
        <v>2022/03</v>
      </c>
      <c r="H760" t="str">
        <v>-6.99</v>
      </c>
      <c r="I760" t="str">
        <v>13.40</v>
      </c>
      <c r="J760" t="str">
        <v>2022/06</v>
      </c>
      <c r="K760" t="str">
        <f t="array" ref="K760:T760">[1]!'8942.TW-OperatingProfitRatio,Price,PriceChangeRatio,InOutRatioNumber,Value,YearReturn,MonthReturn,WeekReturn,FinanceBalanceDif,ChipsField2'</f>
        <v>19.81</v>
      </c>
      <c r="L760">
        <v>66.400000000000006</v>
      </c>
      <c r="M760">
        <v>0.61</v>
      </c>
      <c r="N760" t="str">
        <v>59.55%</v>
      </c>
      <c r="O760" t="str">
        <v>1186萬</v>
      </c>
      <c r="P760" t="str">
        <v>-2.17</v>
      </c>
      <c r="Q760" t="str">
        <v>+7.44</v>
      </c>
      <c r="R760" t="str">
        <v>+3.59</v>
      </c>
      <c r="S760">
        <v>-8</v>
      </c>
      <c r="T760">
        <v>0</v>
      </c>
      <c r="U760">
        <f t="array" ref="U760:AD760">[1]!'8942.TW-ChipsField3,ChipsField1,ChipsField25,CashAndStockDividend,CashDividendYieldRate,ProfitFourSeason,ProfitSingle,CName,ExchangeIndustry,CompanyPos'</f>
        <v>0</v>
      </c>
      <c r="V760">
        <v>86</v>
      </c>
      <c r="W760" t="str">
        <v>2022/05/26</v>
      </c>
      <c r="X760" t="str">
        <v>2.50</v>
      </c>
      <c r="Y760">
        <v>6.02</v>
      </c>
      <c r="Z760" t="str">
        <v>8.17</v>
      </c>
      <c r="AA760" t="str">
        <v>2.51</v>
      </c>
      <c r="AB760" t="str">
        <v>森鉅</v>
      </c>
      <c r="AC760" t="str">
        <v>上櫃其他</v>
      </c>
      <c r="AD760" t="str">
        <v>台灣最大鋁塑複合板製造商</v>
      </c>
      <c r="AE760" t="str">
        <f t="array" ref="AE760:AH760">[1]!'8942.TW-CName,InvestorConferenceDate,DateofMeetingofShareHolders,TradingDate'</f>
        <v>森鉅</v>
      </c>
      <c r="AF760" t="str">
        <v>2021/04/09</v>
      </c>
      <c r="AG760" t="str">
        <v>2022/05/17</v>
      </c>
      <c r="AH760" t="str">
        <v>2022/08/01</v>
      </c>
    </row>
    <row r="761" spans="1:34" x14ac:dyDescent="0.3">
      <c r="A761" t="str">
        <f t="array" ref="A761:J761">[1]!'2926.TW-ID,Name,MarketValue,Capital,NetIncomeGrowthRate,OperIncomeGrowthRate,FinancialStatementsTime,TFXRatio,MonthlyNetSalesYoY,RevenueMonth'</f>
        <v>2926</v>
      </c>
      <c r="B761" t="str">
        <v>誠品生活</v>
      </c>
      <c r="C761" t="str">
        <v>21.0</v>
      </c>
      <c r="D761" t="str">
        <v>4.74</v>
      </c>
      <c r="E761" t="str">
        <v>-152.67</v>
      </c>
      <c r="F761" t="str">
        <v>-179.12</v>
      </c>
      <c r="G761" t="str">
        <v>2022/03</v>
      </c>
      <c r="H761" t="str">
        <v>14.50</v>
      </c>
      <c r="I761" t="str">
        <v>38.78</v>
      </c>
      <c r="J761" t="str">
        <v>2022/06</v>
      </c>
      <c r="K761" t="str">
        <f t="array" ref="K761:T761">[1]!'2926.TW-OperatingProfitRatio,Price,PriceChangeRatio,InOutRatioNumber,Value,YearReturn,MonthReturn,WeekReturn,FinanceBalanceDif,ChipsField2'</f>
        <v>-10.35</v>
      </c>
      <c r="L761">
        <v>44.4</v>
      </c>
      <c r="M761">
        <v>0.45</v>
      </c>
      <c r="N761" t="str">
        <v>92.98%</v>
      </c>
      <c r="O761" t="str">
        <v>254萬</v>
      </c>
      <c r="P761" t="str">
        <v>-28.50</v>
      </c>
      <c r="Q761" t="str">
        <v>-3.48</v>
      </c>
      <c r="R761" t="str">
        <v>-0.22</v>
      </c>
      <c r="S761">
        <v>-2</v>
      </c>
      <c r="T761">
        <v>0</v>
      </c>
      <c r="U761">
        <f t="array" ref="U761:AD761">[1]!'2926.TW-ChipsField3,ChipsField1,ChipsField25,CashAndStockDividend,CashDividendYieldRate,ProfitFourSeason,ProfitSingle,CName,ExchangeIndustry,CompanyPos'</f>
        <v>0</v>
      </c>
      <c r="V761">
        <v>-10</v>
      </c>
      <c r="W761" t="str">
        <v>--</v>
      </c>
      <c r="X761" t="str">
        <v>0.00</v>
      </c>
      <c r="Y761">
        <v>0</v>
      </c>
      <c r="Z761" t="str">
        <v>-5.69</v>
      </c>
      <c r="AA761" t="str">
        <v>-1.46</v>
      </c>
      <c r="AB761" t="str">
        <v>誠品生活</v>
      </c>
      <c r="AC761" t="str">
        <v>上櫃文化創意</v>
      </c>
      <c r="AD761" t="str">
        <v>誠品集團旗下百貨通路及餐旅業者，亦跨足旅館產業</v>
      </c>
      <c r="AE761" t="str">
        <f t="array" ref="AE761:AH761">[1]!'2926.TW-CName,InvestorConferenceDate,DateofMeetingofShareHolders,TradingDate'</f>
        <v>誠品生活</v>
      </c>
      <c r="AF761" t="str">
        <v>2021/09/13</v>
      </c>
      <c r="AG761" t="str">
        <v>2022/05/27</v>
      </c>
      <c r="AH761" t="str">
        <v>2022/08/01</v>
      </c>
    </row>
    <row r="762" spans="1:34" x14ac:dyDescent="0.3">
      <c r="A762" t="str">
        <f t="array" ref="A762:J762">[1]!'3064.TW-ID,Name,MarketValue,Capital,NetIncomeGrowthRate,OperIncomeGrowthRate,FinancialStatementsTime,TFXRatio,MonthlyNetSalesYoY,RevenueMonth'</f>
        <v>3064</v>
      </c>
      <c r="B762" t="str">
        <v>泰偉</v>
      </c>
      <c r="C762" t="str">
        <v>3.3</v>
      </c>
      <c r="D762" t="str">
        <v>4.34</v>
      </c>
      <c r="E762" t="str">
        <v>-268.23</v>
      </c>
      <c r="F762" t="str">
        <v>-256.49</v>
      </c>
      <c r="G762" t="str">
        <v>2022/03</v>
      </c>
      <c r="H762" t="str">
        <v>-0.02</v>
      </c>
      <c r="I762" t="str">
        <v>-59.35</v>
      </c>
      <c r="J762" t="str">
        <v>2022/06</v>
      </c>
      <c r="K762" t="str">
        <f t="array" ref="K762:T762">[1]!'3064.TW-OperatingProfitRatio,Price,PriceChangeRatio,InOutRatioNumber,Value,YearReturn,MonthReturn,WeekReturn,FinanceBalanceDif,ChipsField2'</f>
        <v>-132.68</v>
      </c>
      <c r="L762">
        <v>11.6</v>
      </c>
      <c r="M762">
        <v>5.45</v>
      </c>
      <c r="N762" t="str">
        <v>21.05%</v>
      </c>
      <c r="O762" t="str">
        <v>22.0萬</v>
      </c>
      <c r="P762" t="str">
        <v>-39.43</v>
      </c>
      <c r="Q762" t="str">
        <v>-1.28</v>
      </c>
      <c r="R762" t="str">
        <v>+4.50</v>
      </c>
      <c r="S762">
        <v>0</v>
      </c>
      <c r="T762">
        <v>0</v>
      </c>
      <c r="U762">
        <f t="array" ref="U762:AD762">[1]!'3064.TW-ChipsField3,ChipsField1,ChipsField25,CashAndStockDividend,CashDividendYieldRate,ProfitFourSeason,ProfitSingle,CName,ExchangeIndustry,CompanyPos'</f>
        <v>0</v>
      </c>
      <c r="V762">
        <v>0</v>
      </c>
      <c r="W762" t="str">
        <v>--</v>
      </c>
      <c r="X762" t="str">
        <v>0.00</v>
      </c>
      <c r="Y762">
        <v>0</v>
      </c>
      <c r="Z762" t="str">
        <v>-2.73</v>
      </c>
      <c r="AA762" t="str">
        <v>-1.18</v>
      </c>
      <c r="AB762" t="str">
        <v>泰偉</v>
      </c>
      <c r="AC762" t="str">
        <v>上櫃文化創意</v>
      </c>
      <c r="AD762" t="str">
        <v>大型電玩機台遊戲開發商</v>
      </c>
      <c r="AE762" t="str">
        <f t="array" ref="AE762:AH762">[1]!'3064.TW-CName,InvestorConferenceDate,DateofMeetingofShareHolders,TradingDate'</f>
        <v>泰偉</v>
      </c>
      <c r="AF762" t="str">
        <v>2021/12/16</v>
      </c>
      <c r="AG762" t="str">
        <v>2022/06/15</v>
      </c>
      <c r="AH762" t="str">
        <v>2022/08/01</v>
      </c>
    </row>
    <row r="763" spans="1:34" x14ac:dyDescent="0.3">
      <c r="A763" t="str">
        <f t="array" ref="A763:J763">[1]!'3083.TW-ID,Name,MarketValue,Capital,NetIncomeGrowthRate,OperIncomeGrowthRate,FinancialStatementsTime,TFXRatio,MonthlyNetSalesYoY,RevenueMonth'</f>
        <v>3083</v>
      </c>
      <c r="B763" t="str">
        <v>網龍</v>
      </c>
      <c r="C763" t="str">
        <v>38.3</v>
      </c>
      <c r="D763" t="str">
        <v>8.64</v>
      </c>
      <c r="E763" t="str">
        <v>-0.78</v>
      </c>
      <c r="F763" t="str">
        <v>-5.78</v>
      </c>
      <c r="G763" t="str">
        <v>2022/03</v>
      </c>
      <c r="H763" t="str">
        <v>21.03</v>
      </c>
      <c r="I763" t="str">
        <v>71.17</v>
      </c>
      <c r="J763" t="str">
        <v>2022/06</v>
      </c>
      <c r="K763" t="str">
        <f t="array" ref="K763:T763">[1]!'3083.TW-OperatingProfitRatio,Price,PriceChangeRatio,InOutRatioNumber,Value,YearReturn,MonthReturn,WeekReturn,FinanceBalanceDif,ChipsField2'</f>
        <v>-23.39</v>
      </c>
      <c r="L763">
        <v>44.4</v>
      </c>
      <c r="M763">
        <v>0.45</v>
      </c>
      <c r="N763" t="str">
        <v>47.76%</v>
      </c>
      <c r="O763" t="str">
        <v>305萬</v>
      </c>
      <c r="P763" t="str">
        <v>-14.62</v>
      </c>
      <c r="Q763" t="str">
        <v>+0.45</v>
      </c>
      <c r="R763" t="str">
        <v>-1.11</v>
      </c>
      <c r="S763">
        <v>-3</v>
      </c>
      <c r="T763">
        <v>0</v>
      </c>
      <c r="U763">
        <f t="array" ref="U763:AD763">[1]!'3083.TW-ChipsField3,ChipsField1,ChipsField25,CashAndStockDividend,CashDividendYieldRate,ProfitFourSeason,ProfitSingle,CName,ExchangeIndustry,CompanyPos'</f>
        <v>0</v>
      </c>
      <c r="V763">
        <v>-2</v>
      </c>
      <c r="W763" t="str">
        <v>--</v>
      </c>
      <c r="X763" t="str">
        <v>0.00</v>
      </c>
      <c r="Y763">
        <v>0</v>
      </c>
      <c r="Z763" t="str">
        <v>-0.45</v>
      </c>
      <c r="AA763" t="str">
        <v>-0.18</v>
      </c>
      <c r="AB763" t="str">
        <v>網龍</v>
      </c>
      <c r="AC763" t="str">
        <v>上櫃文化創意</v>
      </c>
      <c r="AD763" t="str">
        <v>智冠旗下線上遊戲開發商</v>
      </c>
      <c r="AE763" t="str">
        <f t="array" ref="AE763:AH763">[1]!'3083.TW-CName,InvestorConferenceDate,DateofMeetingofShareHolders,TradingDate'</f>
        <v>網龍</v>
      </c>
      <c r="AF763" t="str">
        <v>2021/03/30</v>
      </c>
      <c r="AG763" t="str">
        <v>2022/06/17</v>
      </c>
      <c r="AH763" t="str">
        <v>2022/08/01</v>
      </c>
    </row>
    <row r="764" spans="1:34" x14ac:dyDescent="0.3">
      <c r="A764" t="str">
        <f t="array" ref="A764:J764">[1]!'3086.TW-ID,Name,MarketValue,Capital,NetIncomeGrowthRate,OperIncomeGrowthRate,FinancialStatementsTime,TFXRatio,MonthlyNetSalesYoY,RevenueMonth'</f>
        <v>3086</v>
      </c>
      <c r="B764" t="str">
        <v>華義</v>
      </c>
      <c r="C764" t="str">
        <v>16.8</v>
      </c>
      <c r="D764" t="str">
        <v>1.94</v>
      </c>
      <c r="E764" t="str">
        <v>-73.78</v>
      </c>
      <c r="F764" t="str">
        <v>-92.90</v>
      </c>
      <c r="G764" t="str">
        <v>2022/03</v>
      </c>
      <c r="H764" t="str">
        <v>-12.09</v>
      </c>
      <c r="I764" t="str">
        <v>-50.54</v>
      </c>
      <c r="J764" t="str">
        <v>2022/06</v>
      </c>
      <c r="K764" t="str">
        <f t="array" ref="K764:T764">[1]!'3086.TW-OperatingProfitRatio,Price,PriceChangeRatio,InOutRatioNumber,Value,YearReturn,MonthReturn,WeekReturn,FinanceBalanceDif,ChipsField2'</f>
        <v>4.20</v>
      </c>
      <c r="L764">
        <v>86.8</v>
      </c>
      <c r="M764">
        <v>0.12</v>
      </c>
      <c r="N764" t="str">
        <v>33.33%</v>
      </c>
      <c r="O764" t="str">
        <v>103萬</v>
      </c>
      <c r="P764" t="str">
        <v>-12.32</v>
      </c>
      <c r="Q764" t="str">
        <v>-14.06</v>
      </c>
      <c r="R764" t="str">
        <v>-3.34</v>
      </c>
      <c r="S764">
        <v>-3</v>
      </c>
      <c r="T764">
        <v>0</v>
      </c>
      <c r="U764">
        <f t="array" ref="U764:AD764">[1]!'3086.TW-ChipsField3,ChipsField1,ChipsField25,CashAndStockDividend,CashDividendYieldRate,ProfitFourSeason,ProfitSingle,CName,ExchangeIndustry,CompanyPos'</f>
        <v>0</v>
      </c>
      <c r="V764">
        <v>-2</v>
      </c>
      <c r="W764" t="str">
        <v>--</v>
      </c>
      <c r="X764" t="str">
        <v>3.50</v>
      </c>
      <c r="Y764">
        <v>4.03</v>
      </c>
      <c r="Z764" t="str">
        <v>3.70</v>
      </c>
      <c r="AA764" t="str">
        <v>0.39</v>
      </c>
      <c r="AB764" t="str">
        <v>華義</v>
      </c>
      <c r="AC764" t="str">
        <v>上櫃文化創意</v>
      </c>
      <c r="AD764" t="str">
        <v>台灣知名遊戲軟體業者</v>
      </c>
      <c r="AE764" t="str">
        <f t="array" ref="AE764:AH764">[1]!'3086.TW-CName,InvestorConferenceDate,DateofMeetingofShareHolders,TradingDate'</f>
        <v>華義</v>
      </c>
      <c r="AF764" t="str">
        <v>2021/12/28</v>
      </c>
      <c r="AG764" t="str">
        <v>2022/06/23</v>
      </c>
      <c r="AH764" t="str">
        <v>2022/08/01</v>
      </c>
    </row>
    <row r="765" spans="1:34" x14ac:dyDescent="0.3">
      <c r="A765" t="str">
        <f t="array" ref="A765:J765">[1]!'3293.TW-ID,Name,MarketValue,Capital,NetIncomeGrowthRate,OperIncomeGrowthRate,FinancialStatementsTime,TFXRatio,MonthlyNetSalesYoY,RevenueMonth'</f>
        <v>3293</v>
      </c>
      <c r="B765" t="str">
        <v>鈊象</v>
      </c>
      <c r="C765" t="str">
        <v>488.2</v>
      </c>
      <c r="D765" t="str">
        <v>14.09</v>
      </c>
      <c r="E765" t="str">
        <v>12.00</v>
      </c>
      <c r="F765" t="str">
        <v>0.37</v>
      </c>
      <c r="G765" t="str">
        <v>2022/03</v>
      </c>
      <c r="H765" t="str">
        <v>-10.62</v>
      </c>
      <c r="I765" t="str">
        <v>-6.87</v>
      </c>
      <c r="J765" t="str">
        <v>2022/06</v>
      </c>
      <c r="K765" t="str">
        <f t="array" ref="K765:T765">[1]!'3293.TW-OperatingProfitRatio,Price,PriceChangeRatio,InOutRatioNumber,Value,YearReturn,MonthReturn,WeekReturn,FinanceBalanceDif,ChipsField2'</f>
        <v>49.27</v>
      </c>
      <c r="L765">
        <v>346.5</v>
      </c>
      <c r="M765">
        <v>-2.12</v>
      </c>
      <c r="N765" t="str">
        <v>34.62%</v>
      </c>
      <c r="O765" t="str">
        <v>2.88億</v>
      </c>
      <c r="P765" t="str">
        <v>-9.55</v>
      </c>
      <c r="Q765" t="str">
        <v>+0.73</v>
      </c>
      <c r="R765" t="str">
        <v>-6.17</v>
      </c>
      <c r="S765">
        <v>48</v>
      </c>
      <c r="T765">
        <v>8</v>
      </c>
      <c r="U765">
        <f t="array" ref="U765:AD765">[1]!'3293.TW-ChipsField3,ChipsField1,ChipsField25,CashAndStockDividend,CashDividendYieldRate,ProfitFourSeason,ProfitSingle,CName,ExchangeIndustry,CompanyPos'</f>
        <v>-52</v>
      </c>
      <c r="V765">
        <v>-240</v>
      </c>
      <c r="W765" t="str">
        <v>2022/07/27</v>
      </c>
      <c r="X765" t="str">
        <v>60.00</v>
      </c>
      <c r="Y765">
        <v>17.32</v>
      </c>
      <c r="Z765" t="str">
        <v>69.22</v>
      </c>
      <c r="AA765" t="str">
        <v>18.74</v>
      </c>
      <c r="AB765" t="str">
        <v>鈊象</v>
      </c>
      <c r="AC765" t="str">
        <v>上櫃文化創意</v>
      </c>
      <c r="AD765" t="str">
        <v>台灣最大商用遊戲機開發商</v>
      </c>
      <c r="AE765" t="str">
        <f t="array" ref="AE765:AH765">[1]!'3293.TW-CName,InvestorConferenceDate,DateofMeetingofShareHolders,TradingDate'</f>
        <v>鈊象</v>
      </c>
      <c r="AF765" t="str">
        <v>2022/03/25</v>
      </c>
      <c r="AG765" t="str">
        <v>2022/06/27</v>
      </c>
      <c r="AH765" t="str">
        <v>2022/08/01</v>
      </c>
    </row>
    <row r="766" spans="1:34" x14ac:dyDescent="0.3">
      <c r="A766" t="str">
        <f t="array" ref="A766:J766">[1]!'3546.TW-ID,Name,MarketValue,Capital,NetIncomeGrowthRate,OperIncomeGrowthRate,FinancialStatementsTime,TFXRatio,MonthlyNetSalesYoY,RevenueMonth'</f>
        <v>3546</v>
      </c>
      <c r="B766" t="str">
        <v>宇峻</v>
      </c>
      <c r="C766" t="str">
        <v>33.1</v>
      </c>
      <c r="D766" t="str">
        <v>4.82</v>
      </c>
      <c r="E766" t="str">
        <v>-22.93</v>
      </c>
      <c r="F766" t="str">
        <v>-52.22</v>
      </c>
      <c r="G766" t="str">
        <v>2022/03</v>
      </c>
      <c r="H766" t="str">
        <v>-22.33</v>
      </c>
      <c r="I766" t="str">
        <v>-31.13</v>
      </c>
      <c r="J766" t="str">
        <v>2022/06</v>
      </c>
      <c r="K766" t="str">
        <f t="array" ref="K766:T766">[1]!'3546.TW-OperatingProfitRatio,Price,PriceChangeRatio,InOutRatioNumber,Value,YearReturn,MonthReturn,WeekReturn,FinanceBalanceDif,ChipsField2'</f>
        <v>8.28</v>
      </c>
      <c r="L766">
        <v>68.8</v>
      </c>
      <c r="M766">
        <v>0.44</v>
      </c>
      <c r="N766" t="str">
        <v>52.78%</v>
      </c>
      <c r="O766" t="str">
        <v>254萬</v>
      </c>
      <c r="P766" t="str">
        <v>-11.89</v>
      </c>
      <c r="Q766" t="str">
        <v>+1.15</v>
      </c>
      <c r="R766" t="str">
        <v>-0.58</v>
      </c>
      <c r="S766">
        <v>-3</v>
      </c>
      <c r="T766">
        <v>0</v>
      </c>
      <c r="U766">
        <f t="array" ref="U766:AD766">[1]!'3546.TW-ChipsField3,ChipsField1,ChipsField25,CashAndStockDividend,CashDividendYieldRate,ProfitFourSeason,ProfitSingle,CName,ExchangeIndustry,CompanyPos'</f>
        <v>0</v>
      </c>
      <c r="V766">
        <v>-1</v>
      </c>
      <c r="W766" t="str">
        <v>2022/07/15</v>
      </c>
      <c r="X766" t="str">
        <v>5.00</v>
      </c>
      <c r="Y766">
        <v>7.27</v>
      </c>
      <c r="Z766" t="str">
        <v>5.81</v>
      </c>
      <c r="AA766" t="str">
        <v>0.91</v>
      </c>
      <c r="AB766" t="str">
        <v>宇峻</v>
      </c>
      <c r="AC766" t="str">
        <v>上櫃文化創意</v>
      </c>
      <c r="AD766" t="str">
        <v>台灣知名線上遊戲開發商</v>
      </c>
      <c r="AE766" t="str">
        <f t="array" ref="AE766:AH766">[1]!'3546.TW-CName,InvestorConferenceDate,DateofMeetingofShareHolders,TradingDate'</f>
        <v>宇峻</v>
      </c>
      <c r="AF766" t="str">
        <v>--</v>
      </c>
      <c r="AG766" t="str">
        <v>2022/06/29</v>
      </c>
      <c r="AH766" t="str">
        <v>2022/08/01</v>
      </c>
    </row>
    <row r="767" spans="1:34" x14ac:dyDescent="0.3">
      <c r="A767" t="str">
        <f t="array" ref="A767:J767">[1]!'3629.TW-ID,Name,MarketValue,Capital,NetIncomeGrowthRate,OperIncomeGrowthRate,FinancialStatementsTime,TFXRatio,MonthlyNetSalesYoY,RevenueMonth'</f>
        <v>3629</v>
      </c>
      <c r="B767" t="str">
        <v>地心引力</v>
      </c>
      <c r="C767" t="str">
        <v>15.8</v>
      </c>
      <c r="D767" t="str">
        <v>3.36</v>
      </c>
      <c r="E767" t="str">
        <v>-587.08</v>
      </c>
      <c r="F767" t="str">
        <v>-110.58</v>
      </c>
      <c r="G767" t="str">
        <v>2022/03</v>
      </c>
      <c r="H767" t="str">
        <v>-4.33</v>
      </c>
      <c r="I767" t="str">
        <v>-86.36</v>
      </c>
      <c r="J767" t="str">
        <v>2022/06</v>
      </c>
      <c r="K767" t="str">
        <f t="array" ref="K767:T767">[1]!'3629.TW-OperatingProfitRatio,Price,PriceChangeRatio,InOutRatioNumber,Value,YearReturn,MonthReturn,WeekReturn,FinanceBalanceDif,ChipsField2'</f>
        <v>-103.03</v>
      </c>
      <c r="L767">
        <v>47.15</v>
      </c>
      <c r="M767">
        <v>7.89</v>
      </c>
      <c r="N767" t="str">
        <v>100.00%</v>
      </c>
      <c r="O767" t="str">
        <v>4.71萬</v>
      </c>
      <c r="P767" t="str">
        <v>-19.68</v>
      </c>
      <c r="Q767" t="str">
        <v>+9.02</v>
      </c>
      <c r="R767" t="str">
        <v>+5.96</v>
      </c>
      <c r="S767">
        <v>0</v>
      </c>
      <c r="T767">
        <v>0</v>
      </c>
      <c r="U767">
        <f t="array" ref="U767:AD767">[1]!'3629.TW-ChipsField3,ChipsField1,ChipsField25,CashAndStockDividend,CashDividendYieldRate,ProfitFourSeason,ProfitSingle,CName,ExchangeIndustry,CompanyPos'</f>
        <v>0</v>
      </c>
      <c r="V767">
        <v>0</v>
      </c>
      <c r="W767" t="str">
        <v>--</v>
      </c>
      <c r="X767" t="str">
        <v>0.00</v>
      </c>
      <c r="Y767">
        <v>0</v>
      </c>
      <c r="Z767" t="str">
        <v>-6.55</v>
      </c>
      <c r="AA767" t="str">
        <v>-1.38</v>
      </c>
      <c r="AB767" t="str">
        <v>地心引力</v>
      </c>
      <c r="AC767" t="str">
        <v>上櫃文化創意</v>
      </c>
      <c r="AD767" t="str">
        <v>轉型為手機遊戲代理運營商</v>
      </c>
      <c r="AE767" t="str">
        <f t="array" ref="AE767:AH767">[1]!'3629.TW-CName,InvestorConferenceDate,DateofMeetingofShareHolders,TradingDate'</f>
        <v>地心引力</v>
      </c>
      <c r="AF767" t="str">
        <v>2021/10/26</v>
      </c>
      <c r="AG767" t="str">
        <v>2022/06/15</v>
      </c>
      <c r="AH767" t="str">
        <v>2022/08/01</v>
      </c>
    </row>
    <row r="768" spans="1:34" x14ac:dyDescent="0.3">
      <c r="A768" t="str">
        <f t="array" ref="A768:J768">[1]!'4806.TW-ID,Name,MarketValue,Capital,NetIncomeGrowthRate,OperIncomeGrowthRate,FinancialStatementsTime,TFXRatio,MonthlyNetSalesYoY,RevenueMonth'</f>
        <v>4806</v>
      </c>
      <c r="B768" t="str">
        <v>昇華</v>
      </c>
      <c r="C768" t="str">
        <v>6.0</v>
      </c>
      <c r="D768" t="str">
        <v>5.42</v>
      </c>
      <c r="E768" t="str">
        <v>48.26</v>
      </c>
      <c r="F768" t="str">
        <v>51.07</v>
      </c>
      <c r="G768" t="str">
        <v>2022/03</v>
      </c>
      <c r="H768" t="str">
        <v>40.00</v>
      </c>
      <c r="I768" t="str">
        <v>--</v>
      </c>
      <c r="J768" t="str">
        <v>2022/06</v>
      </c>
      <c r="K768" t="str">
        <f t="array" ref="K768:T768">[1]!'4806.TW-OperatingProfitRatio,Price,PriceChangeRatio,InOutRatioNumber,Value,YearReturn,MonthReturn,WeekReturn,FinanceBalanceDif,ChipsField2'</f>
        <v>--</v>
      </c>
      <c r="L768">
        <v>11.45</v>
      </c>
      <c r="M768">
        <v>2.69</v>
      </c>
      <c r="N768" t="str">
        <v>100.00%</v>
      </c>
      <c r="O768" t="str">
        <v>1.15萬</v>
      </c>
      <c r="P768" t="str">
        <v>+2.23</v>
      </c>
      <c r="Q768" t="str">
        <v>+17.56</v>
      </c>
      <c r="R768" t="str">
        <v>+9.57</v>
      </c>
      <c r="S768">
        <v>0</v>
      </c>
      <c r="T768">
        <v>0</v>
      </c>
      <c r="U768">
        <f t="array" ref="U768:AD768">[1]!'4806.TW-ChipsField3,ChipsField1,ChipsField25,CashAndStockDividend,CashDividendYieldRate,ProfitFourSeason,ProfitSingle,CName,ExchangeIndustry,CompanyPos'</f>
        <v>0</v>
      </c>
      <c r="V768">
        <v>0</v>
      </c>
      <c r="W768" t="str">
        <v>--</v>
      </c>
      <c r="X768" t="str">
        <v>0.00</v>
      </c>
      <c r="Y768">
        <v>0</v>
      </c>
      <c r="Z768" t="str">
        <v>-3.62</v>
      </c>
      <c r="AA768" t="str">
        <v>-0.43</v>
      </c>
      <c r="AB768" t="str">
        <v>昇華</v>
      </c>
      <c r="AC768" t="str">
        <v>上櫃文化創意</v>
      </c>
      <c r="AD768" t="str">
        <v>台灣第一家掛牌電視劇製作公司</v>
      </c>
      <c r="AE768" t="str">
        <f t="array" ref="AE768:AH768">[1]!'4806.TW-CName,InvestorConferenceDate,DateofMeetingofShareHolders,TradingDate'</f>
        <v>昇華</v>
      </c>
      <c r="AF768" t="str">
        <v>2021/12/23</v>
      </c>
      <c r="AG768" t="str">
        <v>2022/08/12</v>
      </c>
      <c r="AH768" t="str">
        <v>2022/08/01</v>
      </c>
    </row>
    <row r="769" spans="1:34" x14ac:dyDescent="0.3">
      <c r="A769" t="str">
        <f t="array" ref="A769:J769">[1]!'4946.TW-ID,Name,MarketValue,Capital,NetIncomeGrowthRate,OperIncomeGrowthRate,FinancialStatementsTime,TFXRatio,MonthlyNetSalesYoY,RevenueMonth'</f>
        <v>4946</v>
      </c>
      <c r="B769" t="str">
        <v>辣椒</v>
      </c>
      <c r="C769" t="str">
        <v>7.2</v>
      </c>
      <c r="D769" t="str">
        <v>1.40</v>
      </c>
      <c r="E769" t="str">
        <v>-222.59</v>
      </c>
      <c r="F769" t="str">
        <v>-12.81</v>
      </c>
      <c r="G769" t="str">
        <v>2022/03</v>
      </c>
      <c r="H769" t="str">
        <v>-47.97</v>
      </c>
      <c r="I769" t="str">
        <v>83.83</v>
      </c>
      <c r="J769" t="str">
        <v>2022/06</v>
      </c>
      <c r="K769" t="str">
        <f t="array" ref="K769:T769">[1]!'4946.TW-OperatingProfitRatio,Price,PriceChangeRatio,InOutRatioNumber,Value,YearReturn,MonthReturn,WeekReturn,FinanceBalanceDif,ChipsField2'</f>
        <v>-65.89</v>
      </c>
      <c r="L769">
        <v>51.2</v>
      </c>
      <c r="M769">
        <v>-1.92</v>
      </c>
      <c r="N769" t="str">
        <v>13.79%</v>
      </c>
      <c r="O769" t="str">
        <v>149萬</v>
      </c>
      <c r="P769" t="str">
        <v>+46.92</v>
      </c>
      <c r="Q769" t="str">
        <v>-15.65</v>
      </c>
      <c r="R769" t="str">
        <v>-1.16</v>
      </c>
      <c r="S769">
        <v>0</v>
      </c>
      <c r="T769">
        <v>0</v>
      </c>
      <c r="U769">
        <f t="array" ref="U769:AD769">[1]!'4946.TW-ChipsField3,ChipsField1,ChipsField25,CashAndStockDividend,CashDividendYieldRate,ProfitFourSeason,ProfitSingle,CName,ExchangeIndustry,CompanyPos'</f>
        <v>0</v>
      </c>
      <c r="V769">
        <v>9</v>
      </c>
      <c r="W769" t="str">
        <v>--</v>
      </c>
      <c r="X769" t="str">
        <v>0.00</v>
      </c>
      <c r="Y769">
        <v>0</v>
      </c>
      <c r="Z769" t="str">
        <v>-1.13</v>
      </c>
      <c r="AA769" t="str">
        <v>-1.59</v>
      </c>
      <c r="AB769" t="str">
        <v>辣椒</v>
      </c>
      <c r="AC769" t="str">
        <v>上櫃文化創意</v>
      </c>
      <c r="AD769" t="str">
        <v>台灣知名休閒遊戲運營商</v>
      </c>
      <c r="AE769" t="str">
        <f t="array" ref="AE769:AH769">[1]!'4946.TW-CName,InvestorConferenceDate,DateofMeetingofShareHolders,TradingDate'</f>
        <v>辣椒</v>
      </c>
      <c r="AF769" t="str">
        <v>2021/12/29</v>
      </c>
      <c r="AG769" t="str">
        <v>2022/06/23</v>
      </c>
      <c r="AH769" t="str">
        <v>2022/08/01</v>
      </c>
    </row>
    <row r="770" spans="1:34" x14ac:dyDescent="0.3">
      <c r="A770" t="str">
        <f t="array" ref="A770:J770">[1]!'5263.TW-ID,Name,MarketValue,Capital,NetIncomeGrowthRate,OperIncomeGrowthRate,FinancialStatementsTime,TFXRatio,MonthlyNetSalesYoY,RevenueMonth'</f>
        <v>5263</v>
      </c>
      <c r="B770" t="str">
        <v>智崴</v>
      </c>
      <c r="C770" t="str">
        <v>75.6</v>
      </c>
      <c r="D770" t="str">
        <v>6.10</v>
      </c>
      <c r="E770" t="str">
        <v>59.77</v>
      </c>
      <c r="F770" t="str">
        <v>-88.43</v>
      </c>
      <c r="G770" t="str">
        <v>2022/03</v>
      </c>
      <c r="H770" t="str">
        <v>14.79</v>
      </c>
      <c r="I770" t="str">
        <v>0.87</v>
      </c>
      <c r="J770" t="str">
        <v>2022/06</v>
      </c>
      <c r="K770" t="str">
        <f t="array" ref="K770:T770">[1]!'5263.TW-OperatingProfitRatio,Price,PriceChangeRatio,InOutRatioNumber,Value,YearReturn,MonthReturn,WeekReturn,FinanceBalanceDif,ChipsField2'</f>
        <v>-26.37</v>
      </c>
      <c r="L770">
        <v>124</v>
      </c>
      <c r="M770">
        <v>2.06</v>
      </c>
      <c r="N770" t="str">
        <v>62.63%</v>
      </c>
      <c r="O770" t="str">
        <v>3474萬</v>
      </c>
      <c r="P770" t="str">
        <v>-5.70</v>
      </c>
      <c r="Q770" t="str">
        <v>+16.98</v>
      </c>
      <c r="R770" t="str">
        <v>+4.20</v>
      </c>
      <c r="S770">
        <v>-8</v>
      </c>
      <c r="T770">
        <v>0</v>
      </c>
      <c r="U770">
        <f t="array" ref="U770:AD770">[1]!'5263.TW-ChipsField3,ChipsField1,ChipsField25,CashAndStockDividend,CashDividendYieldRate,ProfitFourSeason,ProfitSingle,CName,ExchangeIndustry,CompanyPos'</f>
        <v>-2</v>
      </c>
      <c r="V770">
        <v>37</v>
      </c>
      <c r="W770" t="str">
        <v>--</v>
      </c>
      <c r="X770" t="str">
        <v>0.00</v>
      </c>
      <c r="Y770">
        <v>0</v>
      </c>
      <c r="Z770" t="str">
        <v>-1.96</v>
      </c>
      <c r="AA770" t="str">
        <v>-0.20</v>
      </c>
      <c r="AB770" t="str">
        <v>智崴</v>
      </c>
      <c r="AC770" t="str">
        <v>上櫃文化創意</v>
      </c>
      <c r="AD770" t="str">
        <v>台灣最大體感遊戲設備商</v>
      </c>
      <c r="AE770" t="str">
        <f t="array" ref="AE770:AH770">[1]!'5263.TW-CName,InvestorConferenceDate,DateofMeetingofShareHolders,TradingDate'</f>
        <v>智崴</v>
      </c>
      <c r="AF770" t="str">
        <v>2022/01/04</v>
      </c>
      <c r="AG770" t="str">
        <v>2022/05/27</v>
      </c>
      <c r="AH770" t="str">
        <v>2022/08/01</v>
      </c>
    </row>
    <row r="771" spans="1:34" x14ac:dyDescent="0.3">
      <c r="A771" t="str">
        <f t="array" ref="A771:J771">[1]!'5478.TW-ID,Name,MarketValue,Capital,NetIncomeGrowthRate,OperIncomeGrowthRate,FinancialStatementsTime,TFXRatio,MonthlyNetSalesYoY,RevenueMonth'</f>
        <v>5478</v>
      </c>
      <c r="B771" t="str">
        <v>智冠</v>
      </c>
      <c r="C771" t="str">
        <v>94.7</v>
      </c>
      <c r="D771" t="str">
        <v>12.75</v>
      </c>
      <c r="E771" t="str">
        <v>2.12</v>
      </c>
      <c r="F771" t="str">
        <v>-6.50</v>
      </c>
      <c r="G771" t="str">
        <v>2022/03</v>
      </c>
      <c r="H771" t="str">
        <v>-2.13</v>
      </c>
      <c r="I771" t="str">
        <v>-33.52</v>
      </c>
      <c r="J771" t="str">
        <v>2022/06</v>
      </c>
      <c r="K771" t="str">
        <f t="array" ref="K771:T771">[1]!'5478.TW-OperatingProfitRatio,Price,PriceChangeRatio,InOutRatioNumber,Value,YearReturn,MonthReturn,WeekReturn,FinanceBalanceDif,ChipsField2'</f>
        <v>15.49</v>
      </c>
      <c r="L771">
        <v>74.3</v>
      </c>
      <c r="M771">
        <v>0.54</v>
      </c>
      <c r="N771" t="str">
        <v>51.16%</v>
      </c>
      <c r="O771" t="str">
        <v>318萬</v>
      </c>
      <c r="P771" t="str">
        <v>-19.14</v>
      </c>
      <c r="Q771" t="str">
        <v>-3.88</v>
      </c>
      <c r="R771" t="str">
        <v>-0.93</v>
      </c>
      <c r="S771">
        <v>-2</v>
      </c>
      <c r="T771">
        <v>0</v>
      </c>
      <c r="U771">
        <f t="array" ref="U771:AD771">[1]!'5478.TW-ChipsField3,ChipsField1,ChipsField25,CashAndStockDividend,CashDividendYieldRate,ProfitFourSeason,ProfitSingle,CName,ExchangeIndustry,CompanyPos'</f>
        <v>0</v>
      </c>
      <c r="V771">
        <v>-4</v>
      </c>
      <c r="W771" t="str">
        <v>2022/04/21</v>
      </c>
      <c r="X771" t="str">
        <v>5.20</v>
      </c>
      <c r="Y771">
        <v>7</v>
      </c>
      <c r="Z771" t="str">
        <v>6.85</v>
      </c>
      <c r="AA771" t="str">
        <v>1.58</v>
      </c>
      <c r="AB771" t="str">
        <v>智冠</v>
      </c>
      <c r="AC771" t="str">
        <v>上櫃文化創意</v>
      </c>
      <c r="AD771" t="str">
        <v>台灣最大遊戲公司，橫跨研發、營運和通路行銷等業務</v>
      </c>
      <c r="AE771" t="str">
        <f t="array" ref="AE771:AH771">[1]!'5478.TW-CName,InvestorConferenceDate,DateofMeetingofShareHolders,TradingDate'</f>
        <v>智冠</v>
      </c>
      <c r="AF771" t="str">
        <v>2021/03/30</v>
      </c>
      <c r="AG771" t="str">
        <v>2022/06/21</v>
      </c>
      <c r="AH771" t="str">
        <v>2022/08/01</v>
      </c>
    </row>
    <row r="772" spans="1:34" x14ac:dyDescent="0.3">
      <c r="A772" t="str">
        <f t="array" ref="A772:J772">[1]!'6101.TW-ID,Name,MarketValue,Capital,NetIncomeGrowthRate,OperIncomeGrowthRate,FinancialStatementsTime,TFXRatio,MonthlyNetSalesYoY,RevenueMonth'</f>
        <v>6101</v>
      </c>
      <c r="B772" t="str">
        <v>寬魚國際</v>
      </c>
      <c r="C772" t="str">
        <v>24.4</v>
      </c>
      <c r="D772" t="str">
        <v>11.64</v>
      </c>
      <c r="E772" t="str">
        <v>36.82</v>
      </c>
      <c r="F772" t="str">
        <v>-2.36</v>
      </c>
      <c r="G772" t="str">
        <v>2022/03</v>
      </c>
      <c r="H772" t="str">
        <v>14.00</v>
      </c>
      <c r="I772" t="str">
        <v>-46.23</v>
      </c>
      <c r="J772" t="str">
        <v>2022/06</v>
      </c>
      <c r="K772" t="str">
        <f t="array" ref="K772:T772">[1]!'6101.TW-OperatingProfitRatio,Price,PriceChangeRatio,InOutRatioNumber,Value,YearReturn,MonthReturn,WeekReturn,FinanceBalanceDif,ChipsField2'</f>
        <v>-35.45</v>
      </c>
      <c r="L772">
        <v>21</v>
      </c>
      <c r="M772">
        <v>-1.41</v>
      </c>
      <c r="N772" t="str">
        <v>60.00%</v>
      </c>
      <c r="O772" t="str">
        <v>12.6萬</v>
      </c>
      <c r="P772" t="str">
        <v>+7.97</v>
      </c>
      <c r="Q772" t="str">
        <v>+2.94</v>
      </c>
      <c r="R772" t="str">
        <v>-3.67</v>
      </c>
      <c r="S772">
        <v>0</v>
      </c>
      <c r="T772">
        <v>0</v>
      </c>
      <c r="U772">
        <f t="array" ref="U772:AD772">[1]!'6101.TW-ChipsField3,ChipsField1,ChipsField25,CashAndStockDividend,CashDividendYieldRate,ProfitFourSeason,ProfitSingle,CName,ExchangeIndustry,CompanyPos'</f>
        <v>0</v>
      </c>
      <c r="V772">
        <v>0</v>
      </c>
      <c r="W772" t="str">
        <v>--</v>
      </c>
      <c r="X772" t="str">
        <v>0.00</v>
      </c>
      <c r="Y772">
        <v>0</v>
      </c>
      <c r="Z772" t="str">
        <v>-0.58</v>
      </c>
      <c r="AA772" t="str">
        <v>-0.08</v>
      </c>
      <c r="AB772" t="str">
        <v>寬魚國際</v>
      </c>
      <c r="AC772" t="str">
        <v>上櫃文化創意</v>
      </c>
      <c r="AD772" t="str">
        <v>從事流行音樂商演、活動賽事舉辦等業務</v>
      </c>
      <c r="AE772" t="str">
        <f t="array" ref="AE772:AH772">[1]!'6101.TW-CName,InvestorConferenceDate,DateofMeetingofShareHolders,TradingDate'</f>
        <v>寬魚國際</v>
      </c>
      <c r="AF772" t="str">
        <v>2021/12/28</v>
      </c>
      <c r="AG772" t="str">
        <v>2022/06/27</v>
      </c>
      <c r="AH772" t="str">
        <v>2022/08/01</v>
      </c>
    </row>
    <row r="773" spans="1:34" x14ac:dyDescent="0.3">
      <c r="A773" t="str">
        <f t="array" ref="A773:J773">[1]!'6111.TW-ID,Name,MarketValue,Capital,NetIncomeGrowthRate,OperIncomeGrowthRate,FinancialStatementsTime,TFXRatio,MonthlyNetSalesYoY,RevenueMonth'</f>
        <v>6111</v>
      </c>
      <c r="B773" t="str">
        <v>大宇資</v>
      </c>
      <c r="C773" t="str">
        <v>54.1</v>
      </c>
      <c r="D773" t="str">
        <v>6.56</v>
      </c>
      <c r="E773" t="str">
        <v>588.43</v>
      </c>
      <c r="F773" t="str">
        <v>991.23</v>
      </c>
      <c r="G773" t="str">
        <v>2022/03</v>
      </c>
      <c r="H773" t="str">
        <v>91.20</v>
      </c>
      <c r="I773" t="str">
        <v>354.08</v>
      </c>
      <c r="J773" t="str">
        <v>2022/06</v>
      </c>
      <c r="K773" t="str">
        <f t="array" ref="K773:T773">[1]!'6111.TW-OperatingProfitRatio,Price,PriceChangeRatio,InOutRatioNumber,Value,YearReturn,MonthReturn,WeekReturn,FinanceBalanceDif,ChipsField2'</f>
        <v>34.47</v>
      </c>
      <c r="L773">
        <v>82.5</v>
      </c>
      <c r="M773">
        <v>0.12</v>
      </c>
      <c r="N773" t="str">
        <v>50.00%</v>
      </c>
      <c r="O773" t="str">
        <v>3226萬</v>
      </c>
      <c r="P773" t="str">
        <v>+16.46</v>
      </c>
      <c r="Q773" t="str">
        <v>+13.01</v>
      </c>
      <c r="R773" t="str">
        <v>-2.94</v>
      </c>
      <c r="S773">
        <v>-13</v>
      </c>
      <c r="T773">
        <v>0</v>
      </c>
      <c r="U773">
        <f t="array" ref="U773:AD773">[1]!'6111.TW-ChipsField3,ChipsField1,ChipsField25,CashAndStockDividend,CashDividendYieldRate,ProfitFourSeason,ProfitSingle,CName,ExchangeIndustry,CompanyPos'</f>
        <v>5</v>
      </c>
      <c r="V773">
        <v>97</v>
      </c>
      <c r="W773" t="str">
        <v>--</v>
      </c>
      <c r="X773" t="str">
        <v>6.00</v>
      </c>
      <c r="Y773">
        <v>7.27</v>
      </c>
      <c r="Z773" t="str">
        <v>14.13</v>
      </c>
      <c r="AA773" t="str">
        <v>2.17</v>
      </c>
      <c r="AB773" t="str">
        <v>大宇資</v>
      </c>
      <c r="AC773" t="str">
        <v>上櫃文化創意</v>
      </c>
      <c r="AD773" t="str">
        <v>台灣以自有品牌自創產品之線上遊戲開發商</v>
      </c>
      <c r="AE773" t="str">
        <f t="array" ref="AE773:AH773">[1]!'6111.TW-CName,InvestorConferenceDate,DateofMeetingofShareHolders,TradingDate'</f>
        <v>大宇資</v>
      </c>
      <c r="AF773" t="str">
        <v>2021/10/20</v>
      </c>
      <c r="AG773" t="str">
        <v>2022/05/27</v>
      </c>
      <c r="AH773" t="str">
        <v>2022/08/01</v>
      </c>
    </row>
    <row r="774" spans="1:34" x14ac:dyDescent="0.3">
      <c r="A774" t="str">
        <f t="array" ref="A774:J774">[1]!'6144.TW-ID,Name,MarketValue,Capital,NetIncomeGrowthRate,OperIncomeGrowthRate,FinancialStatementsTime,TFXRatio,MonthlyNetSalesYoY,RevenueMonth'</f>
        <v>6144</v>
      </c>
      <c r="B774" t="str">
        <v>得利影</v>
      </c>
      <c r="C774" t="str">
        <v>5.2</v>
      </c>
      <c r="D774" t="str">
        <v>3.83</v>
      </c>
      <c r="E774" t="str">
        <v>107.96</v>
      </c>
      <c r="F774" t="str">
        <v>86.80</v>
      </c>
      <c r="G774" t="str">
        <v>2022/03</v>
      </c>
      <c r="H774" t="str">
        <v>25.56</v>
      </c>
      <c r="I774" t="str">
        <v>29.48</v>
      </c>
      <c r="J774" t="str">
        <v>2022/06</v>
      </c>
      <c r="K774" t="str">
        <f t="array" ref="K774:T774">[1]!'6144.TW-OperatingProfitRatio,Price,PriceChangeRatio,InOutRatioNumber,Value,YearReturn,MonthReturn,WeekReturn,FinanceBalanceDif,ChipsField2'</f>
        <v>-0.79</v>
      </c>
      <c r="L774">
        <v>13.7</v>
      </c>
      <c r="M774">
        <v>-2.14</v>
      </c>
      <c r="N774" t="str">
        <v>0.00%</v>
      </c>
      <c r="O774" t="str">
        <v>1.37萬</v>
      </c>
      <c r="P774" t="str">
        <v>-13.29</v>
      </c>
      <c r="Q774" t="str">
        <v>-8.05</v>
      </c>
      <c r="R774" t="str">
        <v>-5.52</v>
      </c>
      <c r="S774">
        <v>0</v>
      </c>
      <c r="T774">
        <v>0</v>
      </c>
      <c r="U774">
        <f t="array" ref="U774:AD774">[1]!'6144.TW-ChipsField3,ChipsField1,ChipsField25,CashAndStockDividend,CashDividendYieldRate,ProfitFourSeason,ProfitSingle,CName,ExchangeIndustry,CompanyPos'</f>
        <v>0</v>
      </c>
      <c r="V774">
        <v>0</v>
      </c>
      <c r="W774" t="str">
        <v>--</v>
      </c>
      <c r="X774" t="str">
        <v>0.00</v>
      </c>
      <c r="Y774">
        <v>0</v>
      </c>
      <c r="Z774" t="str">
        <v>-0.75</v>
      </c>
      <c r="AA774" t="str">
        <v>0.00</v>
      </c>
      <c r="AB774" t="str">
        <v>得利影</v>
      </c>
      <c r="AC774" t="str">
        <v>上櫃文化創意</v>
      </c>
      <c r="AD774" t="str">
        <v>代理美商八大片商及獨立片商DVD及BD在台發行之公司</v>
      </c>
      <c r="AE774" t="str">
        <f t="array" ref="AE774:AH774">[1]!'6144.TW-CName,InvestorConferenceDate,DateofMeetingofShareHolders,TradingDate'</f>
        <v>得利影</v>
      </c>
      <c r="AF774" t="str">
        <v>2021/12/22</v>
      </c>
      <c r="AG774" t="str">
        <v>2022/06/22</v>
      </c>
      <c r="AH774" t="str">
        <v>2022/08/01</v>
      </c>
    </row>
    <row r="775" spans="1:34" x14ac:dyDescent="0.3">
      <c r="A775" t="str">
        <f t="array" ref="A775:J775">[1]!'6169.TW-ID,Name,MarketValue,Capital,NetIncomeGrowthRate,OperIncomeGrowthRate,FinancialStatementsTime,TFXRatio,MonthlyNetSalesYoY,RevenueMonth'</f>
        <v>6169</v>
      </c>
      <c r="B775" t="str">
        <v>昱泉</v>
      </c>
      <c r="C775" t="str">
        <v>4.5</v>
      </c>
      <c r="D775" t="str">
        <v>2.34</v>
      </c>
      <c r="E775" t="str">
        <v>28.97</v>
      </c>
      <c r="F775" t="str">
        <v>-4.43</v>
      </c>
      <c r="G775" t="str">
        <v>2022/03</v>
      </c>
      <c r="H775" t="str">
        <v>-93.05</v>
      </c>
      <c r="I775" t="str">
        <v>-98.89</v>
      </c>
      <c r="J775" t="str">
        <v>2022/06</v>
      </c>
      <c r="K775" t="str">
        <f t="array" ref="K775:T775">[1]!'6169.TW-OperatingProfitRatio,Price,PriceChangeRatio,InOutRatioNumber,Value,YearReturn,MonthReturn,WeekReturn,FinanceBalanceDif,ChipsField2'</f>
        <v>-1992.42</v>
      </c>
      <c r="L775">
        <v>19.3</v>
      </c>
      <c r="M775">
        <v>0</v>
      </c>
      <c r="N775" t="str">
        <v>42.11%</v>
      </c>
      <c r="O775" t="str">
        <v>73.5萬</v>
      </c>
      <c r="P775" t="str">
        <v>-15.35</v>
      </c>
      <c r="Q775" t="str">
        <v>-3.02</v>
      </c>
      <c r="R775" t="str">
        <v>-1.03</v>
      </c>
      <c r="S775">
        <v>0</v>
      </c>
      <c r="T775">
        <v>0</v>
      </c>
      <c r="U775">
        <f t="array" ref="U775:AD775">[1]!'6169.TW-ChipsField3,ChipsField1,ChipsField25,CashAndStockDividend,CashDividendYieldRate,ProfitFourSeason,ProfitSingle,CName,ExchangeIndustry,CompanyPos'</f>
        <v>0</v>
      </c>
      <c r="V775">
        <v>0</v>
      </c>
      <c r="W775" t="str">
        <v>--</v>
      </c>
      <c r="X775" t="str">
        <v>0.00</v>
      </c>
      <c r="Y775">
        <v>0</v>
      </c>
      <c r="Z775" t="str">
        <v>-0.64</v>
      </c>
      <c r="AA775" t="str">
        <v>-0.17</v>
      </c>
      <c r="AB775" t="str">
        <v>昱泉</v>
      </c>
      <c r="AC775" t="str">
        <v>上櫃文化創意</v>
      </c>
      <c r="AD775" t="str">
        <v>台灣網絡遊戲研發及代理商</v>
      </c>
      <c r="AE775" t="str">
        <f t="array" ref="AE775:AH775">[1]!'6169.TW-CName,InvestorConferenceDate,DateofMeetingofShareHolders,TradingDate'</f>
        <v>昱泉</v>
      </c>
      <c r="AF775" t="str">
        <v>2021/12/06</v>
      </c>
      <c r="AG775" t="str">
        <v>2022/06/15</v>
      </c>
      <c r="AH775" t="str">
        <v>2022/08/01</v>
      </c>
    </row>
    <row r="776" spans="1:34" x14ac:dyDescent="0.3">
      <c r="A776" t="str">
        <f t="array" ref="A776:J776">[1]!'6180.TW-ID,Name,MarketValue,Capital,NetIncomeGrowthRate,OperIncomeGrowthRate,FinancialStatementsTime,TFXRatio,MonthlyNetSalesYoY,RevenueMonth'</f>
        <v>6180</v>
      </c>
      <c r="B776" t="str">
        <v>橘子</v>
      </c>
      <c r="C776" t="str">
        <v>105.6</v>
      </c>
      <c r="D776" t="str">
        <v>17.55</v>
      </c>
      <c r="E776" t="str">
        <v>79.39</v>
      </c>
      <c r="F776" t="str">
        <v>82.74</v>
      </c>
      <c r="G776" t="str">
        <v>2022/03</v>
      </c>
      <c r="H776" t="str">
        <v>4.76</v>
      </c>
      <c r="I776" t="str">
        <v>-9.74</v>
      </c>
      <c r="J776" t="str">
        <v>2022/06</v>
      </c>
      <c r="K776" t="str">
        <f t="array" ref="K776:T776">[1]!'6180.TW-OperatingProfitRatio,Price,PriceChangeRatio,InOutRatioNumber,Value,YearReturn,MonthReturn,WeekReturn,FinanceBalanceDif,ChipsField2'</f>
        <v>23.06</v>
      </c>
      <c r="L776">
        <v>60.2</v>
      </c>
      <c r="M776">
        <v>1.52</v>
      </c>
      <c r="N776" t="str">
        <v>72.54%</v>
      </c>
      <c r="O776" t="str">
        <v>2068萬</v>
      </c>
      <c r="P776" t="str">
        <v>+10.12</v>
      </c>
      <c r="Q776" t="str">
        <v>+7.50</v>
      </c>
      <c r="R776" t="str">
        <v>+0.67</v>
      </c>
      <c r="S776">
        <v>40</v>
      </c>
      <c r="T776">
        <v>0</v>
      </c>
      <c r="U776">
        <f t="array" ref="U776:AD776">[1]!'6180.TW-ChipsField3,ChipsField1,ChipsField25,CashAndStockDividend,CashDividendYieldRate,ProfitFourSeason,ProfitSingle,CName,ExchangeIndustry,CompanyPos'</f>
        <v>0</v>
      </c>
      <c r="V776">
        <v>-56</v>
      </c>
      <c r="W776" t="str">
        <v>2022/07/07</v>
      </c>
      <c r="X776" t="str">
        <v>5.00</v>
      </c>
      <c r="Y776">
        <v>8.31</v>
      </c>
      <c r="Z776" t="str">
        <v>7.52</v>
      </c>
      <c r="AA776" t="str">
        <v>2.97</v>
      </c>
      <c r="AB776" t="str">
        <v>橘子</v>
      </c>
      <c r="AC776" t="str">
        <v>上櫃文化創意</v>
      </c>
      <c r="AD776" t="str">
        <v>台灣第2大遊戲軟體開發與營運商</v>
      </c>
      <c r="AE776" t="str">
        <f t="array" ref="AE776:AH776">[1]!'6180.TW-CName,InvestorConferenceDate,DateofMeetingofShareHolders,TradingDate'</f>
        <v>橘子</v>
      </c>
      <c r="AF776" t="str">
        <v>2022/05/26</v>
      </c>
      <c r="AG776" t="str">
        <v>2022/06/16</v>
      </c>
      <c r="AH776" t="str">
        <v>2022/08/01</v>
      </c>
    </row>
    <row r="777" spans="1:34" x14ac:dyDescent="0.3">
      <c r="A777" t="str">
        <f t="array" ref="A777:J777">[1]!'6294.TW-ID,Name,MarketValue,Capital,NetIncomeGrowthRate,OperIncomeGrowthRate,FinancialStatementsTime,TFXRatio,MonthlyNetSalesYoY,RevenueMonth'</f>
        <v>6294</v>
      </c>
      <c r="B777" t="str">
        <v>智基</v>
      </c>
      <c r="C777" t="str">
        <v>27.3</v>
      </c>
      <c r="D777" t="str">
        <v>2.46</v>
      </c>
      <c r="E777" t="str">
        <v>-39.99</v>
      </c>
      <c r="F777" t="str">
        <v>-39.05</v>
      </c>
      <c r="G777" t="str">
        <v>2022/03</v>
      </c>
      <c r="H777" t="str">
        <v>3.20</v>
      </c>
      <c r="I777" t="str">
        <v>7.94</v>
      </c>
      <c r="J777" t="str">
        <v>2022/06</v>
      </c>
      <c r="K777" t="str">
        <f t="array" ref="K777:T777">[1]!'6294.TW-OperatingProfitRatio,Price,PriceChangeRatio,InOutRatioNumber,Value,YearReturn,MonthReturn,WeekReturn,FinanceBalanceDif,ChipsField2'</f>
        <v>21.79</v>
      </c>
      <c r="L777">
        <v>111</v>
      </c>
      <c r="M777">
        <v>0</v>
      </c>
      <c r="N777" t="str">
        <v>50.00%</v>
      </c>
      <c r="O777" t="str">
        <v>22.3萬</v>
      </c>
      <c r="P777" t="str">
        <v>-14.11</v>
      </c>
      <c r="Q777" t="str">
        <v>+15.03</v>
      </c>
      <c r="R777" t="str">
        <v>-0.89</v>
      </c>
      <c r="S777">
        <v>1</v>
      </c>
      <c r="T777">
        <v>0</v>
      </c>
      <c r="U777">
        <f t="array" ref="U777:AD777">[1]!'6294.TW-ChipsField3,ChipsField1,ChipsField25,CashAndStockDividend,CashDividendYieldRate,ProfitFourSeason,ProfitSingle,CName,ExchangeIndustry,CompanyPos'</f>
        <v>0</v>
      </c>
      <c r="V777">
        <v>-1</v>
      </c>
      <c r="W777" t="str">
        <v>2022/04/14</v>
      </c>
      <c r="X777" t="str">
        <v>9.50</v>
      </c>
      <c r="Y777">
        <v>8.56</v>
      </c>
      <c r="Z777" t="str">
        <v>10.23</v>
      </c>
      <c r="AA777" t="str">
        <v>1.63</v>
      </c>
      <c r="AB777" t="str">
        <v>智基</v>
      </c>
      <c r="AC777" t="str">
        <v>上櫃文化創意</v>
      </c>
      <c r="AD777" t="str">
        <v>以公職、技術人員、研究所入學考試為主補教業者</v>
      </c>
      <c r="AE777" t="str">
        <f t="array" ref="AE777:AH777">[1]!'6294.TW-CName,InvestorConferenceDate,DateofMeetingofShareHolders,TradingDate'</f>
        <v>智基</v>
      </c>
      <c r="AF777" t="str">
        <v>--</v>
      </c>
      <c r="AG777" t="str">
        <v>2022/06/16</v>
      </c>
      <c r="AH777" t="str">
        <v>2022/08/01</v>
      </c>
    </row>
    <row r="778" spans="1:34" x14ac:dyDescent="0.3">
      <c r="A778" t="str">
        <f t="array" ref="A778:J778">[1]!'6482.TW-ID,Name,MarketValue,Capital,NetIncomeGrowthRate,OperIncomeGrowthRate,FinancialStatementsTime,TFXRatio,MonthlyNetSalesYoY,RevenueMonth'</f>
        <v>6482</v>
      </c>
      <c r="B778" t="str">
        <v>弘煜科</v>
      </c>
      <c r="C778" t="str">
        <v>7.6</v>
      </c>
      <c r="D778" t="str">
        <v>1.71</v>
      </c>
      <c r="E778" t="str">
        <v>103.06</v>
      </c>
      <c r="F778" t="str">
        <v>47.91</v>
      </c>
      <c r="G778" t="str">
        <v>2022/03</v>
      </c>
      <c r="H778" t="str">
        <v>6.55</v>
      </c>
      <c r="I778" t="str">
        <v>26.02</v>
      </c>
      <c r="J778" t="str">
        <v>2022/06</v>
      </c>
      <c r="K778" t="str">
        <f t="array" ref="K778:T778">[1]!'6482.TW-OperatingProfitRatio,Price,PriceChangeRatio,InOutRatioNumber,Value,YearReturn,MonthReturn,WeekReturn,FinanceBalanceDif,ChipsField2'</f>
        <v>14.49</v>
      </c>
      <c r="L778">
        <v>44.5</v>
      </c>
      <c r="M778">
        <v>2.2999999999999998</v>
      </c>
      <c r="N778" t="str">
        <v>85.71%</v>
      </c>
      <c r="O778" t="str">
        <v>64.0萬</v>
      </c>
      <c r="P778" t="str">
        <v>-6.32</v>
      </c>
      <c r="Q778" t="str">
        <v>+1.37</v>
      </c>
      <c r="R778" t="str">
        <v>+5.95</v>
      </c>
      <c r="S778">
        <v>0</v>
      </c>
      <c r="T778">
        <v>0</v>
      </c>
      <c r="U778">
        <f t="array" ref="U778:AD778">[1]!'6482.TW-ChipsField3,ChipsField1,ChipsField25,CashAndStockDividend,CashDividendYieldRate,ProfitFourSeason,ProfitSingle,CName,ExchangeIndustry,CompanyPos'</f>
        <v>0</v>
      </c>
      <c r="V778">
        <v>0</v>
      </c>
      <c r="W778" t="str">
        <v>--</v>
      </c>
      <c r="X778" t="str">
        <v>1.00</v>
      </c>
      <c r="Y778">
        <v>2.25</v>
      </c>
      <c r="Z778" t="str">
        <v>1.73</v>
      </c>
      <c r="AA778" t="str">
        <v>0.75</v>
      </c>
      <c r="AB778" t="str">
        <v>弘煜科</v>
      </c>
      <c r="AC778" t="str">
        <v>上櫃文化創意</v>
      </c>
      <c r="AD778" t="str">
        <v>智冠、宇峻轉投資的網頁及手機遊戲廠</v>
      </c>
      <c r="AE778" t="str">
        <f t="array" ref="AE778:AH778">[1]!'6482.TW-CName,InvestorConferenceDate,DateofMeetingofShareHolders,TradingDate'</f>
        <v>弘煜科</v>
      </c>
      <c r="AF778" t="str">
        <v>--</v>
      </c>
      <c r="AG778" t="str">
        <v>2022/06/13</v>
      </c>
      <c r="AH778" t="str">
        <v>2022/08/01</v>
      </c>
    </row>
    <row r="779" spans="1:34" x14ac:dyDescent="0.3">
      <c r="A779" t="str">
        <f t="array" ref="A779:J779">[1]!'6542.TW-ID,Name,MarketValue,Capital,NetIncomeGrowthRate,OperIncomeGrowthRate,FinancialStatementsTime,TFXRatio,MonthlyNetSalesYoY,RevenueMonth'</f>
        <v>6542</v>
      </c>
      <c r="B779" t="str">
        <v>隆中</v>
      </c>
      <c r="C779" t="str">
        <v>20.8</v>
      </c>
      <c r="D779" t="str">
        <v>4.20</v>
      </c>
      <c r="E779" t="str">
        <v>76.35</v>
      </c>
      <c r="F779" t="str">
        <v>160.79</v>
      </c>
      <c r="G779" t="str">
        <v>2022/03</v>
      </c>
      <c r="H779" t="str">
        <v>-1.35</v>
      </c>
      <c r="I779" t="str">
        <v>-10.08</v>
      </c>
      <c r="J779" t="str">
        <v>2022/06</v>
      </c>
      <c r="K779" t="str">
        <f t="array" ref="K779:T779">[1]!'6542.TW-OperatingProfitRatio,Price,PriceChangeRatio,InOutRatioNumber,Value,YearReturn,MonthReturn,WeekReturn,FinanceBalanceDif,ChipsField2'</f>
        <v>15.13</v>
      </c>
      <c r="L779">
        <v>49.55</v>
      </c>
      <c r="M779">
        <v>-0.7</v>
      </c>
      <c r="N779" t="str">
        <v>0.00%</v>
      </c>
      <c r="O779" t="str">
        <v>9.91萬</v>
      </c>
      <c r="P779" t="str">
        <v>-31.18</v>
      </c>
      <c r="Q779" t="str">
        <v>-14.42</v>
      </c>
      <c r="R779" t="str">
        <v>-1.29</v>
      </c>
      <c r="S779">
        <v>-1</v>
      </c>
      <c r="T779">
        <v>0</v>
      </c>
      <c r="U779">
        <f t="array" ref="U779:AD779">[1]!'6542.TW-ChipsField3,ChipsField1,ChipsField25,CashAndStockDividend,CashDividendYieldRate,ProfitFourSeason,ProfitSingle,CName,ExchangeIndustry,CompanyPos'</f>
        <v>0</v>
      </c>
      <c r="V779">
        <v>1</v>
      </c>
      <c r="W779" t="str">
        <v>--</v>
      </c>
      <c r="X779" t="str">
        <v>0.00</v>
      </c>
      <c r="Y779">
        <v>0</v>
      </c>
      <c r="Z779" t="str">
        <v>-3.56</v>
      </c>
      <c r="AA779" t="str">
        <v>0.76</v>
      </c>
      <c r="AB779" t="str">
        <v>隆中</v>
      </c>
      <c r="AC779" t="str">
        <v>上櫃文化創意</v>
      </c>
      <c r="AD779" t="str">
        <v>國內手機遊戲代理營運商</v>
      </c>
      <c r="AE779" t="str">
        <f t="array" ref="AE779:AH779">[1]!'6542.TW-CName,InvestorConferenceDate,DateofMeetingofShareHolders,TradingDate'</f>
        <v>隆中</v>
      </c>
      <c r="AF779" t="str">
        <v>2021/12/17</v>
      </c>
      <c r="AG779" t="str">
        <v>2022/06/21</v>
      </c>
      <c r="AH779" t="str">
        <v>2022/08/01</v>
      </c>
    </row>
    <row r="780" spans="1:34" x14ac:dyDescent="0.3">
      <c r="A780" t="str">
        <f t="array" ref="A780:J780">[1]!'6596.TW-ID,Name,MarketValue,Capital,NetIncomeGrowthRate,OperIncomeGrowthRate,FinancialStatementsTime,TFXRatio,MonthlyNetSalesYoY,RevenueMonth'</f>
        <v>6596</v>
      </c>
      <c r="B780" t="str">
        <v>寬宏藝術</v>
      </c>
      <c r="C780" t="str">
        <v>13.4</v>
      </c>
      <c r="D780" t="str">
        <v>3.00</v>
      </c>
      <c r="E780" t="str">
        <v>134.68</v>
      </c>
      <c r="F780" t="str">
        <v>90.68</v>
      </c>
      <c r="G780" t="str">
        <v>2022/03</v>
      </c>
      <c r="H780" t="str">
        <v>852.22</v>
      </c>
      <c r="I780" t="str">
        <v>5483.24</v>
      </c>
      <c r="J780" t="str">
        <v>2022/06</v>
      </c>
      <c r="K780" t="str">
        <f t="array" ref="K780:T780">[1]!'6596.TW-OperatingProfitRatio,Price,PriceChangeRatio,InOutRatioNumber,Value,YearReturn,MonthReturn,WeekReturn,FinanceBalanceDif,ChipsField2'</f>
        <v>-1.05</v>
      </c>
      <c r="L780">
        <v>44.7</v>
      </c>
      <c r="M780">
        <v>2.76</v>
      </c>
      <c r="N780" t="str">
        <v>80.00%</v>
      </c>
      <c r="O780" t="str">
        <v>221萬</v>
      </c>
      <c r="P780" t="str">
        <v>-10.96</v>
      </c>
      <c r="Q780" t="str">
        <v>+5.67</v>
      </c>
      <c r="R780" t="str">
        <v>+8.76</v>
      </c>
      <c r="S780">
        <v>1</v>
      </c>
      <c r="T780">
        <v>0</v>
      </c>
      <c r="U780">
        <f t="array" ref="U780:AD780">[1]!'6596.TW-ChipsField3,ChipsField1,ChipsField25,CashAndStockDividend,CashDividendYieldRate,ProfitFourSeason,ProfitSingle,CName,ExchangeIndustry,CompanyPos'</f>
        <v>0</v>
      </c>
      <c r="V780">
        <v>0</v>
      </c>
      <c r="W780" t="str">
        <v>--</v>
      </c>
      <c r="X780" t="str">
        <v>0.00</v>
      </c>
      <c r="Y780">
        <v>0</v>
      </c>
      <c r="Z780" t="str">
        <v>-1.36</v>
      </c>
      <c r="AA780" t="str">
        <v>0.39</v>
      </c>
      <c r="AB780" t="str">
        <v>寬宏藝術</v>
      </c>
      <c r="AC780" t="str">
        <v>上櫃文化創意</v>
      </c>
      <c r="AD780" t="str">
        <v>從事國內外演唱會、藝文活動之主辦與代理</v>
      </c>
      <c r="AE780" t="str">
        <f t="array" ref="AE780:AH780">[1]!'6596.TW-CName,InvestorConferenceDate,DateofMeetingofShareHolders,TradingDate'</f>
        <v>寬宏藝術</v>
      </c>
      <c r="AF780" t="str">
        <v>2021/11/29</v>
      </c>
      <c r="AG780" t="str">
        <v>2022/05/24</v>
      </c>
      <c r="AH780" t="str">
        <v>2022/08/01</v>
      </c>
    </row>
    <row r="781" spans="1:34" x14ac:dyDescent="0.3">
      <c r="A781" t="str">
        <f t="array" ref="A781:J781">[1]!'8446.TW-ID,Name,MarketValue,Capital,NetIncomeGrowthRate,OperIncomeGrowthRate,FinancialStatementsTime,TFXRatio,MonthlyNetSalesYoY,RevenueMonth'</f>
        <v>8446</v>
      </c>
      <c r="B781" t="str">
        <v>華研</v>
      </c>
      <c r="C781" t="str">
        <v>38.4</v>
      </c>
      <c r="D781" t="str">
        <v>5.29</v>
      </c>
      <c r="E781" t="str">
        <v>-63.61</v>
      </c>
      <c r="F781" t="str">
        <v>-18.16</v>
      </c>
      <c r="G781" t="str">
        <v>2022/03</v>
      </c>
      <c r="H781" t="str">
        <v>-4.05</v>
      </c>
      <c r="I781" t="str">
        <v>12.54</v>
      </c>
      <c r="J781" t="str">
        <v>2022/06</v>
      </c>
      <c r="K781" t="str">
        <f t="array" ref="K781:T781">[1]!'8446.TW-OperatingProfitRatio,Price,PriceChangeRatio,InOutRatioNumber,Value,YearReturn,MonthReturn,WeekReturn,FinanceBalanceDif,ChipsField2'</f>
        <v>45.78</v>
      </c>
      <c r="L781">
        <v>72.5</v>
      </c>
      <c r="M781">
        <v>0.42</v>
      </c>
      <c r="N781" t="str">
        <v>35.71%</v>
      </c>
      <c r="O781" t="str">
        <v>202萬</v>
      </c>
      <c r="P781" t="str">
        <v>-15.74</v>
      </c>
      <c r="Q781" t="str">
        <v>+0.97</v>
      </c>
      <c r="R781" t="str">
        <v>-0.55</v>
      </c>
      <c r="S781">
        <v>1</v>
      </c>
      <c r="T781">
        <v>0</v>
      </c>
      <c r="U781">
        <f t="array" ref="U781:AD781">[1]!'8446.TW-ChipsField3,ChipsField1,ChipsField25,CashAndStockDividend,CashDividendYieldRate,ProfitFourSeason,ProfitSingle,CName,ExchangeIndustry,CompanyPos'</f>
        <v>0</v>
      </c>
      <c r="V781">
        <v>-4</v>
      </c>
      <c r="W781" t="str">
        <v>2022/04/21</v>
      </c>
      <c r="X781" t="str">
        <v>4.50</v>
      </c>
      <c r="Y781">
        <v>6.21</v>
      </c>
      <c r="Z781" t="str">
        <v>5.13</v>
      </c>
      <c r="AA781" t="str">
        <v>0.82</v>
      </c>
      <c r="AB781" t="str">
        <v>華研</v>
      </c>
      <c r="AC781" t="str">
        <v>上櫃文化創意</v>
      </c>
      <c r="AD781" t="str">
        <v>亞洲跨國唱片製作及歌手經紀人公司</v>
      </c>
      <c r="AE781" t="str">
        <f t="array" ref="AE781:AH781">[1]!'8446.TW-CName,InvestorConferenceDate,DateofMeetingofShareHolders,TradingDate'</f>
        <v>華研</v>
      </c>
      <c r="AF781" t="str">
        <v>2021/12/02</v>
      </c>
      <c r="AG781" t="str">
        <v>2022/06/22</v>
      </c>
      <c r="AH781" t="str">
        <v>2022/08/01</v>
      </c>
    </row>
    <row r="782" spans="1:34" x14ac:dyDescent="0.3">
      <c r="A782" t="str">
        <f t="array" ref="A782:J782">[1]!'8450.TW-ID,Name,MarketValue,Capital,NetIncomeGrowthRate,OperIncomeGrowthRate,FinancialStatementsTime,TFXRatio,MonthlyNetSalesYoY,RevenueMonth'</f>
        <v>8450</v>
      </c>
      <c r="B782" t="str">
        <v>霹靂</v>
      </c>
      <c r="C782" t="str">
        <v>18.4</v>
      </c>
      <c r="D782" t="str">
        <v>5.13</v>
      </c>
      <c r="E782" t="str">
        <v>-102.17</v>
      </c>
      <c r="F782" t="str">
        <v>-113.24</v>
      </c>
      <c r="G782" t="str">
        <v>2022/03</v>
      </c>
      <c r="H782" t="str">
        <v>10.18</v>
      </c>
      <c r="I782" t="str">
        <v>-11.96</v>
      </c>
      <c r="J782" t="str">
        <v>2022/06</v>
      </c>
      <c r="K782" t="str">
        <f t="array" ref="K782:T782">[1]!'8450.TW-OperatingProfitRatio,Price,PriceChangeRatio,InOutRatioNumber,Value,YearReturn,MonthReturn,WeekReturn,FinanceBalanceDif,ChipsField2'</f>
        <v>-52.33</v>
      </c>
      <c r="L782">
        <v>35.85</v>
      </c>
      <c r="M782">
        <v>-1.51</v>
      </c>
      <c r="N782" t="str">
        <v>42.83%</v>
      </c>
      <c r="O782" t="str">
        <v>1.16億</v>
      </c>
      <c r="P782" t="str">
        <v>+50.63</v>
      </c>
      <c r="Q782" t="str">
        <v>+21.53</v>
      </c>
      <c r="R782" t="str">
        <v>+0.28</v>
      </c>
      <c r="S782">
        <v>-16</v>
      </c>
      <c r="T782">
        <v>0</v>
      </c>
      <c r="U782">
        <f t="array" ref="U782:AD782">[1]!'8450.TW-ChipsField3,ChipsField1,ChipsField25,CashAndStockDividend,CashDividendYieldRate,ProfitFourSeason,ProfitSingle,CName,ExchangeIndustry,CompanyPos'</f>
        <v>0</v>
      </c>
      <c r="V782">
        <v>17</v>
      </c>
      <c r="W782" t="str">
        <v>--</v>
      </c>
      <c r="X782" t="str">
        <v>0.00</v>
      </c>
      <c r="Y782">
        <v>0</v>
      </c>
      <c r="Z782" t="str">
        <v>-4.95</v>
      </c>
      <c r="AA782" t="str">
        <v>-0.69</v>
      </c>
      <c r="AB782" t="str">
        <v>霹靂</v>
      </c>
      <c r="AC782" t="str">
        <v>上櫃文化創意</v>
      </c>
      <c r="AD782" t="str">
        <v>台灣布袋戲文創業者</v>
      </c>
      <c r="AE782" t="str">
        <f t="array" ref="AE782:AH782">[1]!'8450.TW-CName,InvestorConferenceDate,DateofMeetingofShareHolders,TradingDate'</f>
        <v>霹靂</v>
      </c>
      <c r="AF782" t="str">
        <v>2022/07/26</v>
      </c>
      <c r="AG782" t="str">
        <v>2022/05/27</v>
      </c>
      <c r="AH782" t="str">
        <v>2022/08/01</v>
      </c>
    </row>
    <row r="783" spans="1:34" x14ac:dyDescent="0.3">
      <c r="A783" t="str">
        <f t="array" ref="A783:J783">[1]!'8923.TW-ID,Name,MarketValue,Capital,NetIncomeGrowthRate,OperIncomeGrowthRate,FinancialStatementsTime,TFXRatio,MonthlyNetSalesYoY,RevenueMonth'</f>
        <v>8923</v>
      </c>
      <c r="B783" t="str">
        <v>時報</v>
      </c>
      <c r="C783" t="str">
        <v>6.0</v>
      </c>
      <c r="D783" t="str">
        <v>3.04</v>
      </c>
      <c r="E783" t="str">
        <v>107.93</v>
      </c>
      <c r="F783" t="str">
        <v>35.05</v>
      </c>
      <c r="G783" t="str">
        <v>2022/03</v>
      </c>
      <c r="H783" t="str">
        <v>39.00</v>
      </c>
      <c r="I783" t="str">
        <v>184.19</v>
      </c>
      <c r="J783" t="str">
        <v>2022/06</v>
      </c>
      <c r="K783" t="str">
        <f t="array" ref="K783:T783">[1]!'8923.TW-OperatingProfitRatio,Price,PriceChangeRatio,InOutRatioNumber,Value,YearReturn,MonthReturn,WeekReturn,FinanceBalanceDif,ChipsField2'</f>
        <v>6.86</v>
      </c>
      <c r="L783">
        <v>19.899999999999999</v>
      </c>
      <c r="M783">
        <v>1.79</v>
      </c>
      <c r="N783" t="str">
        <v>100.00%</v>
      </c>
      <c r="O783" t="str">
        <v>1.99萬</v>
      </c>
      <c r="P783" t="str">
        <v>+35.14</v>
      </c>
      <c r="Q783" t="str">
        <v>+1.66</v>
      </c>
      <c r="R783" t="str">
        <v>-3.40</v>
      </c>
      <c r="S783">
        <v>0</v>
      </c>
      <c r="T783">
        <v>0</v>
      </c>
      <c r="U783">
        <f t="array" ref="U783:AD783">[1]!'8923.TW-ChipsField3,ChipsField1,ChipsField25,CashAndStockDividend,CashDividendYieldRate,ProfitFourSeason,ProfitSingle,CName,ExchangeIndustry,CompanyPos'</f>
        <v>0</v>
      </c>
      <c r="V783">
        <v>0</v>
      </c>
      <c r="W783" t="str">
        <v>2022/07/06</v>
      </c>
      <c r="X783" t="str">
        <v>0.90</v>
      </c>
      <c r="Y783">
        <v>4.5199999999999996</v>
      </c>
      <c r="Z783" t="str">
        <v>1.17</v>
      </c>
      <c r="AA783" t="str">
        <v>0.33</v>
      </c>
      <c r="AB783" t="str">
        <v>時報</v>
      </c>
      <c r="AC783" t="str">
        <v>上櫃文化創意</v>
      </c>
      <c r="AD783" t="str">
        <v>華文世界為一家股票上櫃出版社</v>
      </c>
      <c r="AE783" t="str">
        <f t="array" ref="AE783:AH783">[1]!'8923.TW-CName,InvestorConferenceDate,DateofMeetingofShareHolders,TradingDate'</f>
        <v>時報</v>
      </c>
      <c r="AF783" t="str">
        <v>2021/11/26</v>
      </c>
      <c r="AG783" t="str">
        <v>2022/06/09</v>
      </c>
      <c r="AH783" t="str">
        <v>2022/08/01</v>
      </c>
    </row>
    <row r="784" spans="1:34" x14ac:dyDescent="0.3">
      <c r="A784" t="str">
        <f t="array" ref="A784:J784">[1]!'9949.TW-ID,Name,MarketValue,Capital,NetIncomeGrowthRate,OperIncomeGrowthRate,FinancialStatementsTime,TFXRatio,MonthlyNetSalesYoY,RevenueMonth'</f>
        <v>9949</v>
      </c>
      <c r="B784" t="str">
        <v>琉園</v>
      </c>
      <c r="C784" t="str">
        <v>8.8</v>
      </c>
      <c r="D784" t="str">
        <v>4.40</v>
      </c>
      <c r="E784" t="str">
        <v>-0.17</v>
      </c>
      <c r="F784" t="str">
        <v>-21.55</v>
      </c>
      <c r="G784" t="str">
        <v>2022/03</v>
      </c>
      <c r="H784" t="str">
        <v>16.16</v>
      </c>
      <c r="I784" t="str">
        <v>30.18</v>
      </c>
      <c r="J784" t="str">
        <v>2022/06</v>
      </c>
      <c r="K784" t="str">
        <f t="array" ref="K784:T784">[1]!'9949.TW-OperatingProfitRatio,Price,PriceChangeRatio,InOutRatioNumber,Value,YearReturn,MonthReturn,WeekReturn,FinanceBalanceDif,ChipsField2'</f>
        <v>-23.45</v>
      </c>
      <c r="L784">
        <v>19.899999999999999</v>
      </c>
      <c r="M784">
        <v>0.25</v>
      </c>
      <c r="N784" t="str">
        <v>85.71%</v>
      </c>
      <c r="O784" t="str">
        <v>13.8萬</v>
      </c>
      <c r="P784" t="str">
        <v>+85.98</v>
      </c>
      <c r="Q784" t="str">
        <v>+2.05</v>
      </c>
      <c r="R784" t="str">
        <v>0.00</v>
      </c>
      <c r="S784">
        <v>0</v>
      </c>
      <c r="T784">
        <v>0</v>
      </c>
      <c r="U784">
        <f t="array" ref="U784:AD784">[1]!'9949.TW-ChipsField3,ChipsField1,ChipsField25,CashAndStockDividend,CashDividendYieldRate,ProfitFourSeason,ProfitSingle,CName,ExchangeIndustry,CompanyPos'</f>
        <v>0</v>
      </c>
      <c r="V784">
        <v>0</v>
      </c>
      <c r="W784" t="str">
        <v>--</v>
      </c>
      <c r="X784" t="str">
        <v>0.00</v>
      </c>
      <c r="Y784">
        <v>0</v>
      </c>
      <c r="Z784" t="str">
        <v>-0.77</v>
      </c>
      <c r="AA784" t="str">
        <v>-0.22</v>
      </c>
      <c r="AB784" t="str">
        <v>琉園</v>
      </c>
      <c r="AC784" t="str">
        <v>上櫃文化創意</v>
      </c>
      <c r="AD784" t="str">
        <v>以「tittot琉園」為品牌之水晶玻璃藝術品業者</v>
      </c>
      <c r="AE784" t="str">
        <f t="array" ref="AE784:AH784">[1]!'9949.TW-CName,InvestorConferenceDate,DateofMeetingofShareHolders,TradingDate'</f>
        <v>琉園</v>
      </c>
      <c r="AF784" t="str">
        <v>2021/12/21</v>
      </c>
      <c r="AG784" t="str">
        <v>2022/06/29</v>
      </c>
      <c r="AH784" t="str">
        <v>2022/08/01</v>
      </c>
    </row>
    <row r="785" spans="1:34" x14ac:dyDescent="0.3">
      <c r="A785" t="str">
        <f t="array" ref="A785:J785">[1]!'1240.TW-ID,Name,MarketValue,Capital,NetIncomeGrowthRate,OperIncomeGrowthRate,FinancialStatementsTime,TFXRatio,MonthlyNetSalesYoY,RevenueMonth'</f>
        <v>1240</v>
      </c>
      <c r="B785" t="str">
        <v>茂生農經</v>
      </c>
      <c r="C785" t="str">
        <v>17.5</v>
      </c>
      <c r="D785" t="str">
        <v>3.68</v>
      </c>
      <c r="E785" t="str">
        <v>-82.48</v>
      </c>
      <c r="F785" t="str">
        <v>-32.53</v>
      </c>
      <c r="G785" t="str">
        <v>2022/03</v>
      </c>
      <c r="H785" t="str">
        <v>0.01</v>
      </c>
      <c r="I785" t="str">
        <v>17.85</v>
      </c>
      <c r="J785" t="str">
        <v>2022/06</v>
      </c>
      <c r="K785" t="str">
        <f t="array" ref="K785:T785">[1]!'1240.TW-OperatingProfitRatio,Price,PriceChangeRatio,InOutRatioNumber,Value,YearReturn,MonthReturn,WeekReturn,FinanceBalanceDif,ChipsField2'</f>
        <v>2.42</v>
      </c>
      <c r="L785">
        <v>47.5</v>
      </c>
      <c r="M785">
        <v>1.39</v>
      </c>
      <c r="N785" t="str">
        <v>77.78%</v>
      </c>
      <c r="O785" t="str">
        <v>383萬</v>
      </c>
      <c r="P785" t="str">
        <v>-3.94</v>
      </c>
      <c r="Q785" t="str">
        <v>+8.32</v>
      </c>
      <c r="R785" t="str">
        <v>+1.71</v>
      </c>
      <c r="S785">
        <v>0</v>
      </c>
      <c r="T785">
        <v>0</v>
      </c>
      <c r="U785">
        <f t="array" ref="U785:AD785">[1]!'1240.TW-ChipsField3,ChipsField1,ChipsField25,CashAndStockDividend,CashDividendYieldRate,ProfitFourSeason,ProfitSingle,CName,ExchangeIndustry,CompanyPos'</f>
        <v>0</v>
      </c>
      <c r="V785">
        <v>4</v>
      </c>
      <c r="W785" t="str">
        <v>2022/08/03</v>
      </c>
      <c r="X785" t="str">
        <v>2.50</v>
      </c>
      <c r="Y785">
        <v>5.26</v>
      </c>
      <c r="Z785" t="str">
        <v>3.04</v>
      </c>
      <c r="AA785" t="str">
        <v>0.35</v>
      </c>
      <c r="AB785" t="str">
        <v>茂生農經</v>
      </c>
      <c r="AC785" t="str">
        <v>上櫃農業科技業</v>
      </c>
      <c r="AD785" t="str">
        <v>家禽家畜飼料、大宗原料供應商</v>
      </c>
      <c r="AE785" t="str">
        <f t="array" ref="AE785:AH785">[1]!'1240.TW-CName,InvestorConferenceDate,DateofMeetingofShareHolders,TradingDate'</f>
        <v>茂生農經</v>
      </c>
      <c r="AF785" t="str">
        <v>2021/11/11</v>
      </c>
      <c r="AG785" t="str">
        <v>2022/06/27</v>
      </c>
      <c r="AH785" t="str">
        <v>2022/08/01</v>
      </c>
    </row>
    <row r="786" spans="1:34" x14ac:dyDescent="0.3">
      <c r="A786" t="str">
        <f t="array" ref="A786:J786">[1]!'4171.TW-ID,Name,MarketValue,Capital,NetIncomeGrowthRate,OperIncomeGrowthRate,FinancialStatementsTime,TFXRatio,MonthlyNetSalesYoY,RevenueMonth'</f>
        <v>4171</v>
      </c>
      <c r="B786" t="str">
        <v>瑞基</v>
      </c>
      <c r="C786" t="str">
        <v>32.8</v>
      </c>
      <c r="D786" t="str">
        <v>4.18</v>
      </c>
      <c r="E786" t="str">
        <v>5.36</v>
      </c>
      <c r="F786" t="str">
        <v>-3.04</v>
      </c>
      <c r="G786" t="str">
        <v>2022/03</v>
      </c>
      <c r="H786" t="str">
        <v>-84.18</v>
      </c>
      <c r="I786" t="str">
        <v>-70.69</v>
      </c>
      <c r="J786" t="str">
        <v>2022/06</v>
      </c>
      <c r="K786" t="str">
        <f t="array" ref="K786:T786">[1]!'4171.TW-OperatingProfitRatio,Price,PriceChangeRatio,InOutRatioNumber,Value,YearReturn,MonthReturn,WeekReturn,FinanceBalanceDif,ChipsField2'</f>
        <v>48.52</v>
      </c>
      <c r="L786">
        <v>78.400000000000006</v>
      </c>
      <c r="M786">
        <v>-1.51</v>
      </c>
      <c r="N786" t="str">
        <v>43.52%</v>
      </c>
      <c r="O786" t="str">
        <v>3238萬</v>
      </c>
      <c r="P786" t="str">
        <v>-31.27</v>
      </c>
      <c r="Q786" t="str">
        <v>-6.89</v>
      </c>
      <c r="R786" t="str">
        <v>-6.44</v>
      </c>
      <c r="S786">
        <v>11</v>
      </c>
      <c r="T786">
        <v>0</v>
      </c>
      <c r="U786">
        <f t="array" ref="U786:AD786">[1]!'4171.TW-ChipsField3,ChipsField1,ChipsField25,CashAndStockDividend,CashDividendYieldRate,ProfitFourSeason,ProfitSingle,CName,ExchangeIndustry,CompanyPos'</f>
        <v>0</v>
      </c>
      <c r="V786">
        <v>-59</v>
      </c>
      <c r="W786" t="str">
        <v>--</v>
      </c>
      <c r="X786" t="str">
        <v>6.00</v>
      </c>
      <c r="Y786">
        <v>7.65</v>
      </c>
      <c r="Z786" t="str">
        <v>9.24</v>
      </c>
      <c r="AA786" t="str">
        <v>2.39</v>
      </c>
      <c r="AB786" t="str">
        <v>瑞基</v>
      </c>
      <c r="AC786" t="str">
        <v>上櫃農業科技業</v>
      </c>
      <c r="AD786" t="str">
        <v>全球最大蝦類白點病毒檢測試劑廠</v>
      </c>
      <c r="AE786" t="str">
        <f t="array" ref="AE786:AH786">[1]!'4171.TW-CName,InvestorConferenceDate,DateofMeetingofShareHolders,TradingDate'</f>
        <v>瑞基</v>
      </c>
      <c r="AF786" t="str">
        <v>2021/01/12</v>
      </c>
      <c r="AG786" t="str">
        <v>2022/08/02</v>
      </c>
      <c r="AH786" t="str">
        <v>2022/08/01</v>
      </c>
    </row>
    <row r="787" spans="1:34" x14ac:dyDescent="0.3">
      <c r="A787" t="str">
        <f t="array" ref="A787:J787">[1]!'6508.TW-ID,Name,MarketValue,Capital,NetIncomeGrowthRate,OperIncomeGrowthRate,FinancialStatementsTime,TFXRatio,MonthlyNetSalesYoY,RevenueMonth'</f>
        <v>6508</v>
      </c>
      <c r="B787" t="str">
        <v>惠光</v>
      </c>
      <c r="C787" t="str">
        <v>37.1</v>
      </c>
      <c r="D787" t="str">
        <v>8.57</v>
      </c>
      <c r="E787" t="str">
        <v>59.58</v>
      </c>
      <c r="F787" t="str">
        <v>1.64</v>
      </c>
      <c r="G787" t="str">
        <v>2022/03</v>
      </c>
      <c r="H787" t="str">
        <v>-16.96</v>
      </c>
      <c r="I787" t="str">
        <v>74.32</v>
      </c>
      <c r="J787" t="str">
        <v>2022/06</v>
      </c>
      <c r="K787" t="str">
        <f t="array" ref="K787:T787">[1]!'6508.TW-OperatingProfitRatio,Price,PriceChangeRatio,InOutRatioNumber,Value,YearReturn,MonthReturn,WeekReturn,FinanceBalanceDif,ChipsField2'</f>
        <v>13.82</v>
      </c>
      <c r="L787">
        <v>43.25</v>
      </c>
      <c r="M787">
        <v>-0.23</v>
      </c>
      <c r="N787" t="str">
        <v>34.37%</v>
      </c>
      <c r="O787" t="str">
        <v>6347萬</v>
      </c>
      <c r="P787" t="str">
        <v>+50.29</v>
      </c>
      <c r="Q787" t="str">
        <v>+21.83</v>
      </c>
      <c r="R787" t="str">
        <v>+4.59</v>
      </c>
      <c r="S787">
        <v>-170</v>
      </c>
      <c r="T787">
        <v>0</v>
      </c>
      <c r="U787">
        <f t="array" ref="U787:AD787">[1]!'6508.TW-ChipsField3,ChipsField1,ChipsField25,CashAndStockDividend,CashDividendYieldRate,ProfitFourSeason,ProfitSingle,CName,ExchangeIndustry,CompanyPos'</f>
        <v>32</v>
      </c>
      <c r="V787">
        <v>589</v>
      </c>
      <c r="W787" t="str">
        <v>--</v>
      </c>
      <c r="X787" t="str">
        <v>3.00</v>
      </c>
      <c r="Y787">
        <v>6.94</v>
      </c>
      <c r="Z787" t="str">
        <v>4.24</v>
      </c>
      <c r="AA787" t="str">
        <v>1.06</v>
      </c>
      <c r="AB787" t="str">
        <v>惠光</v>
      </c>
      <c r="AC787" t="str">
        <v>上櫃農業科技業</v>
      </c>
      <c r="AD787" t="str">
        <v>台灣第二大農藥及全球第三大地工膜廠商</v>
      </c>
      <c r="AE787" t="str">
        <f t="array" ref="AE787:AH787">[1]!'6508.TW-CName,InvestorConferenceDate,DateofMeetingofShareHolders,TradingDate'</f>
        <v>惠光</v>
      </c>
      <c r="AF787" t="str">
        <v>2022/05/12</v>
      </c>
      <c r="AG787" t="str">
        <v>2022/06/22</v>
      </c>
      <c r="AH787" t="str">
        <v>2022/08/01</v>
      </c>
    </row>
    <row r="788" spans="1:34" x14ac:dyDescent="0.3">
      <c r="A788" t="str">
        <f t="array" ref="A788:J788">[1]!'6578.TW-ID,Name,MarketValue,Capital,NetIncomeGrowthRate,OperIncomeGrowthRate,FinancialStatementsTime,TFXRatio,MonthlyNetSalesYoY,RevenueMonth'</f>
        <v>6578</v>
      </c>
      <c r="B788" t="str">
        <v>達邦蛋白</v>
      </c>
      <c r="C788" t="str">
        <v>6.8</v>
      </c>
      <c r="D788" t="str">
        <v>3.96</v>
      </c>
      <c r="E788" t="str">
        <v>60.51</v>
      </c>
      <c r="F788" t="str">
        <v>17.76</v>
      </c>
      <c r="G788" t="str">
        <v>2022/03</v>
      </c>
      <c r="H788" t="str">
        <v>-21.60</v>
      </c>
      <c r="I788" t="str">
        <v>3.13</v>
      </c>
      <c r="J788" t="str">
        <v>2022/06</v>
      </c>
      <c r="K788" t="str">
        <f t="array" ref="K788:T788">[1]!'6578.TW-OperatingProfitRatio,Price,PriceChangeRatio,InOutRatioNumber,Value,YearReturn,MonthReturn,WeekReturn,FinanceBalanceDif,ChipsField2'</f>
        <v>-19.54</v>
      </c>
      <c r="L788">
        <v>17.399999999999999</v>
      </c>
      <c r="M788">
        <v>1.46</v>
      </c>
      <c r="N788" t="str">
        <v>68.57%</v>
      </c>
      <c r="O788" t="str">
        <v>365萬</v>
      </c>
      <c r="P788" t="str">
        <v>-2.53</v>
      </c>
      <c r="Q788" t="str">
        <v>+3.57</v>
      </c>
      <c r="R788" t="str">
        <v>+1.16</v>
      </c>
      <c r="S788">
        <v>-21</v>
      </c>
      <c r="T788">
        <v>0</v>
      </c>
      <c r="U788">
        <f t="array" ref="U788:AD788">[1]!'6578.TW-ChipsField3,ChipsField1,ChipsField25,CashAndStockDividend,CashDividendYieldRate,ProfitFourSeason,ProfitSingle,CName,ExchangeIndustry,CompanyPos'</f>
        <v>0</v>
      </c>
      <c r="V788">
        <v>38</v>
      </c>
      <c r="W788" t="str">
        <v>--</v>
      </c>
      <c r="X788" t="str">
        <v>0.00</v>
      </c>
      <c r="Y788">
        <v>0</v>
      </c>
      <c r="Z788" t="str">
        <v>-1.40</v>
      </c>
      <c r="AA788" t="str">
        <v>-0.28</v>
      </c>
      <c r="AB788" t="str">
        <v>達邦蛋白</v>
      </c>
      <c r="AC788" t="str">
        <v>上櫃農業科技業</v>
      </c>
      <c r="AD788" t="str">
        <v>亞洲唯一具有微生物醱酵技術的飼料廠商</v>
      </c>
      <c r="AE788" t="str">
        <f t="array" ref="AE788:AH788">[1]!'6578.TW-CName,InvestorConferenceDate,DateofMeetingofShareHolders,TradingDate'</f>
        <v>達邦蛋白</v>
      </c>
      <c r="AF788" t="str">
        <v>2022/05/18</v>
      </c>
      <c r="AG788" t="str">
        <v>2022/06/09</v>
      </c>
      <c r="AH788" t="str">
        <v>2022/08/01</v>
      </c>
    </row>
    <row r="789" spans="1:34" x14ac:dyDescent="0.3">
      <c r="A789" t="str">
        <f t="array" ref="A789:J789">[1]!'3085.TW-ID,Name,MarketValue,Capital,NetIncomeGrowthRate,OperIncomeGrowthRate,FinancialStatementsTime,TFXRatio,MonthlyNetSalesYoY,RevenueMonth'</f>
        <v>3085</v>
      </c>
      <c r="B789" t="str">
        <v>新零售</v>
      </c>
      <c r="C789" t="str">
        <v>6.5</v>
      </c>
      <c r="D789" t="str">
        <v>5.80</v>
      </c>
      <c r="E789" t="str">
        <v>-106.85</v>
      </c>
      <c r="F789" t="str">
        <v>29.02</v>
      </c>
      <c r="G789" t="str">
        <v>2022/03</v>
      </c>
      <c r="H789" t="str">
        <v>-5.32</v>
      </c>
      <c r="I789" t="str">
        <v>98.03</v>
      </c>
      <c r="J789" t="str">
        <v>2022/06</v>
      </c>
      <c r="K789" t="str">
        <f t="array" ref="K789:T789">[1]!'3085.TW-OperatingProfitRatio,Price,PriceChangeRatio,InOutRatioNumber,Value,YearReturn,MonthReturn,WeekReturn,FinanceBalanceDif,ChipsField2'</f>
        <v>-27.55</v>
      </c>
      <c r="L789">
        <v>11.2</v>
      </c>
      <c r="M789">
        <v>1.82</v>
      </c>
      <c r="N789" t="str">
        <v>66.67%</v>
      </c>
      <c r="O789" t="str">
        <v>5.56萬</v>
      </c>
      <c r="P789" t="str">
        <v>+29.03</v>
      </c>
      <c r="Q789" t="str">
        <v>+20.43</v>
      </c>
      <c r="R789" t="str">
        <v>-5.49</v>
      </c>
      <c r="S789">
        <v>0</v>
      </c>
      <c r="T789">
        <v>0</v>
      </c>
      <c r="U789">
        <f t="array" ref="U789:AD789">[1]!'3085.TW-ChipsField3,ChipsField1,ChipsField25,CashAndStockDividend,CashDividendYieldRate,ProfitFourSeason,ProfitSingle,CName,ExchangeIndustry,CompanyPos'</f>
        <v>0</v>
      </c>
      <c r="V789">
        <v>0</v>
      </c>
      <c r="W789" t="str">
        <v>--</v>
      </c>
      <c r="X789" t="str">
        <v>0.00</v>
      </c>
      <c r="Y789">
        <v>0</v>
      </c>
      <c r="Z789" t="str">
        <v>0.27</v>
      </c>
      <c r="AA789" t="str">
        <v>-0.20</v>
      </c>
      <c r="AB789" t="str">
        <v>新零售</v>
      </c>
      <c r="AC789" t="str">
        <v>上櫃電子商務</v>
      </c>
      <c r="AD789" t="str">
        <v>台灣服飾電商業者</v>
      </c>
      <c r="AE789" t="str">
        <f t="array" ref="AE789:AH789">[1]!'3085.TW-CName,InvestorConferenceDate,DateofMeetingofShareHolders,TradingDate'</f>
        <v>新零售</v>
      </c>
      <c r="AF789" t="str">
        <v>--</v>
      </c>
      <c r="AG789" t="str">
        <v>2022/06/27</v>
      </c>
      <c r="AH789" t="str">
        <v>2022/08/01</v>
      </c>
    </row>
    <row r="790" spans="1:34" x14ac:dyDescent="0.3">
      <c r="A790" t="str">
        <f t="array" ref="A790:J790">[1]!'3687.TW-ID,Name,MarketValue,Capital,NetIncomeGrowthRate,OperIncomeGrowthRate,FinancialStatementsTime,TFXRatio,MonthlyNetSalesYoY,RevenueMonth'</f>
        <v>3687</v>
      </c>
      <c r="B790" t="str">
        <v>歐買尬</v>
      </c>
      <c r="C790" t="str">
        <v>28.3</v>
      </c>
      <c r="D790" t="str">
        <v>3.01</v>
      </c>
      <c r="E790" t="str">
        <v>14.63</v>
      </c>
      <c r="F790" t="str">
        <v>11.43</v>
      </c>
      <c r="G790" t="str">
        <v>2022/03</v>
      </c>
      <c r="H790" t="str">
        <v>13.32</v>
      </c>
      <c r="I790" t="str">
        <v>10.10</v>
      </c>
      <c r="J790" t="str">
        <v>2022/06</v>
      </c>
      <c r="K790" t="str">
        <f t="array" ref="K790:T790">[1]!'3687.TW-OperatingProfitRatio,Price,PriceChangeRatio,InOutRatioNumber,Value,YearReturn,MonthReturn,WeekReturn,FinanceBalanceDif,ChipsField2'</f>
        <v>19.54</v>
      </c>
      <c r="L790">
        <v>94.2</v>
      </c>
      <c r="M790">
        <v>-0.74</v>
      </c>
      <c r="N790" t="str">
        <v>28.79%</v>
      </c>
      <c r="O790" t="str">
        <v>1885萬</v>
      </c>
      <c r="P790" t="str">
        <v>-11.67</v>
      </c>
      <c r="Q790" t="str">
        <v>-13.27</v>
      </c>
      <c r="R790" t="str">
        <v>-4.56</v>
      </c>
      <c r="S790">
        <v>0</v>
      </c>
      <c r="T790">
        <v>0</v>
      </c>
      <c r="U790">
        <f t="array" ref="U790:AD790">[1]!'3687.TW-ChipsField3,ChipsField1,ChipsField25,CashAndStockDividend,CashDividendYieldRate,ProfitFourSeason,ProfitSingle,CName,ExchangeIndustry,CompanyPos'</f>
        <v>0</v>
      </c>
      <c r="V790">
        <v>15</v>
      </c>
      <c r="W790" t="str">
        <v>2022/07/13</v>
      </c>
      <c r="X790" t="str">
        <v>1.20</v>
      </c>
      <c r="Y790">
        <v>1.27</v>
      </c>
      <c r="Z790" t="str">
        <v>2.44</v>
      </c>
      <c r="AA790" t="str">
        <v>0.54</v>
      </c>
      <c r="AB790" t="str">
        <v>歐買尬</v>
      </c>
      <c r="AC790" t="str">
        <v>上櫃電子商務</v>
      </c>
      <c r="AD790" t="str">
        <v>第三方金流服務及遊戲代理商</v>
      </c>
      <c r="AE790" t="str">
        <f t="array" ref="AE790:AH790">[1]!'3687.TW-CName,InvestorConferenceDate,DateofMeetingofShareHolders,TradingDate'</f>
        <v>歐買尬</v>
      </c>
      <c r="AF790" t="str">
        <v>2021/12/28</v>
      </c>
      <c r="AG790" t="str">
        <v>2022/06/15</v>
      </c>
      <c r="AH790" t="str">
        <v>2022/08/01</v>
      </c>
    </row>
    <row r="791" spans="1:34" x14ac:dyDescent="0.3">
      <c r="A791" t="str">
        <f t="array" ref="A791:J791">[1]!'5278.TW-ID,Name,MarketValue,Capital,NetIncomeGrowthRate,OperIncomeGrowthRate,FinancialStatementsTime,TFXRatio,MonthlyNetSalesYoY,RevenueMonth'</f>
        <v>5278</v>
      </c>
      <c r="B791" t="str">
        <v>尚凡</v>
      </c>
      <c r="C791" t="str">
        <v>40.7</v>
      </c>
      <c r="D791" t="str">
        <v>1.52</v>
      </c>
      <c r="E791" t="str">
        <v>4.97</v>
      </c>
      <c r="F791" t="str">
        <v>-9.96</v>
      </c>
      <c r="G791" t="str">
        <v>2022/03</v>
      </c>
      <c r="H791" t="str">
        <v>-0.94</v>
      </c>
      <c r="I791" t="str">
        <v>10.96</v>
      </c>
      <c r="J791" t="str">
        <v>2022/06</v>
      </c>
      <c r="K791" t="str">
        <f t="array" ref="K791:T791">[1]!'5278.TW-OperatingProfitRatio,Price,PriceChangeRatio,InOutRatioNumber,Value,YearReturn,MonthReturn,WeekReturn,FinanceBalanceDif,ChipsField2'</f>
        <v>12.45</v>
      </c>
      <c r="L791">
        <v>267</v>
      </c>
      <c r="M791">
        <v>2.5</v>
      </c>
      <c r="N791" t="str">
        <v>74.42%</v>
      </c>
      <c r="O791" t="str">
        <v>1138萬</v>
      </c>
      <c r="P791" t="str">
        <v>+69.83</v>
      </c>
      <c r="Q791" t="str">
        <v>+12.90</v>
      </c>
      <c r="R791" t="str">
        <v>+4.71</v>
      </c>
      <c r="S791">
        <v>0</v>
      </c>
      <c r="T791">
        <v>0</v>
      </c>
      <c r="U791">
        <f t="array" ref="U791:AD791">[1]!'5278.TW-ChipsField3,ChipsField1,ChipsField25,CashAndStockDividend,CashDividendYieldRate,ProfitFourSeason,ProfitSingle,CName,ExchangeIndustry,CompanyPos'</f>
        <v>0</v>
      </c>
      <c r="V791">
        <v>-1</v>
      </c>
      <c r="W791" t="str">
        <v>2022/08/10</v>
      </c>
      <c r="X791" t="str">
        <v>9.37</v>
      </c>
      <c r="Y791">
        <v>7.56</v>
      </c>
      <c r="Z791" t="str">
        <v>16.70</v>
      </c>
      <c r="AA791" t="str">
        <v>3.31</v>
      </c>
      <c r="AB791" t="str">
        <v>尚凡</v>
      </c>
      <c r="AC791" t="str">
        <v>上櫃電子商務</v>
      </c>
      <c r="AD791" t="str">
        <v>台灣知名交友社群媒體服務商</v>
      </c>
      <c r="AE791" t="str">
        <f t="array" ref="AE791:AH791">[1]!'5278.TW-CName,InvestorConferenceDate,DateofMeetingofShareHolders,TradingDate'</f>
        <v>尚凡</v>
      </c>
      <c r="AF791" t="str">
        <v>--</v>
      </c>
      <c r="AG791" t="str">
        <v>2022/06/24</v>
      </c>
      <c r="AH791" t="str">
        <v>2022/08/01</v>
      </c>
    </row>
    <row r="792" spans="1:34" x14ac:dyDescent="0.3">
      <c r="A792" t="str">
        <f t="array" ref="A792:J792">[1]!'5287.TW-ID,Name,MarketValue,Capital,NetIncomeGrowthRate,OperIncomeGrowthRate,FinancialStatementsTime,TFXRatio,MonthlyNetSalesYoY,RevenueMonth'</f>
        <v>5287</v>
      </c>
      <c r="B792" t="str">
        <v>數字</v>
      </c>
      <c r="C792" t="str">
        <v>102.1</v>
      </c>
      <c r="D792" t="str">
        <v>5.08</v>
      </c>
      <c r="E792" t="str">
        <v>3.69</v>
      </c>
      <c r="F792" t="str">
        <v>7.29</v>
      </c>
      <c r="G792" t="str">
        <v>2022/03</v>
      </c>
      <c r="H792" t="str">
        <v>-6.95</v>
      </c>
      <c r="I792" t="str">
        <v>28.18</v>
      </c>
      <c r="J792" t="str">
        <v>2022/06</v>
      </c>
      <c r="K792" t="str">
        <f t="array" ref="K792:T792">[1]!'5287.TW-OperatingProfitRatio,Price,PriceChangeRatio,InOutRatioNumber,Value,YearReturn,MonthReturn,WeekReturn,FinanceBalanceDif,ChipsField2'</f>
        <v>40.06</v>
      </c>
      <c r="L792">
        <v>201</v>
      </c>
      <c r="M792">
        <v>1.26</v>
      </c>
      <c r="N792" t="str">
        <v>20.00%</v>
      </c>
      <c r="O792" t="str">
        <v>121萬</v>
      </c>
      <c r="P792" t="str">
        <v>+6.67</v>
      </c>
      <c r="Q792" t="str">
        <v>+4.15</v>
      </c>
      <c r="R792" t="str">
        <v>+2.29</v>
      </c>
      <c r="S792">
        <v>0</v>
      </c>
      <c r="T792">
        <v>0</v>
      </c>
      <c r="U792">
        <f t="array" ref="U792:AD792">[1]!'5287.TW-ChipsField3,ChipsField1,ChipsField25,CashAndStockDividend,CashDividendYieldRate,ProfitFourSeason,ProfitSingle,CName,ExchangeIndustry,CompanyPos'</f>
        <v>0</v>
      </c>
      <c r="V792">
        <v>-1</v>
      </c>
      <c r="W792" t="str">
        <v>2022/04/14</v>
      </c>
      <c r="X792" t="str">
        <v>11.30</v>
      </c>
      <c r="Y792">
        <v>5.62</v>
      </c>
      <c r="Z792" t="str">
        <v>13.28</v>
      </c>
      <c r="AA792" t="str">
        <v>3.00</v>
      </c>
      <c r="AB792" t="str">
        <v>數字</v>
      </c>
      <c r="AC792" t="str">
        <v>上櫃電子商務</v>
      </c>
      <c r="AD792" t="str">
        <v>電商平台包含寶物、房屋、汽車交易及人力資源</v>
      </c>
      <c r="AE792" t="str">
        <f t="array" ref="AE792:AH792">[1]!'5287.TW-CName,InvestorConferenceDate,DateofMeetingofShareHolders,TradingDate'</f>
        <v>數字</v>
      </c>
      <c r="AF792" t="str">
        <v>2022/06/29</v>
      </c>
      <c r="AG792" t="str">
        <v>2022/06/15</v>
      </c>
      <c r="AH792" t="str">
        <v>2022/08/01</v>
      </c>
    </row>
    <row r="793" spans="1:34" x14ac:dyDescent="0.3">
      <c r="A793" t="str">
        <f t="array" ref="A793:J793">[1]!'5321.TW-ID,Name,MarketValue,Capital,NetIncomeGrowthRate,OperIncomeGrowthRate,FinancialStatementsTime,TFXRatio,MonthlyNetSalesYoY,RevenueMonth'</f>
        <v>5321</v>
      </c>
      <c r="B793" t="str">
        <v>美而快</v>
      </c>
      <c r="C793" t="str">
        <v>28.4</v>
      </c>
      <c r="D793" t="str">
        <v>3.50</v>
      </c>
      <c r="E793" t="str">
        <v>64.40</v>
      </c>
      <c r="F793" t="str">
        <v>75.19</v>
      </c>
      <c r="G793" t="str">
        <v>2022/03</v>
      </c>
      <c r="H793" t="str">
        <v>-28.30</v>
      </c>
      <c r="I793" t="str">
        <v>1.40</v>
      </c>
      <c r="J793" t="str">
        <v>2022/06</v>
      </c>
      <c r="K793" t="str">
        <f t="array" ref="K793:T793">[1]!'5321.TW-OperatingProfitRatio,Price,PriceChangeRatio,InOutRatioNumber,Value,YearReturn,MonthReturn,WeekReturn,FinanceBalanceDif,ChipsField2'</f>
        <v>9.09</v>
      </c>
      <c r="L793">
        <v>81.099999999999994</v>
      </c>
      <c r="M793">
        <v>-1.7</v>
      </c>
      <c r="N793" t="str">
        <v>22.43%</v>
      </c>
      <c r="O793" t="str">
        <v>980萬</v>
      </c>
      <c r="P793" t="str">
        <v>+51.31</v>
      </c>
      <c r="Q793" t="str">
        <v>-6.57</v>
      </c>
      <c r="R793" t="str">
        <v>-1.70</v>
      </c>
      <c r="S793">
        <v>-5</v>
      </c>
      <c r="T793">
        <v>0</v>
      </c>
      <c r="U793">
        <f t="array" ref="U793:AD793">[1]!'5321.TW-ChipsField3,ChipsField1,ChipsField25,CashAndStockDividend,CashDividendYieldRate,ProfitFourSeason,ProfitSingle,CName,ExchangeIndustry,CompanyPos'</f>
        <v>0</v>
      </c>
      <c r="V793">
        <v>85</v>
      </c>
      <c r="W793" t="str">
        <v>--</v>
      </c>
      <c r="X793" t="str">
        <v>2.00</v>
      </c>
      <c r="Y793">
        <v>2.4700000000000002</v>
      </c>
      <c r="Z793" t="str">
        <v>3.75</v>
      </c>
      <c r="AA793" t="str">
        <v>1.19</v>
      </c>
      <c r="AB793" t="str">
        <v>美而快</v>
      </c>
      <c r="AC793" t="str">
        <v>上櫃電子零組件,上櫃電子商務</v>
      </c>
      <c r="AD793" t="str">
        <v>台灣印刷電路板與服飾電商業者</v>
      </c>
      <c r="AE793" t="str">
        <f t="array" ref="AE793:AH793">[1]!'5321.TW-CName,InvestorConferenceDate,DateofMeetingofShareHolders,TradingDate'</f>
        <v>美而快</v>
      </c>
      <c r="AF793" t="str">
        <v>2022/04/22</v>
      </c>
      <c r="AG793" t="str">
        <v>2022/06/15</v>
      </c>
      <c r="AH793" t="str">
        <v>2022/08/01</v>
      </c>
    </row>
    <row r="794" spans="1:34" x14ac:dyDescent="0.3">
      <c r="A794" t="str">
        <f t="array" ref="A794:J794">[1]!'6741.TW-ID,Name,MarketValue,Capital,NetIncomeGrowthRate,OperIncomeGrowthRate,FinancialStatementsTime,TFXRatio,MonthlyNetSalesYoY,RevenueMonth'</f>
        <v>6741</v>
      </c>
      <c r="B794" t="str">
        <v>91APP*-KY</v>
      </c>
      <c r="C794" t="str">
        <v>127.8</v>
      </c>
      <c r="D794" t="str">
        <v>6.03</v>
      </c>
      <c r="E794" t="str">
        <v>52.14</v>
      </c>
      <c r="F794" t="str">
        <v>21.39</v>
      </c>
      <c r="G794" t="str">
        <v>2022/03</v>
      </c>
      <c r="H794" t="str">
        <v>1.90</v>
      </c>
      <c r="I794" t="str">
        <v>4.81</v>
      </c>
      <c r="J794" t="str">
        <v>2022/06</v>
      </c>
      <c r="K794" t="str">
        <f t="array" ref="K794:T794">[1]!'6741.TW-OperatingProfitRatio,Price,PriceChangeRatio,InOutRatioNumber,Value,YearReturn,MonthReturn,WeekReturn,FinanceBalanceDif,ChipsField2'</f>
        <v>28.39</v>
      </c>
      <c r="L794">
        <v>106</v>
      </c>
      <c r="M794">
        <v>0.95</v>
      </c>
      <c r="N794" t="str">
        <v>53.25%</v>
      </c>
      <c r="O794" t="str">
        <v>808萬</v>
      </c>
      <c r="P794" t="str">
        <v>-71.61</v>
      </c>
      <c r="Q794" t="str">
        <v>-21.14</v>
      </c>
      <c r="R794" t="str">
        <v>-9.40</v>
      </c>
      <c r="S794">
        <v>0</v>
      </c>
      <c r="T794">
        <v>0</v>
      </c>
      <c r="U794">
        <f t="array" ref="U794:AD794">[1]!'6741.TW-ChipsField3,ChipsField1,ChipsField25,CashAndStockDividend,CashDividendYieldRate,ProfitFourSeason,ProfitSingle,CName,ExchangeIndustry,CompanyPos'</f>
        <v>-1</v>
      </c>
      <c r="V794">
        <v>16</v>
      </c>
      <c r="W794" t="str">
        <v>2022/07/20</v>
      </c>
      <c r="X794" t="str">
        <v>0.49</v>
      </c>
      <c r="Y794">
        <v>0.46</v>
      </c>
      <c r="Z794" t="str">
        <v>2.73</v>
      </c>
      <c r="AA794" t="str">
        <v>0.55</v>
      </c>
      <c r="AB794" t="str">
        <v>91APP*-KY</v>
      </c>
      <c r="AC794" t="str">
        <v>上櫃電子商務</v>
      </c>
      <c r="AD794" t="str">
        <v>台灣知名虛實融合(OMO)新零售服務商</v>
      </c>
      <c r="AE794" t="str">
        <f t="array" ref="AE794:AH794">[1]!'6741.TW-CName,InvestorConferenceDate,DateofMeetingofShareHolders,TradingDate'</f>
        <v>91APP*-KY</v>
      </c>
      <c r="AF794" t="str">
        <v>2021/12/16</v>
      </c>
      <c r="AG794" t="str">
        <v>2022/06/09</v>
      </c>
      <c r="AH794" t="str">
        <v>2022/08/01</v>
      </c>
    </row>
    <row r="795" spans="1:34" x14ac:dyDescent="0.3">
      <c r="A795" t="str">
        <f t="array" ref="A795:J795">[1]!'6763.TW-ID,Name,MarketValue,Capital,NetIncomeGrowthRate,OperIncomeGrowthRate,FinancialStatementsTime,TFXRatio,MonthlyNetSalesYoY,RevenueMonth'</f>
        <v>6763</v>
      </c>
      <c r="B795" t="str">
        <v>綠界科技</v>
      </c>
      <c r="C795" t="str">
        <v>72.2</v>
      </c>
      <c r="D795" t="str">
        <v>1.79</v>
      </c>
      <c r="E795" t="str">
        <v>9.92</v>
      </c>
      <c r="F795" t="str">
        <v>8.89</v>
      </c>
      <c r="G795" t="str">
        <v>2022/03</v>
      </c>
      <c r="H795" t="str">
        <v>-7.86</v>
      </c>
      <c r="I795" t="str">
        <v>-10.27</v>
      </c>
      <c r="J795" t="str">
        <v>2022/06</v>
      </c>
      <c r="K795" t="str">
        <f t="array" ref="K795:T795">[1]!'6763.TW-OperatingProfitRatio,Price,PriceChangeRatio,InOutRatioNumber,Value,YearReturn,MonthReturn,WeekReturn,FinanceBalanceDif,ChipsField2'</f>
        <v>25.81</v>
      </c>
      <c r="L795">
        <v>403.5</v>
      </c>
      <c r="M795">
        <v>-0.37</v>
      </c>
      <c r="N795" t="str">
        <v>22.22%</v>
      </c>
      <c r="O795" t="str">
        <v>362萬</v>
      </c>
      <c r="P795" t="str">
        <v>--</v>
      </c>
      <c r="Q795" t="str">
        <v>+6.04</v>
      </c>
      <c r="R795" t="str">
        <v>-2.89</v>
      </c>
      <c r="S795">
        <v>0</v>
      </c>
      <c r="T795">
        <v>0</v>
      </c>
      <c r="U795">
        <f t="array" ref="U795:AD795">[1]!'6763.TW-ChipsField3,ChipsField1,ChipsField25,CashAndStockDividend,CashDividendYieldRate,ProfitFourSeason,ProfitSingle,CName,ExchangeIndustry,CompanyPos'</f>
        <v>0</v>
      </c>
      <c r="V795">
        <v>-1</v>
      </c>
      <c r="W795" t="str">
        <v>2022/07/21</v>
      </c>
      <c r="X795" t="str">
        <v>8.50</v>
      </c>
      <c r="Y795">
        <v>3.99</v>
      </c>
      <c r="Z795" t="str">
        <v>22.41</v>
      </c>
      <c r="AA795" t="str">
        <v>4.87</v>
      </c>
      <c r="AB795" t="str">
        <v>綠界科技</v>
      </c>
      <c r="AC795" t="str">
        <v>上櫃電子商務</v>
      </c>
      <c r="AD795" t="str">
        <v>歐買尬旗下第三方支付平台</v>
      </c>
      <c r="AE795" t="str">
        <f t="array" ref="AE795:AH795">[1]!'6763.TW-CName,InvestorConferenceDate,DateofMeetingofShareHolders,TradingDate'</f>
        <v>綠界科技</v>
      </c>
      <c r="AF795" t="str">
        <v>--</v>
      </c>
      <c r="AG795" t="str">
        <v>2022/06/08</v>
      </c>
      <c r="AH795" t="str">
        <v>2022/08/01</v>
      </c>
    </row>
    <row r="796" spans="1:34" x14ac:dyDescent="0.3">
      <c r="A796" t="str">
        <f t="array" ref="A796:J796">[1]!'8044.TW-ID,Name,MarketValue,Capital,NetIncomeGrowthRate,OperIncomeGrowthRate,FinancialStatementsTime,TFXRatio,MonthlyNetSalesYoY,RevenueMonth'</f>
        <v>8044</v>
      </c>
      <c r="B796" t="str">
        <v>網家</v>
      </c>
      <c r="C796" t="str">
        <v>77.0</v>
      </c>
      <c r="D796" t="str">
        <v>12.85</v>
      </c>
      <c r="E796" t="str">
        <v>-121.53</v>
      </c>
      <c r="F796" t="str">
        <v>-99.16</v>
      </c>
      <c r="G796" t="str">
        <v>2022/03</v>
      </c>
      <c r="H796" t="str">
        <v>-1.21</v>
      </c>
      <c r="I796" t="str">
        <v>-9.93</v>
      </c>
      <c r="J796" t="str">
        <v>2022/06</v>
      </c>
      <c r="K796" t="str">
        <f t="array" ref="K796:T796">[1]!'8044.TW-OperatingProfitRatio,Price,PriceChangeRatio,InOutRatioNumber,Value,YearReturn,MonthReturn,WeekReturn,FinanceBalanceDif,ChipsField2'</f>
        <v>0.01</v>
      </c>
      <c r="L796">
        <v>59.9</v>
      </c>
      <c r="M796">
        <v>-6.55</v>
      </c>
      <c r="N796" t="str">
        <v>24.53%</v>
      </c>
      <c r="O796" t="str">
        <v>1.36億</v>
      </c>
      <c r="P796" t="str">
        <v>-54.10</v>
      </c>
      <c r="Q796" t="str">
        <v>-10.45</v>
      </c>
      <c r="R796" t="str">
        <v>-9.91</v>
      </c>
      <c r="S796">
        <v>181</v>
      </c>
      <c r="T796">
        <v>0</v>
      </c>
      <c r="U796">
        <f t="array" ref="U796:AD796">[1]!'8044.TW-ChipsField3,ChipsField1,ChipsField25,CashAndStockDividend,CashDividendYieldRate,ProfitFourSeason,ProfitSingle,CName,ExchangeIndustry,CompanyPos'</f>
        <v>8</v>
      </c>
      <c r="V796">
        <v>-190</v>
      </c>
      <c r="W796" t="str">
        <v>2022/07/26</v>
      </c>
      <c r="X796" t="str">
        <v>0.51</v>
      </c>
      <c r="Y796">
        <v>0.85</v>
      </c>
      <c r="Z796" t="str">
        <v>-0.60</v>
      </c>
      <c r="AA796" t="str">
        <v>-0.25</v>
      </c>
      <c r="AB796" t="str">
        <v>網家</v>
      </c>
      <c r="AC796" t="str">
        <v>上櫃電子商務</v>
      </c>
      <c r="AD796" t="str">
        <v>台灣最大的電子商務集團</v>
      </c>
      <c r="AE796" t="str">
        <f t="array" ref="AE796:AH796">[1]!'8044.TW-CName,InvestorConferenceDate,DateofMeetingofShareHolders,TradingDate'</f>
        <v>網家</v>
      </c>
      <c r="AF796" t="str">
        <v>2021/03/18</v>
      </c>
      <c r="AG796" t="str">
        <v>2022/06/22</v>
      </c>
      <c r="AH796" t="str">
        <v>2022/08/01</v>
      </c>
    </row>
    <row r="797" spans="1:34" x14ac:dyDescent="0.3">
      <c r="A797" t="str">
        <f t="array" ref="A797:J797">[1]!'8472.TW-ID,Name,MarketValue,Capital,NetIncomeGrowthRate,OperIncomeGrowthRate,FinancialStatementsTime,TFXRatio,MonthlyNetSalesYoY,RevenueMonth'</f>
        <v>8472</v>
      </c>
      <c r="B797" t="str">
        <v>夠麻吉</v>
      </c>
      <c r="C797" t="str">
        <v>7.9</v>
      </c>
      <c r="D797" t="str">
        <v>1.77</v>
      </c>
      <c r="E797" t="str">
        <v>-227.18</v>
      </c>
      <c r="F797" t="str">
        <v>-319.37</v>
      </c>
      <c r="G797" t="str">
        <v>2022/03</v>
      </c>
      <c r="H797" t="str">
        <v>23.82</v>
      </c>
      <c r="I797" t="str">
        <v>135.33</v>
      </c>
      <c r="J797" t="str">
        <v>2022/06</v>
      </c>
      <c r="K797" t="str">
        <f t="array" ref="K797:T797">[1]!'8472.TW-OperatingProfitRatio,Price,PriceChangeRatio,InOutRatioNumber,Value,YearReturn,MonthReturn,WeekReturn,FinanceBalanceDif,ChipsField2'</f>
        <v>-19.37</v>
      </c>
      <c r="L797">
        <v>44.6</v>
      </c>
      <c r="M797">
        <v>3.12</v>
      </c>
      <c r="N797" t="str">
        <v>25.00%</v>
      </c>
      <c r="O797" t="str">
        <v>17.4萬</v>
      </c>
      <c r="P797" t="str">
        <v>-20.88</v>
      </c>
      <c r="Q797" t="str">
        <v>+20.76</v>
      </c>
      <c r="R797" t="str">
        <v>+3.24</v>
      </c>
      <c r="S797">
        <v>0</v>
      </c>
      <c r="T797">
        <v>0</v>
      </c>
      <c r="U797">
        <f t="array" ref="U797:AD797">[1]!'8472.TW-ChipsField3,ChipsField1,ChipsField25,CashAndStockDividend,CashDividendYieldRate,ProfitFourSeason,ProfitSingle,CName,ExchangeIndustry,CompanyPos'</f>
        <v>0</v>
      </c>
      <c r="V797">
        <v>0</v>
      </c>
      <c r="W797" t="str">
        <v>2022/07/19</v>
      </c>
      <c r="X797" t="str">
        <v>1.50</v>
      </c>
      <c r="Y797">
        <v>3.36</v>
      </c>
      <c r="Z797" t="str">
        <v>-1.03</v>
      </c>
      <c r="AA797" t="str">
        <v>-0.91</v>
      </c>
      <c r="AB797" t="str">
        <v>夠麻吉</v>
      </c>
      <c r="AC797" t="str">
        <v>上櫃電子商務</v>
      </c>
      <c r="AD797" t="str">
        <v>吃喝玩樂券平台GOMAJI</v>
      </c>
      <c r="AE797" t="str">
        <f t="array" ref="AE797:AH797">[1]!'8472.TW-CName,InvestorConferenceDate,DateofMeetingofShareHolders,TradingDate'</f>
        <v>夠麻吉</v>
      </c>
      <c r="AF797" t="str">
        <v>--</v>
      </c>
      <c r="AG797" t="str">
        <v>2022/06/15</v>
      </c>
      <c r="AH797" t="str">
        <v>2022/08/01</v>
      </c>
    </row>
    <row r="798" spans="1:34" x14ac:dyDescent="0.3">
      <c r="A798" t="str">
        <f t="array" ref="A798:J798">[1]!'8477.TW-ID,Name,MarketValue,Capital,NetIncomeGrowthRate,OperIncomeGrowthRate,FinancialStatementsTime,TFXRatio,MonthlyNetSalesYoY,RevenueMonth'</f>
        <v>8477</v>
      </c>
      <c r="B798" t="str">
        <v>創業家</v>
      </c>
      <c r="C798" t="str">
        <v>7.0</v>
      </c>
      <c r="D798" t="str">
        <v>3.16</v>
      </c>
      <c r="E798" t="str">
        <v>-60.53</v>
      </c>
      <c r="F798" t="str">
        <v>-21.84</v>
      </c>
      <c r="G798" t="str">
        <v>2022/03</v>
      </c>
      <c r="H798" t="str">
        <v>-6.88</v>
      </c>
      <c r="I798" t="str">
        <v>-54.74</v>
      </c>
      <c r="J798" t="str">
        <v>2022/06</v>
      </c>
      <c r="K798" t="str">
        <f t="array" ref="K798:T798">[1]!'8477.TW-OperatingProfitRatio,Price,PriceChangeRatio,InOutRatioNumber,Value,YearReturn,MonthReturn,WeekReturn,FinanceBalanceDif,ChipsField2'</f>
        <v>-4.11</v>
      </c>
      <c r="L798">
        <v>22.15</v>
      </c>
      <c r="M798">
        <v>-0.23</v>
      </c>
      <c r="N798" t="str">
        <v>27.66%</v>
      </c>
      <c r="O798" t="str">
        <v>107萬</v>
      </c>
      <c r="P798" t="str">
        <v>-44.21</v>
      </c>
      <c r="Q798" t="str">
        <v>-6.54</v>
      </c>
      <c r="R798" t="str">
        <v>+0.68</v>
      </c>
      <c r="S798">
        <v>35</v>
      </c>
      <c r="T798">
        <v>0</v>
      </c>
      <c r="U798">
        <f t="array" ref="U798:AD798">[1]!'8477.TW-ChipsField3,ChipsField1,ChipsField25,CashAndStockDividend,CashDividendYieldRate,ProfitFourSeason,ProfitSingle,CName,ExchangeIndustry,CompanyPos'</f>
        <v>0</v>
      </c>
      <c r="V798">
        <v>-1</v>
      </c>
      <c r="W798" t="str">
        <v>--</v>
      </c>
      <c r="X798" t="str">
        <v>0.00</v>
      </c>
      <c r="Y798">
        <v>0</v>
      </c>
      <c r="Z798" t="str">
        <v>-1.36</v>
      </c>
      <c r="AA798" t="str">
        <v>-0.82</v>
      </c>
      <c r="AB798" t="str">
        <v>創業家</v>
      </c>
      <c r="AC798" t="str">
        <v>上櫃電子商務</v>
      </c>
      <c r="AD798" t="str">
        <v>台灣知名品牌垂直型電子商務平台</v>
      </c>
      <c r="AE798" t="str">
        <f t="array" ref="AE798:AH798">[1]!'8477.TW-CName,InvestorConferenceDate,DateofMeetingofShareHolders,TradingDate'</f>
        <v>創業家</v>
      </c>
      <c r="AF798" t="str">
        <v>--</v>
      </c>
      <c r="AG798" t="str">
        <v>2022/06/14</v>
      </c>
      <c r="AH798" t="str">
        <v>2022/08/01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2022-08-01T06:13:20Z</dcterms:created>
  <dcterms:modified xsi:type="dcterms:W3CDTF">2022-08-01T06:17:47Z</dcterms:modified>
</cp:coreProperties>
</file>